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705" yWindow="-15" windowWidth="9525" windowHeight="9435" tabRatio="867"/>
  </bookViews>
  <sheets>
    <sheet name="Cover Page" sheetId="55" r:id="rId1"/>
    <sheet name="Contents" sheetId="56" r:id="rId2"/>
    <sheet name="Table IA" sheetId="1" r:id="rId3"/>
    <sheet name="Table IB" sheetId="2" r:id="rId4"/>
    <sheet name="TableIIA" sheetId="3" r:id="rId5"/>
    <sheet name="TableIIB" sheetId="35" r:id="rId6"/>
    <sheet name="TableIIC " sheetId="4" r:id="rId7"/>
    <sheet name="Table IID" sheetId="51" r:id="rId8"/>
    <sheet name="Table IIE" sheetId="5" r:id="rId9"/>
    <sheet name="Table IIF" sheetId="36" r:id="rId10"/>
    <sheet name="Table IIG" sheetId="59" r:id="rId11"/>
    <sheet name="Table III A" sheetId="6" r:id="rId12"/>
    <sheet name="Table IIIB" sheetId="50" r:id="rId13"/>
    <sheet name="Table IV" sheetId="7" r:id="rId14"/>
    <sheet name="Table V" sheetId="8" r:id="rId15"/>
    <sheet name="Table VIA" sheetId="10" r:id="rId16"/>
    <sheet name="Table VIB" sheetId="66" r:id="rId17"/>
    <sheet name="Table VII" sheetId="11" r:id="rId18"/>
    <sheet name="Table VIII" sheetId="13" r:id="rId19"/>
    <sheet name="TableIXA" sheetId="37" r:id="rId20"/>
    <sheet name="TableIXB" sheetId="38" r:id="rId21"/>
    <sheet name="TableIXC" sheetId="68" r:id="rId22"/>
    <sheet name="TableIXD" sheetId="39" r:id="rId23"/>
    <sheet name="TableX" sheetId="40" r:id="rId24"/>
    <sheet name="TableXI" sheetId="41" r:id="rId25"/>
    <sheet name="Table XIIA" sheetId="57" r:id="rId26"/>
    <sheet name="Table XIIB" sheetId="21" r:id="rId27"/>
    <sheet name="TableXIII" sheetId="42" r:id="rId28"/>
    <sheet name="Table XIV" sheetId="53" r:id="rId29"/>
    <sheet name="TableXV" sheetId="43" r:id="rId30"/>
    <sheet name="TableXVI" sheetId="44" r:id="rId31"/>
    <sheet name="Table XVII" sheetId="27" r:id="rId32"/>
    <sheet name="Table XVIII" sheetId="28" r:id="rId33"/>
    <sheet name="TableXIX" sheetId="45" r:id="rId34"/>
    <sheet name="TableXX" sheetId="58" r:id="rId35"/>
    <sheet name="TableXXI" sheetId="47" r:id="rId36"/>
    <sheet name="Table XXII" sheetId="32" r:id="rId37"/>
    <sheet name="Table XXIII" sheetId="33" r:id="rId38"/>
    <sheet name="Table XXIV" sheetId="61" r:id="rId39"/>
    <sheet name="Table XXV" sheetId="60" r:id="rId40"/>
    <sheet name="Table XXVI" sheetId="63" r:id="rId41"/>
    <sheet name="Table XXVII" sheetId="62" r:id="rId42"/>
    <sheet name="Table XXVIII" sheetId="64" r:id="rId43"/>
    <sheet name="Table XXIX" sheetId="65" r:id="rId44"/>
    <sheet name="Appendix- Weights &amp; Measures" sheetId="52" r:id="rId45"/>
  </sheets>
  <definedNames>
    <definedName name="_xlnm._FilterDatabase" localSheetId="2" hidden="1">'Table IA'!#REF!</definedName>
    <definedName name="_xlnm._FilterDatabase" localSheetId="3" hidden="1">'Table IB'!$C$1:$C$74</definedName>
    <definedName name="_xlnm._FilterDatabase" localSheetId="8" hidden="1">'Table IIE'!$A$1:$T$58</definedName>
    <definedName name="_xlnm._FilterDatabase" localSheetId="10" hidden="1">'Table IIG'!$A$1:$BS$56</definedName>
    <definedName name="_xlnm._FilterDatabase" localSheetId="25" hidden="1">'Table XIIA'!$BD$1:$BE$216</definedName>
    <definedName name="_xlnm._FilterDatabase" localSheetId="23" hidden="1">TableX!$A$3:$J$52</definedName>
    <definedName name="_xlnm._FilterDatabase" localSheetId="27" hidden="1">TableXIII!$M$47:$M$48</definedName>
    <definedName name="_xlnm._FilterDatabase" localSheetId="35" hidden="1">TableXXI!$A$1:$AJ$52</definedName>
    <definedName name="_xlnm.Print_Area" localSheetId="18">'Table VIII'!$A$1:$U$57</definedName>
    <definedName name="_xlnm.Print_Area" localSheetId="38">'Table XXIV'!$A$1:$S$46</definedName>
    <definedName name="_xlnm.Print_Area" localSheetId="42">'Table XXVIII'!$A$1:$U$48</definedName>
    <definedName name="_xlnm.Print_Area" localSheetId="21">TableIXC!$A$1:$AL$56</definedName>
    <definedName name="ReportLinkMenu" localSheetId="29">TableXV!#REF!</definedName>
    <definedName name="SectionElements" localSheetId="29">TableXV!#REF!</definedName>
    <definedName name="Z_A374FC54_96E3_45F0_9C12_8450400C12DF_.wvu.Cols" localSheetId="22" hidden="1">TableIXD!$T:$T</definedName>
    <definedName name="Z_A374FC54_96E3_45F0_9C12_8450400C12DF_.wvu.FilterData" localSheetId="3" hidden="1">'Table IB'!$C$1:$C$74</definedName>
    <definedName name="Z_A374FC54_96E3_45F0_9C12_8450400C12DF_.wvu.Rows" localSheetId="14" hidden="1">'Table V'!$39:$46</definedName>
    <definedName name="Z_A374FC54_96E3_45F0_9C12_8450400C12DF_.wvu.Rows" localSheetId="35" hidden="1">TableXXI!#REF!</definedName>
  </definedNames>
  <calcPr calcId="124519"/>
  <customWorkbookViews>
    <customWorkbookView name="7.25*9.75" guid="{A374FC54-96E3-45F0-9C12-8450400C12DF}" maximized="1" xWindow="1" yWindow="1" windowWidth="1366" windowHeight="538" tabRatio="768" activeSheetId="61"/>
  </customWorkbookViews>
  <fileRecoveryPr autoRecover="0"/>
</workbook>
</file>

<file path=xl/calcChain.xml><?xml version="1.0" encoding="utf-8"?>
<calcChain xmlns="http://schemas.openxmlformats.org/spreadsheetml/2006/main">
  <c r="K53" i="33"/>
  <c r="J40"/>
  <c r="J53"/>
  <c r="K52"/>
  <c r="J39"/>
  <c r="J52"/>
  <c r="BT52" i="1"/>
  <c r="BW52" s="1"/>
  <c r="BV52" l="1"/>
  <c r="J45" i="60"/>
  <c r="E45"/>
  <c r="J44"/>
  <c r="E44"/>
  <c r="J43"/>
  <c r="E43"/>
  <c r="J42"/>
  <c r="E42"/>
  <c r="J41"/>
  <c r="E41"/>
  <c r="J40"/>
  <c r="E40"/>
  <c r="J39"/>
  <c r="E39"/>
  <c r="J37"/>
  <c r="E37"/>
  <c r="E25" s="1"/>
  <c r="J36"/>
  <c r="E36"/>
  <c r="J35"/>
  <c r="E35"/>
  <c r="J34"/>
  <c r="E34"/>
  <c r="J33"/>
  <c r="E33"/>
  <c r="J32"/>
  <c r="E32"/>
  <c r="J31"/>
  <c r="E31"/>
  <c r="J30"/>
  <c r="E30"/>
  <c r="J29"/>
  <c r="E29"/>
  <c r="J28"/>
  <c r="E28"/>
  <c r="J27"/>
  <c r="E27"/>
  <c r="J26"/>
  <c r="E26"/>
  <c r="Q25"/>
  <c r="P25"/>
  <c r="O25"/>
  <c r="N25"/>
  <c r="M25"/>
  <c r="L25"/>
  <c r="K25"/>
  <c r="J25"/>
  <c r="I25"/>
  <c r="H25"/>
  <c r="G25"/>
  <c r="F25"/>
  <c r="D25"/>
  <c r="C25"/>
  <c r="B25"/>
  <c r="J24"/>
  <c r="J12" s="1"/>
  <c r="E24"/>
  <c r="E12" s="1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J14"/>
  <c r="E14"/>
  <c r="J13"/>
  <c r="E13"/>
  <c r="Q12"/>
  <c r="P12"/>
  <c r="O12"/>
  <c r="N12"/>
  <c r="M12"/>
  <c r="L12"/>
  <c r="K12"/>
  <c r="I12"/>
  <c r="H12"/>
  <c r="G12"/>
  <c r="F12"/>
  <c r="D12"/>
  <c r="C12"/>
  <c r="B12"/>
  <c r="P52" i="41"/>
  <c r="Q52" s="1"/>
  <c r="Q51"/>
  <c r="P51"/>
  <c r="Q50"/>
  <c r="P50"/>
  <c r="Q49"/>
  <c r="P49"/>
  <c r="P48"/>
  <c r="Q48" s="1"/>
  <c r="Q47"/>
  <c r="P47"/>
  <c r="Q46"/>
  <c r="P46"/>
  <c r="Q45"/>
  <c r="P45"/>
  <c r="P43"/>
  <c r="Q43" s="1"/>
  <c r="Q31" s="1"/>
  <c r="Q42"/>
  <c r="P42"/>
  <c r="Q41"/>
  <c r="P41"/>
  <c r="Q40"/>
  <c r="P40"/>
  <c r="P39"/>
  <c r="Q39" s="1"/>
  <c r="Q38"/>
  <c r="P38"/>
  <c r="Q37"/>
  <c r="P37"/>
  <c r="Q36"/>
  <c r="P36"/>
  <c r="P35"/>
  <c r="Q35" s="1"/>
  <c r="Q34"/>
  <c r="P34"/>
  <c r="Q33"/>
  <c r="P33"/>
  <c r="Q32"/>
  <c r="P32"/>
  <c r="P31"/>
  <c r="O31"/>
  <c r="N31"/>
  <c r="M31"/>
  <c r="L31"/>
  <c r="K31"/>
  <c r="J31"/>
  <c r="I31"/>
  <c r="H31"/>
  <c r="G31"/>
  <c r="F31"/>
  <c r="E31"/>
  <c r="D31"/>
  <c r="C31"/>
  <c r="B31"/>
  <c r="P30"/>
  <c r="Q30" s="1"/>
  <c r="Q18" s="1"/>
  <c r="Q29"/>
  <c r="P29"/>
  <c r="Q28"/>
  <c r="P28"/>
  <c r="Q27"/>
  <c r="P27"/>
  <c r="P26"/>
  <c r="Q26" s="1"/>
  <c r="Q25"/>
  <c r="P25"/>
  <c r="Q24"/>
  <c r="P24"/>
  <c r="Q23"/>
  <c r="P23"/>
  <c r="P22"/>
  <c r="Q22" s="1"/>
  <c r="Q21"/>
  <c r="P21"/>
  <c r="Q20"/>
  <c r="P20"/>
  <c r="Q19"/>
  <c r="P19"/>
  <c r="O18"/>
  <c r="N18"/>
  <c r="M18"/>
  <c r="L18"/>
  <c r="K18"/>
  <c r="J18"/>
  <c r="I18"/>
  <c r="H18"/>
  <c r="G18"/>
  <c r="F18"/>
  <c r="E18"/>
  <c r="D18"/>
  <c r="C18"/>
  <c r="B18"/>
  <c r="E51" i="40"/>
  <c r="D51"/>
  <c r="E50"/>
  <c r="D50"/>
  <c r="E49"/>
  <c r="D49"/>
  <c r="E48"/>
  <c r="D48"/>
  <c r="E47"/>
  <c r="D47"/>
  <c r="E46"/>
  <c r="D46"/>
  <c r="E45"/>
  <c r="D45"/>
  <c r="E44"/>
  <c r="D44"/>
  <c r="E42"/>
  <c r="D42"/>
  <c r="D30" s="1"/>
  <c r="E41"/>
  <c r="D41"/>
  <c r="E40"/>
  <c r="D40"/>
  <c r="E39"/>
  <c r="D39"/>
  <c r="E36"/>
  <c r="D36"/>
  <c r="E35"/>
  <c r="D35"/>
  <c r="E34"/>
  <c r="D34"/>
  <c r="E33"/>
  <c r="D33"/>
  <c r="E32"/>
  <c r="D32"/>
  <c r="E31"/>
  <c r="E30"/>
  <c r="C30"/>
  <c r="B30"/>
  <c r="E29"/>
  <c r="E25"/>
  <c r="D25"/>
  <c r="D21"/>
  <c r="E20"/>
  <c r="D20"/>
  <c r="E19"/>
  <c r="D19"/>
  <c r="E18"/>
  <c r="D18"/>
  <c r="E17"/>
  <c r="D17"/>
  <c r="C17"/>
  <c r="B17"/>
  <c r="J33" i="13"/>
  <c r="G33"/>
  <c r="J20"/>
  <c r="I20"/>
  <c r="G20"/>
  <c r="F20"/>
  <c r="D20"/>
  <c r="C20"/>
  <c r="J7"/>
  <c r="I7"/>
  <c r="G7"/>
  <c r="F7"/>
  <c r="D7"/>
  <c r="C7"/>
  <c r="F34" i="66"/>
  <c r="D34"/>
  <c r="C34"/>
  <c r="B34"/>
  <c r="H21"/>
  <c r="G21"/>
  <c r="F21"/>
  <c r="E21"/>
  <c r="D21"/>
  <c r="C21"/>
  <c r="B21"/>
  <c r="AM53" i="7"/>
  <c r="AL53"/>
  <c r="O53"/>
  <c r="AN53" s="1"/>
  <c r="L53"/>
  <c r="G53"/>
  <c r="F53"/>
  <c r="E53"/>
  <c r="D53"/>
  <c r="C53"/>
  <c r="K53" s="1"/>
  <c r="B53"/>
  <c r="AO52"/>
  <c r="AN52"/>
  <c r="AM52"/>
  <c r="O52"/>
  <c r="L52"/>
  <c r="G52"/>
  <c r="F52"/>
  <c r="E52"/>
  <c r="D52"/>
  <c r="C52"/>
  <c r="B52"/>
  <c r="K52" s="1"/>
  <c r="AM51"/>
  <c r="O51"/>
  <c r="AN51" s="1"/>
  <c r="AO51" s="1"/>
  <c r="L51"/>
  <c r="K51" s="1"/>
  <c r="G51"/>
  <c r="F51"/>
  <c r="E51"/>
  <c r="D51"/>
  <c r="C51"/>
  <c r="B51"/>
  <c r="AN50"/>
  <c r="AM50"/>
  <c r="O50"/>
  <c r="L50"/>
  <c r="K50" s="1"/>
  <c r="G50"/>
  <c r="F50"/>
  <c r="E50"/>
  <c r="D50"/>
  <c r="C50"/>
  <c r="B50"/>
  <c r="AM49"/>
  <c r="O49"/>
  <c r="AN49" s="1"/>
  <c r="L49"/>
  <c r="G49"/>
  <c r="F49"/>
  <c r="E49"/>
  <c r="D49"/>
  <c r="C49"/>
  <c r="K49" s="1"/>
  <c r="B49"/>
  <c r="AO48"/>
  <c r="AN48"/>
  <c r="AM48"/>
  <c r="O48"/>
  <c r="L48"/>
  <c r="G48"/>
  <c r="F48"/>
  <c r="E48"/>
  <c r="D48"/>
  <c r="C48"/>
  <c r="B48"/>
  <c r="K48" s="1"/>
  <c r="AM47"/>
  <c r="O47"/>
  <c r="AN47" s="1"/>
  <c r="AO47" s="1"/>
  <c r="L47"/>
  <c r="K47" s="1"/>
  <c r="G47"/>
  <c r="F47"/>
  <c r="E47"/>
  <c r="D47"/>
  <c r="C47"/>
  <c r="B47"/>
  <c r="AN45"/>
  <c r="AM45"/>
  <c r="O45"/>
  <c r="L45"/>
  <c r="K45" s="1"/>
  <c r="G45"/>
  <c r="F45"/>
  <c r="E45"/>
  <c r="D45"/>
  <c r="C45"/>
  <c r="B45"/>
  <c r="AM44"/>
  <c r="O44"/>
  <c r="AN44" s="1"/>
  <c r="L44"/>
  <c r="AO44" s="1"/>
  <c r="K44"/>
  <c r="G44"/>
  <c r="F44"/>
  <c r="E44"/>
  <c r="D44"/>
  <c r="C44"/>
  <c r="B44"/>
  <c r="AO43"/>
  <c r="AN43"/>
  <c r="AM43"/>
  <c r="O43"/>
  <c r="L43"/>
  <c r="G43"/>
  <c r="F43"/>
  <c r="E43"/>
  <c r="D43"/>
  <c r="C43"/>
  <c r="B43"/>
  <c r="K43" s="1"/>
  <c r="AM42"/>
  <c r="O42"/>
  <c r="AN42" s="1"/>
  <c r="AO42" s="1"/>
  <c r="L42"/>
  <c r="K42" s="1"/>
  <c r="G42"/>
  <c r="F42"/>
  <c r="E42"/>
  <c r="C42"/>
  <c r="B42"/>
  <c r="AM41"/>
  <c r="O41"/>
  <c r="AN41" s="1"/>
  <c r="AO41" s="1"/>
  <c r="L41"/>
  <c r="G41"/>
  <c r="F41"/>
  <c r="K41" s="1"/>
  <c r="E41"/>
  <c r="C41"/>
  <c r="AN40"/>
  <c r="AM40"/>
  <c r="O40"/>
  <c r="L40"/>
  <c r="K40" s="1"/>
  <c r="G40"/>
  <c r="F40"/>
  <c r="E40"/>
  <c r="D40"/>
  <c r="C40"/>
  <c r="B40"/>
  <c r="AN39"/>
  <c r="AO39" s="1"/>
  <c r="AM39"/>
  <c r="O39"/>
  <c r="L39"/>
  <c r="K39" s="1"/>
  <c r="G39"/>
  <c r="F39"/>
  <c r="E39"/>
  <c r="D39"/>
  <c r="C39"/>
  <c r="B39"/>
  <c r="AM38"/>
  <c r="O38"/>
  <c r="AN38" s="1"/>
  <c r="AO38" s="1"/>
  <c r="L38"/>
  <c r="K38"/>
  <c r="G38"/>
  <c r="F38"/>
  <c r="E38"/>
  <c r="D38"/>
  <c r="C38"/>
  <c r="B38"/>
  <c r="AM37"/>
  <c r="O37"/>
  <c r="AN37" s="1"/>
  <c r="L37"/>
  <c r="K37" s="1"/>
  <c r="G37"/>
  <c r="F37"/>
  <c r="E37"/>
  <c r="D37"/>
  <c r="C37"/>
  <c r="B37"/>
  <c r="AN36"/>
  <c r="AM36"/>
  <c r="O36"/>
  <c r="L36"/>
  <c r="K36" s="1"/>
  <c r="G36"/>
  <c r="F36"/>
  <c r="E36"/>
  <c r="D36"/>
  <c r="C36"/>
  <c r="B36"/>
  <c r="B33" s="1"/>
  <c r="AN35"/>
  <c r="AO35" s="1"/>
  <c r="AM35"/>
  <c r="O35"/>
  <c r="L35"/>
  <c r="K35" s="1"/>
  <c r="G35"/>
  <c r="F35"/>
  <c r="E35"/>
  <c r="D35"/>
  <c r="C35"/>
  <c r="B35"/>
  <c r="AM34"/>
  <c r="O34"/>
  <c r="O33" s="1"/>
  <c r="L34"/>
  <c r="L33" s="1"/>
  <c r="K34"/>
  <c r="G34"/>
  <c r="G33" s="1"/>
  <c r="F34"/>
  <c r="F33" s="1"/>
  <c r="E34"/>
  <c r="D34"/>
  <c r="C34"/>
  <c r="B34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T33"/>
  <c r="S33"/>
  <c r="R33"/>
  <c r="Q33"/>
  <c r="P33"/>
  <c r="N33"/>
  <c r="M33"/>
  <c r="J33"/>
  <c r="I33"/>
  <c r="H33"/>
  <c r="E33"/>
  <c r="D33"/>
  <c r="C33"/>
  <c r="AN32"/>
  <c r="AO32" s="1"/>
  <c r="O32"/>
  <c r="K32"/>
  <c r="AO31"/>
  <c r="AN31"/>
  <c r="O31"/>
  <c r="K31"/>
  <c r="O30"/>
  <c r="AN30" s="1"/>
  <c r="AO30" s="1"/>
  <c r="K30"/>
  <c r="O29"/>
  <c r="AN29" s="1"/>
  <c r="AO29" s="1"/>
  <c r="K29"/>
  <c r="AN28"/>
  <c r="AO28" s="1"/>
  <c r="O28"/>
  <c r="K28"/>
  <c r="AO27"/>
  <c r="AN27"/>
  <c r="O27"/>
  <c r="K27"/>
  <c r="O26"/>
  <c r="AN26" s="1"/>
  <c r="AO26" s="1"/>
  <c r="K26"/>
  <c r="O25"/>
  <c r="AN25" s="1"/>
  <c r="AO25" s="1"/>
  <c r="K25"/>
  <c r="AN24"/>
  <c r="AO24" s="1"/>
  <c r="O24"/>
  <c r="K24"/>
  <c r="AO23"/>
  <c r="AN23"/>
  <c r="O23"/>
  <c r="K23"/>
  <c r="O22"/>
  <c r="AN22" s="1"/>
  <c r="AO22" s="1"/>
  <c r="K22"/>
  <c r="O21"/>
  <c r="AN21" s="1"/>
  <c r="K21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T20"/>
  <c r="S20"/>
  <c r="R20"/>
  <c r="Q20"/>
  <c r="P20"/>
  <c r="N20"/>
  <c r="M20"/>
  <c r="L20"/>
  <c r="K20"/>
  <c r="J20"/>
  <c r="I20"/>
  <c r="H20"/>
  <c r="G20"/>
  <c r="F20"/>
  <c r="E20"/>
  <c r="D20"/>
  <c r="C20"/>
  <c r="B20"/>
  <c r="AO18"/>
  <c r="AO17"/>
  <c r="AO16"/>
  <c r="AO15"/>
  <c r="AO14"/>
  <c r="AO13"/>
  <c r="AO12"/>
  <c r="AO11"/>
  <c r="AO10"/>
  <c r="AO9"/>
  <c r="AO8"/>
  <c r="AO7"/>
  <c r="V55" i="6"/>
  <c r="U55"/>
  <c r="N55"/>
  <c r="M55"/>
  <c r="J55"/>
  <c r="G55"/>
  <c r="D55"/>
  <c r="V54"/>
  <c r="U54"/>
  <c r="N54"/>
  <c r="M54"/>
  <c r="J54"/>
  <c r="G54"/>
  <c r="D54"/>
  <c r="U53"/>
  <c r="N53"/>
  <c r="V53" s="1"/>
  <c r="M53"/>
  <c r="J53"/>
  <c r="G53"/>
  <c r="D53"/>
  <c r="U52"/>
  <c r="M52"/>
  <c r="J52"/>
  <c r="G52"/>
  <c r="N52" s="1"/>
  <c r="D52"/>
  <c r="U51"/>
  <c r="M51"/>
  <c r="J51"/>
  <c r="G51"/>
  <c r="D51"/>
  <c r="N51" s="1"/>
  <c r="U50"/>
  <c r="M50"/>
  <c r="J50"/>
  <c r="G50"/>
  <c r="D50"/>
  <c r="N50" s="1"/>
  <c r="V50" s="1"/>
  <c r="U48"/>
  <c r="M48"/>
  <c r="J48"/>
  <c r="G48"/>
  <c r="D48"/>
  <c r="N48" s="1"/>
  <c r="V48" s="1"/>
  <c r="U47"/>
  <c r="N47"/>
  <c r="V47" s="1"/>
  <c r="M47"/>
  <c r="J47"/>
  <c r="G47"/>
  <c r="D47"/>
  <c r="U46"/>
  <c r="M46"/>
  <c r="N46" s="1"/>
  <c r="V46" s="1"/>
  <c r="J46"/>
  <c r="G46"/>
  <c r="D46"/>
  <c r="U45"/>
  <c r="U44" s="1"/>
  <c r="M45"/>
  <c r="M44" s="1"/>
  <c r="J45"/>
  <c r="J44" s="1"/>
  <c r="G45"/>
  <c r="G44" s="1"/>
  <c r="D45"/>
  <c r="N45" s="1"/>
  <c r="T44"/>
  <c r="S44"/>
  <c r="R44"/>
  <c r="Q44"/>
  <c r="P44"/>
  <c r="L44"/>
  <c r="K44"/>
  <c r="I44"/>
  <c r="H44"/>
  <c r="F44"/>
  <c r="E44"/>
  <c r="C44"/>
  <c r="B44"/>
  <c r="U43"/>
  <c r="M43"/>
  <c r="J43"/>
  <c r="G43"/>
  <c r="D43"/>
  <c r="N43" s="1"/>
  <c r="V43" s="1"/>
  <c r="U42"/>
  <c r="N42"/>
  <c r="V42" s="1"/>
  <c r="M42"/>
  <c r="J42"/>
  <c r="G42"/>
  <c r="D42"/>
  <c r="U41"/>
  <c r="M41"/>
  <c r="N41" s="1"/>
  <c r="V41" s="1"/>
  <c r="J41"/>
  <c r="G41"/>
  <c r="D41"/>
  <c r="U40"/>
  <c r="U39" s="1"/>
  <c r="M40"/>
  <c r="M39" s="1"/>
  <c r="J40"/>
  <c r="J39" s="1"/>
  <c r="G40"/>
  <c r="G39" s="1"/>
  <c r="D40"/>
  <c r="N40" s="1"/>
  <c r="T39"/>
  <c r="S39"/>
  <c r="R39"/>
  <c r="Q39"/>
  <c r="P39"/>
  <c r="L39"/>
  <c r="K39"/>
  <c r="I39"/>
  <c r="H39"/>
  <c r="F39"/>
  <c r="E39"/>
  <c r="C39"/>
  <c r="B39"/>
  <c r="U38"/>
  <c r="M38"/>
  <c r="J38"/>
  <c r="G38"/>
  <c r="D38"/>
  <c r="N38" s="1"/>
  <c r="V38" s="1"/>
  <c r="U37"/>
  <c r="N37"/>
  <c r="V37" s="1"/>
  <c r="M37"/>
  <c r="J37"/>
  <c r="G37"/>
  <c r="D37"/>
  <c r="U36"/>
  <c r="M36"/>
  <c r="N36" s="1"/>
  <c r="V36" s="1"/>
  <c r="J36"/>
  <c r="G36"/>
  <c r="D36"/>
  <c r="U35"/>
  <c r="U34" s="1"/>
  <c r="M35"/>
  <c r="M34" s="1"/>
  <c r="J35"/>
  <c r="J34" s="1"/>
  <c r="G35"/>
  <c r="D35"/>
  <c r="N35" s="1"/>
  <c r="T34"/>
  <c r="S34"/>
  <c r="R34"/>
  <c r="Q34"/>
  <c r="P34"/>
  <c r="L34"/>
  <c r="K34"/>
  <c r="I34"/>
  <c r="H34"/>
  <c r="G34"/>
  <c r="F34"/>
  <c r="E34"/>
  <c r="C34"/>
  <c r="B34"/>
  <c r="U33"/>
  <c r="M33"/>
  <c r="J33"/>
  <c r="G33"/>
  <c r="D33"/>
  <c r="N33" s="1"/>
  <c r="V33" s="1"/>
  <c r="U32"/>
  <c r="N32"/>
  <c r="V32" s="1"/>
  <c r="M32"/>
  <c r="J32"/>
  <c r="G32"/>
  <c r="D32"/>
  <c r="U31"/>
  <c r="M31"/>
  <c r="N31" s="1"/>
  <c r="V31" s="1"/>
  <c r="J31"/>
  <c r="G31"/>
  <c r="D31"/>
  <c r="U30"/>
  <c r="U29" s="1"/>
  <c r="M30"/>
  <c r="M29" s="1"/>
  <c r="J30"/>
  <c r="J29" s="1"/>
  <c r="G30"/>
  <c r="D30"/>
  <c r="N30" s="1"/>
  <c r="T29"/>
  <c r="S29"/>
  <c r="R29"/>
  <c r="Q29"/>
  <c r="P29"/>
  <c r="L29"/>
  <c r="K29"/>
  <c r="I29"/>
  <c r="H29"/>
  <c r="G29"/>
  <c r="F29"/>
  <c r="E29"/>
  <c r="C29"/>
  <c r="B29"/>
  <c r="U28"/>
  <c r="M28"/>
  <c r="J28"/>
  <c r="G28"/>
  <c r="D28"/>
  <c r="N28" s="1"/>
  <c r="V28" s="1"/>
  <c r="U27"/>
  <c r="N27"/>
  <c r="V27" s="1"/>
  <c r="M27"/>
  <c r="J27"/>
  <c r="G27"/>
  <c r="D27"/>
  <c r="U26"/>
  <c r="M26"/>
  <c r="N26" s="1"/>
  <c r="V26" s="1"/>
  <c r="J26"/>
  <c r="G26"/>
  <c r="D26"/>
  <c r="U25"/>
  <c r="U24" s="1"/>
  <c r="M25"/>
  <c r="M24" s="1"/>
  <c r="J25"/>
  <c r="J24" s="1"/>
  <c r="G25"/>
  <c r="D25"/>
  <c r="N25" s="1"/>
  <c r="T24"/>
  <c r="S24"/>
  <c r="R24"/>
  <c r="Q24"/>
  <c r="P24"/>
  <c r="L24"/>
  <c r="K24"/>
  <c r="I24"/>
  <c r="H24"/>
  <c r="G24"/>
  <c r="F24"/>
  <c r="E24"/>
  <c r="C24"/>
  <c r="B24"/>
  <c r="U23"/>
  <c r="M23"/>
  <c r="J23"/>
  <c r="G23"/>
  <c r="D23"/>
  <c r="N23" s="1"/>
  <c r="V23" s="1"/>
  <c r="U22"/>
  <c r="N22"/>
  <c r="V22" s="1"/>
  <c r="M22"/>
  <c r="J22"/>
  <c r="G22"/>
  <c r="D22"/>
  <c r="U21"/>
  <c r="M21"/>
  <c r="N21" s="1"/>
  <c r="V21" s="1"/>
  <c r="J21"/>
  <c r="G21"/>
  <c r="D21"/>
  <c r="U20"/>
  <c r="U19" s="1"/>
  <c r="M20"/>
  <c r="M19" s="1"/>
  <c r="J20"/>
  <c r="J19" s="1"/>
  <c r="G20"/>
  <c r="G19" s="1"/>
  <c r="D20"/>
  <c r="N20" s="1"/>
  <c r="T19"/>
  <c r="S19"/>
  <c r="R19"/>
  <c r="Q19"/>
  <c r="P19"/>
  <c r="L19"/>
  <c r="K19"/>
  <c r="I19"/>
  <c r="H19"/>
  <c r="F19"/>
  <c r="E19"/>
  <c r="C19"/>
  <c r="B19"/>
  <c r="U18"/>
  <c r="M18"/>
  <c r="J18"/>
  <c r="G18"/>
  <c r="D18"/>
  <c r="N18" s="1"/>
  <c r="V18" s="1"/>
  <c r="U17"/>
  <c r="N17"/>
  <c r="V17" s="1"/>
  <c r="M17"/>
  <c r="J17"/>
  <c r="G17"/>
  <c r="D17"/>
  <c r="U16"/>
  <c r="M16"/>
  <c r="N16" s="1"/>
  <c r="V16" s="1"/>
  <c r="J16"/>
  <c r="G16"/>
  <c r="D16"/>
  <c r="U15"/>
  <c r="U14" s="1"/>
  <c r="M15"/>
  <c r="M14" s="1"/>
  <c r="J15"/>
  <c r="J14" s="1"/>
  <c r="G15"/>
  <c r="D15"/>
  <c r="N15" s="1"/>
  <c r="T14"/>
  <c r="S14"/>
  <c r="R14"/>
  <c r="Q14"/>
  <c r="P14"/>
  <c r="L14"/>
  <c r="K14"/>
  <c r="I14"/>
  <c r="H14"/>
  <c r="G14"/>
  <c r="F14"/>
  <c r="E14"/>
  <c r="C14"/>
  <c r="B14"/>
  <c r="U6"/>
  <c r="V6" s="1"/>
  <c r="P18" i="41" l="1"/>
  <c r="AO49" i="7"/>
  <c r="AN20"/>
  <c r="AO21"/>
  <c r="AO20" s="1"/>
  <c r="K33"/>
  <c r="AO53"/>
  <c r="AO40"/>
  <c r="O20"/>
  <c r="AO36"/>
  <c r="AO37"/>
  <c r="AO45"/>
  <c r="AO50"/>
  <c r="AN34"/>
  <c r="V20" i="6"/>
  <c r="V19" s="1"/>
  <c r="N19"/>
  <c r="V15"/>
  <c r="V14" s="1"/>
  <c r="N14"/>
  <c r="V25"/>
  <c r="V24" s="1"/>
  <c r="N24"/>
  <c r="V40"/>
  <c r="V39" s="1"/>
  <c r="N39"/>
  <c r="V45"/>
  <c r="V44" s="1"/>
  <c r="N44"/>
  <c r="V35"/>
  <c r="V34" s="1"/>
  <c r="N34"/>
  <c r="V30"/>
  <c r="V29" s="1"/>
  <c r="N29"/>
  <c r="D29"/>
  <c r="D39"/>
  <c r="D14"/>
  <c r="D19"/>
  <c r="D24"/>
  <c r="D34"/>
  <c r="D44"/>
  <c r="AO34" i="7" l="1"/>
  <c r="AO33" s="1"/>
  <c r="AN33"/>
  <c r="U51" i="45" l="1"/>
  <c r="I50" i="2" l="1"/>
  <c r="I49"/>
  <c r="CB52" i="1" l="1"/>
  <c r="BU52"/>
  <c r="BX52"/>
  <c r="BX51"/>
  <c r="BA52"/>
  <c r="R45" i="64" l="1"/>
  <c r="S45" s="1"/>
  <c r="O45"/>
  <c r="N45"/>
  <c r="M45"/>
  <c r="I45"/>
  <c r="F45"/>
  <c r="BF50" i="59" l="1"/>
  <c r="F50"/>
  <c r="G50"/>
  <c r="L45" i="61"/>
  <c r="F45"/>
  <c r="D30" i="28"/>
  <c r="C30"/>
  <c r="B30"/>
  <c r="D17"/>
  <c r="C17"/>
  <c r="B17"/>
  <c r="I48" i="2"/>
  <c r="I47"/>
  <c r="I46"/>
  <c r="I45"/>
  <c r="I43"/>
  <c r="I42"/>
  <c r="I41"/>
  <c r="I40"/>
  <c r="I39"/>
  <c r="I38"/>
  <c r="I37"/>
  <c r="I36"/>
  <c r="I35"/>
  <c r="I31" s="1"/>
  <c r="M31"/>
  <c r="L31"/>
  <c r="J31"/>
  <c r="H31"/>
  <c r="G31"/>
  <c r="F31"/>
  <c r="D31"/>
  <c r="B31"/>
  <c r="O18"/>
  <c r="M18"/>
  <c r="L18"/>
  <c r="J18"/>
  <c r="D18"/>
  <c r="B18"/>
  <c r="BB16" i="57"/>
  <c r="AJ7"/>
  <c r="R34"/>
  <c r="I22"/>
  <c r="CE52" i="1"/>
  <c r="K54" i="3"/>
  <c r="I54" i="51"/>
  <c r="J54" s="1"/>
  <c r="G54"/>
  <c r="G54" i="4"/>
  <c r="N55" i="3"/>
  <c r="O55" s="1"/>
  <c r="L55"/>
  <c r="K55"/>
  <c r="J55"/>
  <c r="G55"/>
  <c r="D55"/>
  <c r="BH52" i="1"/>
  <c r="AZ52"/>
  <c r="AX52"/>
  <c r="AY52" s="1"/>
  <c r="AV52"/>
  <c r="AV49"/>
  <c r="AM52" l="1"/>
  <c r="AN52"/>
  <c r="AO52"/>
  <c r="AP52"/>
  <c r="AL52"/>
  <c r="AH52"/>
  <c r="AD52"/>
  <c r="S52"/>
  <c r="T52" s="1"/>
  <c r="L52"/>
  <c r="BC52" s="1"/>
  <c r="AV50"/>
  <c r="N52" l="1"/>
  <c r="W52" s="1"/>
  <c r="X52" s="1"/>
  <c r="AV51"/>
  <c r="J51" i="35"/>
  <c r="K51" s="1"/>
  <c r="J50"/>
  <c r="K50" s="1"/>
  <c r="J49"/>
  <c r="J48"/>
  <c r="I50"/>
  <c r="I51"/>
  <c r="F50"/>
  <c r="F51"/>
  <c r="J51" i="36"/>
  <c r="K51" s="1"/>
  <c r="J50"/>
  <c r="K50" s="1"/>
  <c r="J49"/>
  <c r="J48"/>
  <c r="Q53" i="5"/>
  <c r="Q51"/>
  <c r="M53"/>
  <c r="O53" s="1"/>
  <c r="M52"/>
  <c r="O52" s="1"/>
  <c r="J53"/>
  <c r="L53" s="1"/>
  <c r="J52"/>
  <c r="L52" s="1"/>
  <c r="F53"/>
  <c r="F52"/>
  <c r="I52" s="1"/>
  <c r="I53"/>
  <c r="E52"/>
  <c r="E53"/>
  <c r="B53"/>
  <c r="B52"/>
  <c r="I50" i="36"/>
  <c r="I51"/>
  <c r="F50"/>
  <c r="F51"/>
  <c r="P53" i="5" l="1"/>
  <c r="R53" s="1"/>
  <c r="S53" s="1"/>
  <c r="P52"/>
  <c r="R52" s="1"/>
  <c r="S52" s="1"/>
  <c r="BA51" i="1"/>
  <c r="W50" i="39" l="1"/>
  <c r="U50"/>
  <c r="U54"/>
  <c r="U56"/>
  <c r="L56"/>
  <c r="L54"/>
  <c r="L50"/>
  <c r="L52"/>
  <c r="K57"/>
  <c r="K55"/>
  <c r="K53"/>
  <c r="K51"/>
  <c r="J56"/>
  <c r="J54"/>
  <c r="I57"/>
  <c r="I55"/>
  <c r="I53"/>
  <c r="I51"/>
  <c r="H57"/>
  <c r="H55"/>
  <c r="H53"/>
  <c r="H51"/>
  <c r="G56"/>
  <c r="G54"/>
  <c r="F57"/>
  <c r="E57"/>
  <c r="D57"/>
  <c r="C57"/>
  <c r="C55"/>
  <c r="D55"/>
  <c r="E55"/>
  <c r="F55"/>
  <c r="C53"/>
  <c r="D53"/>
  <c r="E53"/>
  <c r="F53"/>
  <c r="C51"/>
  <c r="D51"/>
  <c r="E51"/>
  <c r="F51"/>
  <c r="B57"/>
  <c r="W41" i="38" l="1"/>
  <c r="U41"/>
  <c r="Y22"/>
  <c r="W22"/>
  <c r="BT51" i="1" l="1"/>
  <c r="BV51" s="1"/>
  <c r="BF49" i="59" l="1"/>
  <c r="G49"/>
  <c r="F49"/>
  <c r="J38" i="33"/>
  <c r="K51"/>
  <c r="J51"/>
  <c r="L43" i="61"/>
  <c r="L44"/>
  <c r="F43"/>
  <c r="F44"/>
  <c r="I27" i="50"/>
  <c r="I50"/>
  <c r="E50"/>
  <c r="CB51" i="1" l="1"/>
  <c r="N44" i="64" l="1"/>
  <c r="M44"/>
  <c r="I44"/>
  <c r="F44"/>
  <c r="R43"/>
  <c r="S43" s="1"/>
  <c r="O43"/>
  <c r="N43"/>
  <c r="M43"/>
  <c r="I43"/>
  <c r="F43"/>
  <c r="U50" i="45"/>
  <c r="O44" i="64" l="1"/>
  <c r="R44" s="1"/>
  <c r="S44" s="1"/>
  <c r="I53" i="51" l="1"/>
  <c r="J53" s="1"/>
  <c r="G53"/>
  <c r="G53" i="4"/>
  <c r="L54" i="3"/>
  <c r="N54" s="1"/>
  <c r="O54" s="1"/>
  <c r="J54"/>
  <c r="G54"/>
  <c r="D54"/>
  <c r="CE51" i="1"/>
  <c r="BH51"/>
  <c r="BC51"/>
  <c r="AX51"/>
  <c r="AY51" s="1"/>
  <c r="AZ51" s="1"/>
  <c r="AL51"/>
  <c r="AO51"/>
  <c r="AN51"/>
  <c r="AM51"/>
  <c r="AH51"/>
  <c r="AD51"/>
  <c r="W51"/>
  <c r="X51" s="1"/>
  <c r="S51"/>
  <c r="T51" s="1"/>
  <c r="N51"/>
  <c r="L51"/>
  <c r="BT50"/>
  <c r="AP51" l="1"/>
  <c r="K50" i="33"/>
  <c r="J50"/>
  <c r="U49" i="45"/>
  <c r="BW51" i="1" l="1"/>
  <c r="BU51"/>
  <c r="BF48" i="59"/>
  <c r="F48"/>
  <c r="G48"/>
  <c r="M51" i="5" l="1"/>
  <c r="O51" s="1"/>
  <c r="J51"/>
  <c r="L51" s="1"/>
  <c r="F51"/>
  <c r="I51" s="1"/>
  <c r="B51"/>
  <c r="E51" s="1"/>
  <c r="I49" i="36"/>
  <c r="F49"/>
  <c r="J47" i="35"/>
  <c r="J46"/>
  <c r="I49"/>
  <c r="F49"/>
  <c r="K49" l="1"/>
  <c r="P51" i="5"/>
  <c r="R51" s="1"/>
  <c r="S51" s="1"/>
  <c r="K49" i="36"/>
  <c r="BA50" i="1"/>
  <c r="J43" i="10" l="1"/>
  <c r="I43"/>
  <c r="H43"/>
  <c r="D43"/>
  <c r="C32" i="44" l="1"/>
  <c r="D32"/>
  <c r="G32"/>
  <c r="F32"/>
  <c r="E32"/>
  <c r="B32"/>
  <c r="L42" i="61"/>
  <c r="F42"/>
  <c r="CB50" i="1"/>
  <c r="AG53" i="68"/>
  <c r="Z53"/>
  <c r="O51"/>
  <c r="N53"/>
  <c r="O53" s="1"/>
  <c r="Q53" s="1"/>
  <c r="G53"/>
  <c r="I52" i="51"/>
  <c r="J52" s="1"/>
  <c r="G52"/>
  <c r="G52" i="4"/>
  <c r="N53" i="3"/>
  <c r="O53" s="1"/>
  <c r="L53"/>
  <c r="K52"/>
  <c r="K53"/>
  <c r="J53"/>
  <c r="G53"/>
  <c r="D53"/>
  <c r="CE50" i="1"/>
  <c r="BH50"/>
  <c r="AX50"/>
  <c r="AY50" s="1"/>
  <c r="AZ50" s="1"/>
  <c r="BV50"/>
  <c r="AM50"/>
  <c r="AN50"/>
  <c r="AO50"/>
  <c r="AP50"/>
  <c r="AL50"/>
  <c r="AH50"/>
  <c r="AD50"/>
  <c r="W50"/>
  <c r="X50" s="1"/>
  <c r="S50"/>
  <c r="T50" s="1"/>
  <c r="N50"/>
  <c r="L50"/>
  <c r="BC50" s="1"/>
  <c r="BU50" l="1"/>
  <c r="BW50"/>
  <c r="BX50"/>
  <c r="AH53" i="68"/>
  <c r="AJ53" s="1"/>
  <c r="BA49" i="1" l="1"/>
  <c r="BT49" l="1"/>
  <c r="BF47" i="59"/>
  <c r="F47"/>
  <c r="G47"/>
  <c r="N42" i="64" l="1"/>
  <c r="O42" s="1"/>
  <c r="R42" s="1"/>
  <c r="S42" s="1"/>
  <c r="M42"/>
  <c r="I42"/>
  <c r="F42"/>
  <c r="L41" i="61" l="1"/>
  <c r="F41"/>
  <c r="CE49" i="1"/>
  <c r="CB49"/>
  <c r="BV49"/>
  <c r="BX49"/>
  <c r="BH49"/>
  <c r="AX49"/>
  <c r="AY49" s="1"/>
  <c r="AZ49" s="1"/>
  <c r="AL49"/>
  <c r="AM49"/>
  <c r="AN49"/>
  <c r="AO49"/>
  <c r="AH49"/>
  <c r="AD49"/>
  <c r="S49"/>
  <c r="T49" s="1"/>
  <c r="N49"/>
  <c r="W49" s="1"/>
  <c r="X49" s="1"/>
  <c r="L49"/>
  <c r="BC49" s="1"/>
  <c r="I51" i="51"/>
  <c r="J51" s="1"/>
  <c r="G51"/>
  <c r="G51" i="4"/>
  <c r="L52" i="3"/>
  <c r="N52" s="1"/>
  <c r="O52" s="1"/>
  <c r="J52"/>
  <c r="G52"/>
  <c r="D52"/>
  <c r="AP49" i="1" l="1"/>
  <c r="BU49" s="1"/>
  <c r="U48" i="45"/>
  <c r="BW49" i="1" l="1"/>
  <c r="J49" i="33"/>
  <c r="K49" s="1"/>
  <c r="J36"/>
  <c r="J35"/>
  <c r="J48"/>
  <c r="K48" s="1"/>
  <c r="J34"/>
  <c r="J47"/>
  <c r="K47" s="1"/>
  <c r="J46"/>
  <c r="J33"/>
  <c r="J31"/>
  <c r="J44"/>
  <c r="D44" i="50"/>
  <c r="C44"/>
  <c r="B44"/>
  <c r="E48"/>
  <c r="E47"/>
  <c r="E46"/>
  <c r="E45"/>
  <c r="E44" s="1"/>
  <c r="E43"/>
  <c r="E42"/>
  <c r="E41"/>
  <c r="E40"/>
  <c r="H44"/>
  <c r="G44"/>
  <c r="F44"/>
  <c r="I47"/>
  <c r="I48"/>
  <c r="I25"/>
  <c r="I26"/>
  <c r="I28"/>
  <c r="I44" l="1"/>
  <c r="BT48" i="1"/>
  <c r="BA48" l="1"/>
  <c r="AV48" l="1"/>
  <c r="M50" i="5" l="1"/>
  <c r="O50" s="1"/>
  <c r="J50"/>
  <c r="L50" s="1"/>
  <c r="F50"/>
  <c r="I50" s="1"/>
  <c r="E50"/>
  <c r="B50"/>
  <c r="I48" i="36"/>
  <c r="F48"/>
  <c r="I48" i="35"/>
  <c r="F48"/>
  <c r="AI47" i="68"/>
  <c r="AF47"/>
  <c r="AE47"/>
  <c r="AD47"/>
  <c r="AC47"/>
  <c r="AB47"/>
  <c r="AA47"/>
  <c r="AG47" s="1"/>
  <c r="AH47" s="1"/>
  <c r="AJ47" s="1"/>
  <c r="Y47"/>
  <c r="X47"/>
  <c r="Z47" s="1"/>
  <c r="W47"/>
  <c r="V47"/>
  <c r="U47"/>
  <c r="Q42"/>
  <c r="P47"/>
  <c r="M47"/>
  <c r="L47"/>
  <c r="K47"/>
  <c r="J47"/>
  <c r="I47"/>
  <c r="H47"/>
  <c r="N47" s="1"/>
  <c r="O47" s="1"/>
  <c r="Q47" s="1"/>
  <c r="F47"/>
  <c r="G47" s="1"/>
  <c r="E47"/>
  <c r="D47"/>
  <c r="C47"/>
  <c r="B47"/>
  <c r="U47" i="45"/>
  <c r="K48" i="35" l="1"/>
  <c r="K48" i="36"/>
  <c r="P50" i="5"/>
  <c r="R50" s="1"/>
  <c r="S50" s="1"/>
  <c r="N41" i="64"/>
  <c r="O41" s="1"/>
  <c r="R41" s="1"/>
  <c r="S41" s="1"/>
  <c r="M41"/>
  <c r="I41"/>
  <c r="F41"/>
  <c r="L40" i="61"/>
  <c r="F40"/>
  <c r="BF46" i="59"/>
  <c r="F46"/>
  <c r="G46"/>
  <c r="F45"/>
  <c r="AG51" i="68"/>
  <c r="Z51"/>
  <c r="N51"/>
  <c r="G51"/>
  <c r="AH51" l="1"/>
  <c r="AJ51" s="1"/>
  <c r="Q51"/>
  <c r="I50" i="51" l="1"/>
  <c r="J50" s="1"/>
  <c r="G50"/>
  <c r="G50" i="4"/>
  <c r="N51" i="3"/>
  <c r="O51" s="1"/>
  <c r="L51"/>
  <c r="K51"/>
  <c r="J51"/>
  <c r="G51"/>
  <c r="D51"/>
  <c r="CE48" i="1"/>
  <c r="CB48"/>
  <c r="BV48"/>
  <c r="BX48"/>
  <c r="BH48"/>
  <c r="BC48"/>
  <c r="AZ48"/>
  <c r="AX48"/>
  <c r="AY48" s="1"/>
  <c r="AL48"/>
  <c r="AP48" s="1"/>
  <c r="BW48" s="1"/>
  <c r="AO48"/>
  <c r="AN48"/>
  <c r="AM48"/>
  <c r="AH48"/>
  <c r="AD48"/>
  <c r="W48"/>
  <c r="X48" s="1"/>
  <c r="S48"/>
  <c r="T48" s="1"/>
  <c r="N48"/>
  <c r="L48"/>
  <c r="M49" i="5"/>
  <c r="O49" s="1"/>
  <c r="M46"/>
  <c r="J49"/>
  <c r="F49"/>
  <c r="I49" s="1"/>
  <c r="F46"/>
  <c r="L49"/>
  <c r="E49"/>
  <c r="B49"/>
  <c r="B48"/>
  <c r="B46"/>
  <c r="I47" i="36"/>
  <c r="F47"/>
  <c r="F47" i="35"/>
  <c r="I47"/>
  <c r="AV47" i="1"/>
  <c r="BA47"/>
  <c r="BU48" l="1"/>
  <c r="K47" i="36"/>
  <c r="P49" i="5"/>
  <c r="R49" s="1"/>
  <c r="S49" s="1"/>
  <c r="K47" i="35"/>
  <c r="CE47" i="1"/>
  <c r="U46" i="45"/>
  <c r="BF45" i="59" l="1"/>
  <c r="G45"/>
  <c r="L32" i="33" l="1"/>
  <c r="O32"/>
  <c r="N32"/>
  <c r="M32"/>
  <c r="L39" i="61"/>
  <c r="F39"/>
  <c r="S39" i="64"/>
  <c r="S40"/>
  <c r="R40"/>
  <c r="O40"/>
  <c r="N40"/>
  <c r="M40"/>
  <c r="I40"/>
  <c r="F40"/>
  <c r="CB47" i="1" l="1"/>
  <c r="I49" i="51" l="1"/>
  <c r="J49" s="1"/>
  <c r="G49"/>
  <c r="G49" i="4"/>
  <c r="K47" i="3"/>
  <c r="N50"/>
  <c r="O50" s="1"/>
  <c r="L50"/>
  <c r="K50"/>
  <c r="J50"/>
  <c r="G50"/>
  <c r="D50"/>
  <c r="BX47" i="1"/>
  <c r="BT47"/>
  <c r="BV47" s="1"/>
  <c r="BH47"/>
  <c r="AX47"/>
  <c r="AY47" s="1"/>
  <c r="AZ47" s="1"/>
  <c r="AL47"/>
  <c r="AP47" s="1"/>
  <c r="BU47" s="1"/>
  <c r="AO47"/>
  <c r="AN47"/>
  <c r="AM47"/>
  <c r="AH47"/>
  <c r="AD47"/>
  <c r="BW47" l="1"/>
  <c r="S47"/>
  <c r="T47" s="1"/>
  <c r="L47"/>
  <c r="BC47" s="1"/>
  <c r="K46" i="33"/>
  <c r="J44" i="36"/>
  <c r="J43"/>
  <c r="O48" i="5"/>
  <c r="M48"/>
  <c r="J48"/>
  <c r="L48" s="1"/>
  <c r="P48" s="1"/>
  <c r="R48" s="1"/>
  <c r="I48"/>
  <c r="F48"/>
  <c r="E48"/>
  <c r="I46" i="35"/>
  <c r="F46"/>
  <c r="I46" i="36"/>
  <c r="F46"/>
  <c r="N47" i="1" l="1"/>
  <c r="W47" s="1"/>
  <c r="X47" s="1"/>
  <c r="S48" i="5"/>
  <c r="K46" i="36"/>
  <c r="K46" i="35"/>
  <c r="BA46" i="1"/>
  <c r="CE44"/>
  <c r="CE46"/>
  <c r="AV46" l="1"/>
  <c r="U45" i="45"/>
  <c r="BF44" i="59" l="1"/>
  <c r="G44"/>
  <c r="F44"/>
  <c r="N39" i="64" l="1"/>
  <c r="O39" s="1"/>
  <c r="R39" s="1"/>
  <c r="M39"/>
  <c r="I39"/>
  <c r="F39"/>
  <c r="L38" i="61" l="1"/>
  <c r="F38"/>
  <c r="CB46" i="1"/>
  <c r="G48" i="51"/>
  <c r="I48" s="1"/>
  <c r="J48" s="1"/>
  <c r="G48" i="4"/>
  <c r="K49" i="3"/>
  <c r="J49"/>
  <c r="G49"/>
  <c r="D49"/>
  <c r="BX46" i="1"/>
  <c r="BT46"/>
  <c r="BV46" s="1"/>
  <c r="BH46"/>
  <c r="AX46"/>
  <c r="AY46" s="1"/>
  <c r="AO46"/>
  <c r="AN46"/>
  <c r="AM46"/>
  <c r="AL46"/>
  <c r="AH46"/>
  <c r="AD46"/>
  <c r="S46"/>
  <c r="T46" s="1"/>
  <c r="N46"/>
  <c r="W46" s="1"/>
  <c r="X46" s="1"/>
  <c r="L46"/>
  <c r="BC46" s="1"/>
  <c r="BS30" i="59"/>
  <c r="BR30"/>
  <c r="BQ30"/>
  <c r="BP30"/>
  <c r="BO30"/>
  <c r="BN30"/>
  <c r="BM30"/>
  <c r="BL30"/>
  <c r="BK30"/>
  <c r="BJ30"/>
  <c r="BI30"/>
  <c r="BH30"/>
  <c r="BG30"/>
  <c r="BE30"/>
  <c r="BD30"/>
  <c r="BC30"/>
  <c r="BB30"/>
  <c r="BA30"/>
  <c r="AZ30"/>
  <c r="AY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X30"/>
  <c r="W30"/>
  <c r="V30"/>
  <c r="U30"/>
  <c r="T30"/>
  <c r="S30"/>
  <c r="R30"/>
  <c r="Q30"/>
  <c r="P30"/>
  <c r="O30"/>
  <c r="N30"/>
  <c r="M30"/>
  <c r="L30"/>
  <c r="K30"/>
  <c r="J30"/>
  <c r="I30"/>
  <c r="H30"/>
  <c r="E30"/>
  <c r="D30"/>
  <c r="C30"/>
  <c r="B30"/>
  <c r="AP46" i="1" l="1"/>
  <c r="BU46" s="1"/>
  <c r="AZ46"/>
  <c r="L49" i="3"/>
  <c r="N49" s="1"/>
  <c r="O49" s="1"/>
  <c r="BF42" i="59"/>
  <c r="BF30" s="1"/>
  <c r="F42"/>
  <c r="G42"/>
  <c r="BW46" i="1" l="1"/>
  <c r="U44" i="45" l="1"/>
  <c r="K44" i="33" l="1"/>
  <c r="J43"/>
  <c r="J41"/>
  <c r="J42"/>
  <c r="I32"/>
  <c r="H32"/>
  <c r="G32"/>
  <c r="F32"/>
  <c r="E32"/>
  <c r="D32"/>
  <c r="C32"/>
  <c r="B32"/>
  <c r="BA44" i="1" l="1"/>
  <c r="CB44" l="1"/>
  <c r="J32" i="36" l="1"/>
  <c r="H32"/>
  <c r="G32"/>
  <c r="E32"/>
  <c r="D32"/>
  <c r="C32"/>
  <c r="B32"/>
  <c r="J32" i="35"/>
  <c r="I32"/>
  <c r="H32"/>
  <c r="G32"/>
  <c r="E32"/>
  <c r="D32"/>
  <c r="C32"/>
  <c r="B32"/>
  <c r="O46" i="5"/>
  <c r="O34" s="1"/>
  <c r="J46"/>
  <c r="L46" s="1"/>
  <c r="L34" s="1"/>
  <c r="I46"/>
  <c r="I34" s="1"/>
  <c r="E46"/>
  <c r="E34" s="1"/>
  <c r="Q34"/>
  <c r="N34"/>
  <c r="K34"/>
  <c r="H34"/>
  <c r="G34"/>
  <c r="D34"/>
  <c r="C34"/>
  <c r="J44" i="35"/>
  <c r="I44"/>
  <c r="F44"/>
  <c r="F32" s="1"/>
  <c r="Q25" i="64"/>
  <c r="P25"/>
  <c r="L25"/>
  <c r="K25"/>
  <c r="J25"/>
  <c r="H25"/>
  <c r="G25"/>
  <c r="E25"/>
  <c r="D25"/>
  <c r="C25"/>
  <c r="B25"/>
  <c r="N37"/>
  <c r="M37"/>
  <c r="I37"/>
  <c r="F37"/>
  <c r="F44" i="36"/>
  <c r="F32" s="1"/>
  <c r="I44"/>
  <c r="S24" i="61"/>
  <c r="R24"/>
  <c r="Q24"/>
  <c r="P24"/>
  <c r="O24"/>
  <c r="N24"/>
  <c r="M24"/>
  <c r="K24"/>
  <c r="J24"/>
  <c r="I24"/>
  <c r="H24"/>
  <c r="G24"/>
  <c r="E24"/>
  <c r="D24"/>
  <c r="C24"/>
  <c r="B24"/>
  <c r="L36"/>
  <c r="L24" s="1"/>
  <c r="F36"/>
  <c r="F24" s="1"/>
  <c r="AV44" i="1"/>
  <c r="BT44"/>
  <c r="H34" i="51"/>
  <c r="F34"/>
  <c r="E34"/>
  <c r="D34"/>
  <c r="C34"/>
  <c r="B34"/>
  <c r="G34" i="4"/>
  <c r="F34"/>
  <c r="E34"/>
  <c r="D34"/>
  <c r="C34"/>
  <c r="B34"/>
  <c r="G46" i="51"/>
  <c r="I46" s="1"/>
  <c r="G46" i="4"/>
  <c r="K35" i="3"/>
  <c r="J47"/>
  <c r="J35" s="1"/>
  <c r="G47"/>
  <c r="G35" s="1"/>
  <c r="D47"/>
  <c r="D35" s="1"/>
  <c r="M35"/>
  <c r="I35"/>
  <c r="H35"/>
  <c r="F35"/>
  <c r="E35"/>
  <c r="C35"/>
  <c r="B35"/>
  <c r="BH44" i="1"/>
  <c r="BH32" s="1"/>
  <c r="BC44"/>
  <c r="BC32" s="1"/>
  <c r="BA32"/>
  <c r="AL44"/>
  <c r="AP44" s="1"/>
  <c r="AO44"/>
  <c r="AO32" s="1"/>
  <c r="AN44"/>
  <c r="AN32" s="1"/>
  <c r="AM44"/>
  <c r="AM32" s="1"/>
  <c r="AH44"/>
  <c r="AH32" s="1"/>
  <c r="AD44"/>
  <c r="AD32" s="1"/>
  <c r="S44"/>
  <c r="S32" s="1"/>
  <c r="L44"/>
  <c r="L32" s="1"/>
  <c r="CE32"/>
  <c r="CD32"/>
  <c r="CC32"/>
  <c r="CB32"/>
  <c r="CA32"/>
  <c r="BZ32"/>
  <c r="BY32"/>
  <c r="BS32"/>
  <c r="BR32"/>
  <c r="BQ32"/>
  <c r="BP32"/>
  <c r="BN32"/>
  <c r="BM32"/>
  <c r="BL32"/>
  <c r="BK32"/>
  <c r="BJ32"/>
  <c r="BG32"/>
  <c r="BF32"/>
  <c r="BE32"/>
  <c r="BD32"/>
  <c r="BB32"/>
  <c r="AW32"/>
  <c r="AU32"/>
  <c r="AT32"/>
  <c r="AS32"/>
  <c r="AR32"/>
  <c r="AK32"/>
  <c r="AJ32"/>
  <c r="AI32"/>
  <c r="AG32"/>
  <c r="AF32"/>
  <c r="AE32"/>
  <c r="AC32"/>
  <c r="AB32"/>
  <c r="AA32"/>
  <c r="Y32"/>
  <c r="V32"/>
  <c r="U32"/>
  <c r="R32"/>
  <c r="Q32"/>
  <c r="P32"/>
  <c r="O32"/>
  <c r="M32"/>
  <c r="K32"/>
  <c r="J32"/>
  <c r="J34" i="5" l="1"/>
  <c r="K44" i="36"/>
  <c r="I32"/>
  <c r="G34" i="51"/>
  <c r="J46"/>
  <c r="J34" s="1"/>
  <c r="I34"/>
  <c r="L47" i="3"/>
  <c r="L35" s="1"/>
  <c r="AP32" i="1"/>
  <c r="BU44"/>
  <c r="BU32" s="1"/>
  <c r="AV32"/>
  <c r="BX44"/>
  <c r="BX32" s="1"/>
  <c r="N44"/>
  <c r="BW44"/>
  <c r="BW32" s="1"/>
  <c r="M34" i="5"/>
  <c r="F34"/>
  <c r="B34"/>
  <c r="P46"/>
  <c r="K44" i="35"/>
  <c r="K32" s="1"/>
  <c r="O37" i="64"/>
  <c r="R37" s="1"/>
  <c r="AX44" i="1"/>
  <c r="BV44"/>
  <c r="BV32" s="1"/>
  <c r="BT32"/>
  <c r="AL32"/>
  <c r="T44"/>
  <c r="T32" s="1"/>
  <c r="K32" i="36" l="1"/>
  <c r="N47" i="3"/>
  <c r="N35" s="1"/>
  <c r="N32" i="1"/>
  <c r="W44"/>
  <c r="P34" i="5"/>
  <c r="R46"/>
  <c r="AY44" i="1"/>
  <c r="AX32"/>
  <c r="M45" i="5"/>
  <c r="O45" s="1"/>
  <c r="J45"/>
  <c r="L45" s="1"/>
  <c r="J42"/>
  <c r="J43"/>
  <c r="J44"/>
  <c r="F45"/>
  <c r="I45" s="1"/>
  <c r="B44"/>
  <c r="B45"/>
  <c r="E45" s="1"/>
  <c r="I43" i="36"/>
  <c r="F43"/>
  <c r="J43" i="35"/>
  <c r="I43"/>
  <c r="F43"/>
  <c r="I42"/>
  <c r="K42" s="1"/>
  <c r="F42"/>
  <c r="K41"/>
  <c r="J41"/>
  <c r="I41"/>
  <c r="F41"/>
  <c r="J40"/>
  <c r="I40"/>
  <c r="F40"/>
  <c r="I39"/>
  <c r="F39"/>
  <c r="I38"/>
  <c r="F38"/>
  <c r="K37"/>
  <c r="I37"/>
  <c r="F37"/>
  <c r="I36"/>
  <c r="K36" s="1"/>
  <c r="F36"/>
  <c r="I35"/>
  <c r="F35"/>
  <c r="K34"/>
  <c r="I34"/>
  <c r="F34"/>
  <c r="I33"/>
  <c r="F33"/>
  <c r="I31"/>
  <c r="I19" s="1"/>
  <c r="F31"/>
  <c r="F19" s="1"/>
  <c r="K30"/>
  <c r="I30"/>
  <c r="F30"/>
  <c r="K29"/>
  <c r="I29"/>
  <c r="F29"/>
  <c r="K28"/>
  <c r="I28"/>
  <c r="F28"/>
  <c r="K27"/>
  <c r="I27"/>
  <c r="F27"/>
  <c r="I26"/>
  <c r="F26"/>
  <c r="I25"/>
  <c r="F25"/>
  <c r="K24"/>
  <c r="I24"/>
  <c r="F24"/>
  <c r="I23"/>
  <c r="F23"/>
  <c r="K22"/>
  <c r="I22"/>
  <c r="F22"/>
  <c r="I21"/>
  <c r="F21"/>
  <c r="I20"/>
  <c r="F20"/>
  <c r="J19"/>
  <c r="H19"/>
  <c r="G19"/>
  <c r="E19"/>
  <c r="D19"/>
  <c r="C19"/>
  <c r="B19"/>
  <c r="I7"/>
  <c r="K7" s="1"/>
  <c r="F7"/>
  <c r="I6"/>
  <c r="F6"/>
  <c r="K33" l="1"/>
  <c r="K31"/>
  <c r="K19" s="1"/>
  <c r="K39"/>
  <c r="K20"/>
  <c r="K25"/>
  <c r="K23"/>
  <c r="K35"/>
  <c r="K21"/>
  <c r="K40"/>
  <c r="K26"/>
  <c r="K38"/>
  <c r="K6"/>
  <c r="O47" i="3"/>
  <c r="O35" s="1"/>
  <c r="X44" i="1"/>
  <c r="X32" s="1"/>
  <c r="W32"/>
  <c r="R34" i="5"/>
  <c r="S46"/>
  <c r="AY32" i="1"/>
  <c r="AZ44"/>
  <c r="AZ32" s="1"/>
  <c r="P45" i="5"/>
  <c r="R45" s="1"/>
  <c r="S45" s="1"/>
  <c r="K43" i="36"/>
  <c r="K43" i="35"/>
  <c r="S34" i="5" l="1"/>
  <c r="AV43" i="1"/>
  <c r="BV43" s="1"/>
  <c r="BT42"/>
  <c r="BT43"/>
  <c r="BF41" i="59" l="1"/>
  <c r="F41"/>
  <c r="G41"/>
  <c r="C30" i="45"/>
  <c r="D30"/>
  <c r="E30"/>
  <c r="F30"/>
  <c r="G30"/>
  <c r="H30"/>
  <c r="I30"/>
  <c r="J30"/>
  <c r="K30"/>
  <c r="L30"/>
  <c r="M30"/>
  <c r="N30"/>
  <c r="O30"/>
  <c r="P30"/>
  <c r="Q30"/>
  <c r="R30"/>
  <c r="S30"/>
  <c r="T30"/>
  <c r="B30"/>
  <c r="U42"/>
  <c r="U41"/>
  <c r="U40"/>
  <c r="U39"/>
  <c r="U38"/>
  <c r="U37"/>
  <c r="AG50" i="68" l="1"/>
  <c r="Z50"/>
  <c r="N50"/>
  <c r="G50"/>
  <c r="J33" i="58"/>
  <c r="BW33"/>
  <c r="BV33"/>
  <c r="BU33"/>
  <c r="BT33"/>
  <c r="BS33"/>
  <c r="BR33"/>
  <c r="BQ33"/>
  <c r="BP33"/>
  <c r="BO33"/>
  <c r="BN33"/>
  <c r="BM33"/>
  <c r="BL33"/>
  <c r="BK33"/>
  <c r="BJ33"/>
  <c r="BH33"/>
  <c r="BG33"/>
  <c r="BF33"/>
  <c r="BE33"/>
  <c r="BD33"/>
  <c r="BC33"/>
  <c r="BB33"/>
  <c r="BA33"/>
  <c r="AZ33"/>
  <c r="AY33"/>
  <c r="AX33"/>
  <c r="AW33"/>
  <c r="AV33"/>
  <c r="AU33"/>
  <c r="AS33"/>
  <c r="AR33"/>
  <c r="AQ33"/>
  <c r="AP33"/>
  <c r="AO33"/>
  <c r="AN33"/>
  <c r="AM33"/>
  <c r="AL33"/>
  <c r="AK33"/>
  <c r="AJ33"/>
  <c r="AI33"/>
  <c r="AH33"/>
  <c r="AG33"/>
  <c r="AF33"/>
  <c r="AD33"/>
  <c r="AC33"/>
  <c r="AB33"/>
  <c r="AA33"/>
  <c r="Z33"/>
  <c r="Y33"/>
  <c r="X33"/>
  <c r="W33"/>
  <c r="V33"/>
  <c r="U33"/>
  <c r="T33"/>
  <c r="S33"/>
  <c r="R33"/>
  <c r="Q33"/>
  <c r="O33"/>
  <c r="N33"/>
  <c r="M33"/>
  <c r="L33"/>
  <c r="K33"/>
  <c r="I33"/>
  <c r="H33"/>
  <c r="G33"/>
  <c r="F33"/>
  <c r="E33"/>
  <c r="D33"/>
  <c r="C33"/>
  <c r="B33"/>
  <c r="K43" i="33"/>
  <c r="K42"/>
  <c r="K46" i="3"/>
  <c r="L35" i="61"/>
  <c r="F35"/>
  <c r="CE43" i="1"/>
  <c r="CB43"/>
  <c r="G45" i="51"/>
  <c r="I45" s="1"/>
  <c r="J45" s="1"/>
  <c r="G45" i="4"/>
  <c r="AH50" i="68" l="1"/>
  <c r="AJ50" s="1"/>
  <c r="O50"/>
  <c r="Q50" s="1"/>
  <c r="G46" i="3"/>
  <c r="L46" s="1"/>
  <c r="N46" s="1"/>
  <c r="J46"/>
  <c r="D46"/>
  <c r="BX43" i="1"/>
  <c r="BU43"/>
  <c r="BA43"/>
  <c r="BH43"/>
  <c r="AX43"/>
  <c r="AY43" s="1"/>
  <c r="AL43"/>
  <c r="AP43" s="1"/>
  <c r="BW43" s="1"/>
  <c r="AO43"/>
  <c r="AN43"/>
  <c r="AM43"/>
  <c r="AH43"/>
  <c r="AD43"/>
  <c r="S43"/>
  <c r="T43" s="1"/>
  <c r="L43"/>
  <c r="N43" s="1"/>
  <c r="W43" s="1"/>
  <c r="X43" s="1"/>
  <c r="N36" i="64"/>
  <c r="M36"/>
  <c r="I36"/>
  <c r="F36"/>
  <c r="O36" l="1"/>
  <c r="R36" s="1"/>
  <c r="O46" i="3"/>
  <c r="AZ43" i="1"/>
  <c r="BC43"/>
  <c r="BF40" i="59" l="1"/>
  <c r="G40"/>
  <c r="F40"/>
  <c r="BF39"/>
  <c r="G39"/>
  <c r="F39"/>
  <c r="BF38"/>
  <c r="G38"/>
  <c r="F38"/>
  <c r="BF37"/>
  <c r="G37"/>
  <c r="F37"/>
  <c r="BF36"/>
  <c r="G36"/>
  <c r="F36"/>
  <c r="BF35"/>
  <c r="G35"/>
  <c r="F35"/>
  <c r="BF34"/>
  <c r="G34"/>
  <c r="BF33"/>
  <c r="G33"/>
  <c r="F33"/>
  <c r="BF32"/>
  <c r="G32"/>
  <c r="F32"/>
  <c r="BF31"/>
  <c r="G31"/>
  <c r="G30" s="1"/>
  <c r="F31"/>
  <c r="F30" s="1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A42" i="1"/>
  <c r="I42" i="36"/>
  <c r="K42" s="1"/>
  <c r="F42"/>
  <c r="M44" i="5"/>
  <c r="O44" s="1"/>
  <c r="L44"/>
  <c r="I44"/>
  <c r="F44"/>
  <c r="E44"/>
  <c r="AV42" i="1"/>
  <c r="BV42" s="1"/>
  <c r="P44" i="5" l="1"/>
  <c r="R44" s="1"/>
  <c r="S44" s="1"/>
  <c r="BX42" i="1"/>
  <c r="CE42"/>
  <c r="CB42"/>
  <c r="N35" i="64"/>
  <c r="M35"/>
  <c r="I35"/>
  <c r="F35"/>
  <c r="W23" i="38"/>
  <c r="V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U23"/>
  <c r="O42"/>
  <c r="W56" i="39"/>
  <c r="Q56"/>
  <c r="O35" i="64" l="1"/>
  <c r="R35" s="1"/>
  <c r="W42" i="38"/>
  <c r="N42"/>
  <c r="M42"/>
  <c r="K42"/>
  <c r="J42"/>
  <c r="V42"/>
  <c r="I42"/>
  <c r="U42"/>
  <c r="H42"/>
  <c r="T42"/>
  <c r="G42"/>
  <c r="S42"/>
  <c r="B42"/>
  <c r="Y41"/>
  <c r="L42"/>
  <c r="E42"/>
  <c r="Q42"/>
  <c r="F42"/>
  <c r="R42"/>
  <c r="D42"/>
  <c r="P42"/>
  <c r="C42"/>
  <c r="G44" i="4" l="1"/>
  <c r="G44" i="51" l="1"/>
  <c r="I44" s="1"/>
  <c r="J44" s="1"/>
  <c r="K45" i="3"/>
  <c r="L34" i="61"/>
  <c r="F34"/>
  <c r="K32" i="3" l="1"/>
  <c r="BH42" i="1" l="1"/>
  <c r="AX42"/>
  <c r="AY42" s="1"/>
  <c r="AZ42" s="1"/>
  <c r="AL42"/>
  <c r="AP42" s="1"/>
  <c r="AO42"/>
  <c r="AN42"/>
  <c r="AM42"/>
  <c r="AH42"/>
  <c r="AD42"/>
  <c r="S42"/>
  <c r="T42" s="1"/>
  <c r="N42"/>
  <c r="W42" s="1"/>
  <c r="X42" s="1"/>
  <c r="L42"/>
  <c r="BC42" s="1"/>
  <c r="J45" i="3"/>
  <c r="L45" s="1"/>
  <c r="N45" s="1"/>
  <c r="O45" s="1"/>
  <c r="G45"/>
  <c r="D45"/>
  <c r="D43"/>
  <c r="BU42" i="1" l="1"/>
  <c r="BW42"/>
  <c r="BT41"/>
  <c r="J41" i="36"/>
  <c r="J40"/>
  <c r="J39"/>
  <c r="J38"/>
  <c r="J37"/>
  <c r="J34"/>
  <c r="BV41" i="1" l="1"/>
  <c r="BA41"/>
  <c r="BX41" s="1"/>
  <c r="AV41"/>
  <c r="F41" i="36" l="1"/>
  <c r="K41" s="1"/>
  <c r="F40"/>
  <c r="K40" s="1"/>
  <c r="I41"/>
  <c r="I40"/>
  <c r="O43" i="5" l="1"/>
  <c r="O42"/>
  <c r="M43"/>
  <c r="M42"/>
  <c r="M41" l="1"/>
  <c r="J41" l="1"/>
  <c r="AG49" i="68"/>
  <c r="Z49"/>
  <c r="L33" i="61"/>
  <c r="F33"/>
  <c r="L32"/>
  <c r="F32"/>
  <c r="L31"/>
  <c r="F31"/>
  <c r="L30"/>
  <c r="F30"/>
  <c r="L29"/>
  <c r="F29"/>
  <c r="L28"/>
  <c r="F28"/>
  <c r="L27"/>
  <c r="F27"/>
  <c r="L26"/>
  <c r="F26"/>
  <c r="L25"/>
  <c r="F25"/>
  <c r="L23"/>
  <c r="L11" s="1"/>
  <c r="F23"/>
  <c r="F11" s="1"/>
  <c r="L22"/>
  <c r="F22"/>
  <c r="L21"/>
  <c r="F21"/>
  <c r="L20"/>
  <c r="F20"/>
  <c r="L19"/>
  <c r="F19"/>
  <c r="L18"/>
  <c r="F18"/>
  <c r="L17"/>
  <c r="F17"/>
  <c r="L16"/>
  <c r="F16"/>
  <c r="L15"/>
  <c r="F15"/>
  <c r="L14"/>
  <c r="F14"/>
  <c r="L13"/>
  <c r="F13"/>
  <c r="L12"/>
  <c r="F12"/>
  <c r="S11"/>
  <c r="R11"/>
  <c r="Q11"/>
  <c r="P11"/>
  <c r="O11"/>
  <c r="N11"/>
  <c r="M11"/>
  <c r="K11"/>
  <c r="J11"/>
  <c r="I11"/>
  <c r="H11"/>
  <c r="G11"/>
  <c r="E11"/>
  <c r="D11"/>
  <c r="C11"/>
  <c r="B11"/>
  <c r="L43" i="5"/>
  <c r="L42"/>
  <c r="F43"/>
  <c r="I43" s="1"/>
  <c r="F42"/>
  <c r="I42" s="1"/>
  <c r="E42"/>
  <c r="B43"/>
  <c r="E43" s="1"/>
  <c r="B42"/>
  <c r="AH49" i="68" l="1"/>
  <c r="AJ49" s="1"/>
  <c r="P42" i="5"/>
  <c r="R42" s="1"/>
  <c r="S42" s="1"/>
  <c r="P43"/>
  <c r="R43" s="1"/>
  <c r="S43" s="1"/>
  <c r="N49" i="68"/>
  <c r="G49"/>
  <c r="I46" i="50"/>
  <c r="G43" i="51"/>
  <c r="I43" s="1"/>
  <c r="J43" s="1"/>
  <c r="O49" i="68" l="1"/>
  <c r="Q49" s="1"/>
  <c r="G43" i="4"/>
  <c r="CE41" i="1" l="1"/>
  <c r="CB41"/>
  <c r="N34" i="64"/>
  <c r="M34"/>
  <c r="I34"/>
  <c r="F34"/>
  <c r="K30" i="3"/>
  <c r="K44"/>
  <c r="AV40" i="1"/>
  <c r="BA40"/>
  <c r="O34" i="64" l="1"/>
  <c r="R34" s="1"/>
  <c r="J44" i="3"/>
  <c r="L44" s="1"/>
  <c r="N44" s="1"/>
  <c r="O44" s="1"/>
  <c r="G44"/>
  <c r="D44"/>
  <c r="BH41" i="1"/>
  <c r="AX41"/>
  <c r="AY41" s="1"/>
  <c r="AZ41" s="1"/>
  <c r="AL41"/>
  <c r="AO41"/>
  <c r="AN41"/>
  <c r="AM41"/>
  <c r="AH41"/>
  <c r="AD41"/>
  <c r="S41"/>
  <c r="T41" s="1"/>
  <c r="AP41" l="1"/>
  <c r="N41"/>
  <c r="W41" s="1"/>
  <c r="X41" s="1"/>
  <c r="L41"/>
  <c r="BC41" s="1"/>
  <c r="K41" i="33"/>
  <c r="BU41" i="1" l="1"/>
  <c r="BW41"/>
  <c r="CB40" l="1"/>
  <c r="N33" i="64"/>
  <c r="M33"/>
  <c r="I33"/>
  <c r="F33"/>
  <c r="CE40" i="1"/>
  <c r="BX40"/>
  <c r="BT40"/>
  <c r="I42" i="51"/>
  <c r="J42" s="1"/>
  <c r="G42"/>
  <c r="G42" i="4"/>
  <c r="K43" i="3"/>
  <c r="J43"/>
  <c r="G43"/>
  <c r="BH40" i="1"/>
  <c r="O33" i="64" l="1"/>
  <c r="R33" s="1"/>
  <c r="BW40" i="1"/>
  <c r="L43" i="3"/>
  <c r="N43" s="1"/>
  <c r="O43" s="1"/>
  <c r="BV40" i="1"/>
  <c r="AX40"/>
  <c r="AY40" s="1"/>
  <c r="AZ40" s="1"/>
  <c r="AL40"/>
  <c r="AP40" s="1"/>
  <c r="BU40" s="1"/>
  <c r="AO40"/>
  <c r="AN40"/>
  <c r="AM40"/>
  <c r="AH40"/>
  <c r="AD40"/>
  <c r="S40"/>
  <c r="T40" s="1"/>
  <c r="L40"/>
  <c r="BC40" s="1"/>
  <c r="N40" l="1"/>
  <c r="W40" s="1"/>
  <c r="X40" s="1"/>
  <c r="K40" i="33"/>
  <c r="K39"/>
  <c r="K38"/>
  <c r="J37"/>
  <c r="K37" s="1"/>
  <c r="K36"/>
  <c r="K35"/>
  <c r="K33"/>
  <c r="K31"/>
  <c r="J30"/>
  <c r="K30" s="1"/>
  <c r="K29"/>
  <c r="J29"/>
  <c r="J28"/>
  <c r="K28" s="1"/>
  <c r="K27"/>
  <c r="J27"/>
  <c r="K26"/>
  <c r="J26"/>
  <c r="K25"/>
  <c r="J25"/>
  <c r="J24"/>
  <c r="K24" s="1"/>
  <c r="K23"/>
  <c r="J23"/>
  <c r="K22"/>
  <c r="J22"/>
  <c r="K21"/>
  <c r="J21"/>
  <c r="J20"/>
  <c r="O19"/>
  <c r="N19"/>
  <c r="M19"/>
  <c r="L19"/>
  <c r="I19"/>
  <c r="H19"/>
  <c r="G19"/>
  <c r="F19"/>
  <c r="E19"/>
  <c r="D19"/>
  <c r="C19"/>
  <c r="B19"/>
  <c r="K34" l="1"/>
  <c r="K32" s="1"/>
  <c r="J32"/>
  <c r="J19"/>
  <c r="K20"/>
  <c r="K19" s="1"/>
  <c r="AG48" i="68" l="1"/>
  <c r="Z48"/>
  <c r="N48"/>
  <c r="G48"/>
  <c r="AG46"/>
  <c r="Z46"/>
  <c r="N46"/>
  <c r="G46"/>
  <c r="AG45"/>
  <c r="Z45"/>
  <c r="N45"/>
  <c r="G45"/>
  <c r="AG44"/>
  <c r="Z44"/>
  <c r="N44"/>
  <c r="G44"/>
  <c r="AG43"/>
  <c r="Z43"/>
  <c r="N43"/>
  <c r="G43"/>
  <c r="AI42"/>
  <c r="AF42"/>
  <c r="AE42"/>
  <c r="AD42"/>
  <c r="AC42"/>
  <c r="AB42"/>
  <c r="AA42"/>
  <c r="Y42"/>
  <c r="X42"/>
  <c r="W42"/>
  <c r="V42"/>
  <c r="U42"/>
  <c r="P42"/>
  <c r="M42"/>
  <c r="L42"/>
  <c r="K42"/>
  <c r="J42"/>
  <c r="I42"/>
  <c r="H42"/>
  <c r="F42"/>
  <c r="E42"/>
  <c r="D42"/>
  <c r="C42"/>
  <c r="B42"/>
  <c r="AG41"/>
  <c r="Z41"/>
  <c r="N41"/>
  <c r="G41"/>
  <c r="AG40"/>
  <c r="Z40"/>
  <c r="N40"/>
  <c r="G40"/>
  <c r="AG39"/>
  <c r="Z39"/>
  <c r="N39"/>
  <c r="G39"/>
  <c r="AG38"/>
  <c r="Z38"/>
  <c r="N38"/>
  <c r="G38"/>
  <c r="AI37"/>
  <c r="AF37"/>
  <c r="AE37"/>
  <c r="AD37"/>
  <c r="AC37"/>
  <c r="AB37"/>
  <c r="AA37"/>
  <c r="Y37"/>
  <c r="X37"/>
  <c r="W37"/>
  <c r="V37"/>
  <c r="U37"/>
  <c r="P37"/>
  <c r="M37"/>
  <c r="L37"/>
  <c r="K37"/>
  <c r="J37"/>
  <c r="I37"/>
  <c r="H37"/>
  <c r="F37"/>
  <c r="E37"/>
  <c r="D37"/>
  <c r="C37"/>
  <c r="B37"/>
  <c r="AG36"/>
  <c r="AH36" s="1"/>
  <c r="AJ36" s="1"/>
  <c r="Z36"/>
  <c r="N36"/>
  <c r="G36"/>
  <c r="O36" s="1"/>
  <c r="Q36" s="1"/>
  <c r="AG35"/>
  <c r="AH35" s="1"/>
  <c r="AJ35" s="1"/>
  <c r="Z35"/>
  <c r="N35"/>
  <c r="O35" s="1"/>
  <c r="Q35" s="1"/>
  <c r="G35"/>
  <c r="AG34"/>
  <c r="AH34" s="1"/>
  <c r="AJ34" s="1"/>
  <c r="Z34"/>
  <c r="N34"/>
  <c r="O34" s="1"/>
  <c r="Q34" s="1"/>
  <c r="G34"/>
  <c r="AG33"/>
  <c r="Z33"/>
  <c r="N33"/>
  <c r="O33" s="1"/>
  <c r="Q33" s="1"/>
  <c r="G33"/>
  <c r="AI32"/>
  <c r="AF32"/>
  <c r="AE32"/>
  <c r="AD32"/>
  <c r="AC32"/>
  <c r="AB32"/>
  <c r="AA32"/>
  <c r="Y32"/>
  <c r="X32"/>
  <c r="W32"/>
  <c r="V32"/>
  <c r="U32"/>
  <c r="P32"/>
  <c r="M32"/>
  <c r="L32"/>
  <c r="K32"/>
  <c r="J32"/>
  <c r="I32"/>
  <c r="H32"/>
  <c r="F32"/>
  <c r="E32"/>
  <c r="D32"/>
  <c r="C32"/>
  <c r="B32"/>
  <c r="AG31"/>
  <c r="Z31"/>
  <c r="O31"/>
  <c r="Q31" s="1"/>
  <c r="N31"/>
  <c r="G31"/>
  <c r="AG30"/>
  <c r="Z30"/>
  <c r="N30"/>
  <c r="O30" s="1"/>
  <c r="Q30" s="1"/>
  <c r="G30"/>
  <c r="AG29"/>
  <c r="Z29"/>
  <c r="O29"/>
  <c r="Q29" s="1"/>
  <c r="N29"/>
  <c r="G29"/>
  <c r="AG28"/>
  <c r="Z28"/>
  <c r="N28"/>
  <c r="G28"/>
  <c r="O28" s="1"/>
  <c r="Q28" s="1"/>
  <c r="AI27"/>
  <c r="AF27"/>
  <c r="AE27"/>
  <c r="AD27"/>
  <c r="AC27"/>
  <c r="AB27"/>
  <c r="AA27"/>
  <c r="Y27"/>
  <c r="X27"/>
  <c r="W27"/>
  <c r="V27"/>
  <c r="U27"/>
  <c r="P27"/>
  <c r="M27"/>
  <c r="L27"/>
  <c r="K27"/>
  <c r="J27"/>
  <c r="I27"/>
  <c r="H27"/>
  <c r="F27"/>
  <c r="E27"/>
  <c r="D27"/>
  <c r="C27"/>
  <c r="B27"/>
  <c r="AG26"/>
  <c r="AH26" s="1"/>
  <c r="AJ26" s="1"/>
  <c r="Z26"/>
  <c r="N26"/>
  <c r="G26"/>
  <c r="O26" s="1"/>
  <c r="Q26" s="1"/>
  <c r="AG25"/>
  <c r="AH25" s="1"/>
  <c r="AJ25" s="1"/>
  <c r="Z25"/>
  <c r="N25"/>
  <c r="O25" s="1"/>
  <c r="Q25" s="1"/>
  <c r="G25"/>
  <c r="AG24"/>
  <c r="AH24" s="1"/>
  <c r="AJ24" s="1"/>
  <c r="Z24"/>
  <c r="N24"/>
  <c r="O24" s="1"/>
  <c r="Q24" s="1"/>
  <c r="G24"/>
  <c r="AG23"/>
  <c r="Z23"/>
  <c r="O23"/>
  <c r="Q23" s="1"/>
  <c r="N23"/>
  <c r="G23"/>
  <c r="AI22"/>
  <c r="AF22"/>
  <c r="AE22"/>
  <c r="AD22"/>
  <c r="AC22"/>
  <c r="AB22"/>
  <c r="AA22"/>
  <c r="Y22"/>
  <c r="X22"/>
  <c r="W22"/>
  <c r="V22"/>
  <c r="U22"/>
  <c r="P22"/>
  <c r="M22"/>
  <c r="L22"/>
  <c r="K22"/>
  <c r="J22"/>
  <c r="I22"/>
  <c r="H22"/>
  <c r="F22"/>
  <c r="E22"/>
  <c r="D22"/>
  <c r="C22"/>
  <c r="B22"/>
  <c r="AG21"/>
  <c r="AH21" s="1"/>
  <c r="AJ21" s="1"/>
  <c r="Z21"/>
  <c r="N21"/>
  <c r="G21"/>
  <c r="AG20"/>
  <c r="Z20"/>
  <c r="N20"/>
  <c r="O20" s="1"/>
  <c r="Q20" s="1"/>
  <c r="G20"/>
  <c r="AG19"/>
  <c r="AH19" s="1"/>
  <c r="AJ19" s="1"/>
  <c r="Z19"/>
  <c r="N19"/>
  <c r="G19"/>
  <c r="AG18"/>
  <c r="Z18"/>
  <c r="O18"/>
  <c r="Q18" s="1"/>
  <c r="N18"/>
  <c r="G18"/>
  <c r="AI17"/>
  <c r="AF17"/>
  <c r="AE17"/>
  <c r="AD17"/>
  <c r="AC17"/>
  <c r="AB17"/>
  <c r="AA17"/>
  <c r="Y17"/>
  <c r="X17"/>
  <c r="W17"/>
  <c r="V17"/>
  <c r="U17"/>
  <c r="P17"/>
  <c r="M17"/>
  <c r="L17"/>
  <c r="K17"/>
  <c r="J17"/>
  <c r="I17"/>
  <c r="H17"/>
  <c r="F17"/>
  <c r="E17"/>
  <c r="D17"/>
  <c r="C17"/>
  <c r="B17"/>
  <c r="AG16"/>
  <c r="AH16" s="1"/>
  <c r="AJ16" s="1"/>
  <c r="Z16"/>
  <c r="N16"/>
  <c r="G16"/>
  <c r="O16" s="1"/>
  <c r="Q16" s="1"/>
  <c r="AG15"/>
  <c r="AH15" s="1"/>
  <c r="AJ15" s="1"/>
  <c r="Z15"/>
  <c r="N15"/>
  <c r="G15"/>
  <c r="AG14"/>
  <c r="AH14" s="1"/>
  <c r="AJ14" s="1"/>
  <c r="Z14"/>
  <c r="N14"/>
  <c r="G14"/>
  <c r="O14" s="1"/>
  <c r="Q14" s="1"/>
  <c r="AG13"/>
  <c r="Z13"/>
  <c r="N13"/>
  <c r="O13" s="1"/>
  <c r="Q13" s="1"/>
  <c r="G13"/>
  <c r="AI12"/>
  <c r="AF12"/>
  <c r="AE12"/>
  <c r="AD12"/>
  <c r="AC12"/>
  <c r="AB12"/>
  <c r="AA12"/>
  <c r="Y12"/>
  <c r="X12"/>
  <c r="W12"/>
  <c r="V12"/>
  <c r="U12"/>
  <c r="P12"/>
  <c r="M12"/>
  <c r="L12"/>
  <c r="K12"/>
  <c r="J12"/>
  <c r="I12"/>
  <c r="H12"/>
  <c r="F12"/>
  <c r="E12"/>
  <c r="D12"/>
  <c r="C12"/>
  <c r="B12"/>
  <c r="AG11"/>
  <c r="Z11"/>
  <c r="O11"/>
  <c r="Q11" s="1"/>
  <c r="N11"/>
  <c r="G11"/>
  <c r="AG10"/>
  <c r="Z10"/>
  <c r="N10"/>
  <c r="G10"/>
  <c r="AG9"/>
  <c r="Z9"/>
  <c r="O9"/>
  <c r="Q9" s="1"/>
  <c r="N9"/>
  <c r="G9"/>
  <c r="AG8"/>
  <c r="Z8"/>
  <c r="O8"/>
  <c r="Q8" s="1"/>
  <c r="N8"/>
  <c r="G8"/>
  <c r="AI7"/>
  <c r="AF7"/>
  <c r="AE7"/>
  <c r="AD7"/>
  <c r="AC7"/>
  <c r="AB7"/>
  <c r="AA7"/>
  <c r="Y7"/>
  <c r="X7"/>
  <c r="W7"/>
  <c r="V7"/>
  <c r="U7"/>
  <c r="P7"/>
  <c r="M7"/>
  <c r="L7"/>
  <c r="K7"/>
  <c r="J7"/>
  <c r="I7"/>
  <c r="H7"/>
  <c r="F7"/>
  <c r="E7"/>
  <c r="D7"/>
  <c r="C7"/>
  <c r="B7"/>
  <c r="O10" l="1"/>
  <c r="Q10" s="1"/>
  <c r="AH29"/>
  <c r="AJ29" s="1"/>
  <c r="O44"/>
  <c r="Q44" s="1"/>
  <c r="O48"/>
  <c r="Q48" s="1"/>
  <c r="O15"/>
  <c r="Q15" s="1"/>
  <c r="O19"/>
  <c r="Q19" s="1"/>
  <c r="AH31"/>
  <c r="AJ31" s="1"/>
  <c r="AH8"/>
  <c r="AJ8" s="1"/>
  <c r="Z17"/>
  <c r="O21"/>
  <c r="Q21" s="1"/>
  <c r="AH10"/>
  <c r="AJ10" s="1"/>
  <c r="AH20"/>
  <c r="AJ20" s="1"/>
  <c r="AH46"/>
  <c r="AJ46" s="1"/>
  <c r="AH45"/>
  <c r="AJ45" s="1"/>
  <c r="AH44"/>
  <c r="AJ44" s="1"/>
  <c r="AH41"/>
  <c r="AJ41" s="1"/>
  <c r="AH40"/>
  <c r="AJ40" s="1"/>
  <c r="AH39"/>
  <c r="AJ39" s="1"/>
  <c r="Z37"/>
  <c r="O46"/>
  <c r="Q46" s="1"/>
  <c r="O45"/>
  <c r="Q45" s="1"/>
  <c r="O43"/>
  <c r="Q43" s="1"/>
  <c r="G42"/>
  <c r="O41"/>
  <c r="Q41" s="1"/>
  <c r="O40"/>
  <c r="Q40" s="1"/>
  <c r="O39"/>
  <c r="Q39" s="1"/>
  <c r="O38"/>
  <c r="Q38" s="1"/>
  <c r="N12"/>
  <c r="O12" s="1"/>
  <c r="Q12" s="1"/>
  <c r="AG27"/>
  <c r="N32"/>
  <c r="AH18"/>
  <c r="AJ18" s="1"/>
  <c r="Z22"/>
  <c r="AH38"/>
  <c r="AJ38" s="1"/>
  <c r="AH48"/>
  <c r="AJ48" s="1"/>
  <c r="G7"/>
  <c r="AG12"/>
  <c r="AH12" s="1"/>
  <c r="AJ12" s="1"/>
  <c r="N17"/>
  <c r="O17" s="1"/>
  <c r="Q17" s="1"/>
  <c r="G27"/>
  <c r="AG32"/>
  <c r="N37"/>
  <c r="Z42"/>
  <c r="AH9"/>
  <c r="AJ9" s="1"/>
  <c r="AH23"/>
  <c r="AJ23" s="1"/>
  <c r="AH43"/>
  <c r="AJ43" s="1"/>
  <c r="Z7"/>
  <c r="G12"/>
  <c r="AG17"/>
  <c r="N22"/>
  <c r="O22" s="1"/>
  <c r="Q22" s="1"/>
  <c r="Z27"/>
  <c r="G32"/>
  <c r="AG37"/>
  <c r="N42"/>
  <c r="AH28"/>
  <c r="AJ28" s="1"/>
  <c r="AH11"/>
  <c r="AJ11" s="1"/>
  <c r="N7"/>
  <c r="Z12"/>
  <c r="G17"/>
  <c r="AG22"/>
  <c r="N27"/>
  <c r="Z32"/>
  <c r="G37"/>
  <c r="AG42"/>
  <c r="AH13"/>
  <c r="AJ13" s="1"/>
  <c r="G22"/>
  <c r="AH33"/>
  <c r="AJ33" s="1"/>
  <c r="AH30"/>
  <c r="AJ30" s="1"/>
  <c r="AG7"/>
  <c r="AH27" l="1"/>
  <c r="AJ27" s="1"/>
  <c r="O32"/>
  <c r="Q32" s="1"/>
  <c r="AH32"/>
  <c r="AJ32" s="1"/>
  <c r="AH7"/>
  <c r="AJ7" s="1"/>
  <c r="O27"/>
  <c r="Q27" s="1"/>
  <c r="AH17"/>
  <c r="AJ17" s="1"/>
  <c r="O7"/>
  <c r="Q7" s="1"/>
  <c r="AH42"/>
  <c r="AJ42" s="1"/>
  <c r="AH37"/>
  <c r="AJ37" s="1"/>
  <c r="O42"/>
  <c r="O37"/>
  <c r="Q37" s="1"/>
  <c r="AH22"/>
  <c r="AJ22" s="1"/>
  <c r="F41" i="5" l="1"/>
  <c r="I41" s="1"/>
  <c r="O41"/>
  <c r="L41"/>
  <c r="E41"/>
  <c r="B41"/>
  <c r="K39" i="36"/>
  <c r="I39"/>
  <c r="F39"/>
  <c r="P41" i="5" l="1"/>
  <c r="R41" s="1"/>
  <c r="S41" s="1"/>
  <c r="CB38" i="1"/>
  <c r="CE37"/>
  <c r="CE38"/>
  <c r="CE39"/>
  <c r="CB37"/>
  <c r="CB39"/>
  <c r="BA39" l="1"/>
  <c r="AV39"/>
  <c r="M32" i="64" l="1"/>
  <c r="I32"/>
  <c r="F32"/>
  <c r="N31"/>
  <c r="M31"/>
  <c r="I31"/>
  <c r="F31"/>
  <c r="N30"/>
  <c r="M30"/>
  <c r="I30"/>
  <c r="F30"/>
  <c r="N29"/>
  <c r="M29"/>
  <c r="I29"/>
  <c r="F29"/>
  <c r="N28"/>
  <c r="M28"/>
  <c r="I28"/>
  <c r="F28"/>
  <c r="N27"/>
  <c r="M27"/>
  <c r="I27"/>
  <c r="F27"/>
  <c r="N26"/>
  <c r="M26"/>
  <c r="I26"/>
  <c r="F26"/>
  <c r="N24"/>
  <c r="M24"/>
  <c r="I24"/>
  <c r="F24"/>
  <c r="N23"/>
  <c r="M23"/>
  <c r="I23"/>
  <c r="F23"/>
  <c r="N22"/>
  <c r="M22"/>
  <c r="I22"/>
  <c r="F22"/>
  <c r="N21"/>
  <c r="M21"/>
  <c r="I21"/>
  <c r="F21"/>
  <c r="N20"/>
  <c r="M20"/>
  <c r="I20"/>
  <c r="F20"/>
  <c r="N19"/>
  <c r="M19"/>
  <c r="I19"/>
  <c r="F19"/>
  <c r="N18"/>
  <c r="M18"/>
  <c r="I18"/>
  <c r="F18"/>
  <c r="N17"/>
  <c r="M17"/>
  <c r="I17"/>
  <c r="F17"/>
  <c r="N16"/>
  <c r="M16"/>
  <c r="I16"/>
  <c r="F16"/>
  <c r="N15"/>
  <c r="M15"/>
  <c r="I15"/>
  <c r="F15"/>
  <c r="N14"/>
  <c r="M14"/>
  <c r="I14"/>
  <c r="F14"/>
  <c r="N13"/>
  <c r="M13"/>
  <c r="I13"/>
  <c r="F13"/>
  <c r="Q12"/>
  <c r="P12"/>
  <c r="L12"/>
  <c r="K12"/>
  <c r="J12"/>
  <c r="H12"/>
  <c r="G12"/>
  <c r="E12"/>
  <c r="D12"/>
  <c r="C12"/>
  <c r="B12"/>
  <c r="N7"/>
  <c r="M7"/>
  <c r="I7"/>
  <c r="F7"/>
  <c r="I25" l="1"/>
  <c r="N25"/>
  <c r="M25"/>
  <c r="F25"/>
  <c r="O32"/>
  <c r="R32" s="1"/>
  <c r="O27"/>
  <c r="R27" s="1"/>
  <c r="O24"/>
  <c r="R24" s="1"/>
  <c r="O15"/>
  <c r="R15" s="1"/>
  <c r="O23"/>
  <c r="R23" s="1"/>
  <c r="F12"/>
  <c r="O26"/>
  <c r="O16"/>
  <c r="R16" s="1"/>
  <c r="O7"/>
  <c r="O18"/>
  <c r="R18" s="1"/>
  <c r="O13"/>
  <c r="R13" s="1"/>
  <c r="S13" s="1"/>
  <c r="O17"/>
  <c r="R17" s="1"/>
  <c r="O29"/>
  <c r="R29" s="1"/>
  <c r="O14"/>
  <c r="R14" s="1"/>
  <c r="S14" s="1"/>
  <c r="O21"/>
  <c r="R21" s="1"/>
  <c r="I12"/>
  <c r="O31"/>
  <c r="R31" s="1"/>
  <c r="M12"/>
  <c r="O20"/>
  <c r="R20" s="1"/>
  <c r="O19"/>
  <c r="R19" s="1"/>
  <c r="O30"/>
  <c r="R30" s="1"/>
  <c r="O28"/>
  <c r="R28" s="1"/>
  <c r="N12"/>
  <c r="O22"/>
  <c r="R22" s="1"/>
  <c r="R26" l="1"/>
  <c r="R25" s="1"/>
  <c r="O25"/>
  <c r="O12"/>
  <c r="R12"/>
  <c r="S15" l="1"/>
  <c r="S16" s="1"/>
  <c r="S17" s="1"/>
  <c r="S18" s="1"/>
  <c r="S19" s="1"/>
  <c r="S20" s="1"/>
  <c r="S21" s="1"/>
  <c r="S22" s="1"/>
  <c r="S23" s="1"/>
  <c r="S24" s="1"/>
  <c r="S26" s="1"/>
  <c r="S27" s="1"/>
  <c r="S28" s="1"/>
  <c r="S29" s="1"/>
  <c r="S30" s="1"/>
  <c r="S31" s="1"/>
  <c r="S32" s="1"/>
  <c r="S33" s="1"/>
  <c r="S34" s="1"/>
  <c r="S35" s="1"/>
  <c r="S36" s="1"/>
  <c r="S37" s="1"/>
  <c r="S25" s="1"/>
  <c r="S12" l="1"/>
  <c r="G41" i="51" l="1"/>
  <c r="I41" s="1"/>
  <c r="J41" s="1"/>
  <c r="G41" i="4"/>
  <c r="BW20" i="58"/>
  <c r="BU20"/>
  <c r="BS20"/>
  <c r="BQ20"/>
  <c r="BO20"/>
  <c r="BM20"/>
  <c r="BK20"/>
  <c r="BH20"/>
  <c r="BF20"/>
  <c r="BD20"/>
  <c r="BB20"/>
  <c r="AZ20"/>
  <c r="AX20"/>
  <c r="AV20"/>
  <c r="AS20"/>
  <c r="AQ20"/>
  <c r="AO20"/>
  <c r="AM20"/>
  <c r="AK20"/>
  <c r="AI20"/>
  <c r="AG20"/>
  <c r="AD20"/>
  <c r="AB20"/>
  <c r="Z20"/>
  <c r="X20"/>
  <c r="V20"/>
  <c r="T20"/>
  <c r="R20"/>
  <c r="O20"/>
  <c r="M20"/>
  <c r="K20"/>
  <c r="I20"/>
  <c r="G20"/>
  <c r="E20"/>
  <c r="C20"/>
  <c r="G19" i="44"/>
  <c r="F19"/>
  <c r="E19"/>
  <c r="D19"/>
  <c r="C19"/>
  <c r="B19"/>
  <c r="K42" i="3" l="1"/>
  <c r="J42"/>
  <c r="G42"/>
  <c r="D42"/>
  <c r="L41"/>
  <c r="N41" s="1"/>
  <c r="K41"/>
  <c r="J41"/>
  <c r="G41"/>
  <c r="D41"/>
  <c r="K40"/>
  <c r="J40"/>
  <c r="G40"/>
  <c r="D40"/>
  <c r="K39"/>
  <c r="J39"/>
  <c r="G39"/>
  <c r="D39"/>
  <c r="K38"/>
  <c r="J38"/>
  <c r="G38"/>
  <c r="D38"/>
  <c r="K37"/>
  <c r="J37"/>
  <c r="G37"/>
  <c r="D37"/>
  <c r="K36"/>
  <c r="J36"/>
  <c r="G36"/>
  <c r="D36"/>
  <c r="K34"/>
  <c r="J34"/>
  <c r="G34"/>
  <c r="G22" s="1"/>
  <c r="D34"/>
  <c r="K33"/>
  <c r="J33"/>
  <c r="G33"/>
  <c r="D33"/>
  <c r="J32"/>
  <c r="G32"/>
  <c r="D32"/>
  <c r="K31"/>
  <c r="J31"/>
  <c r="G31"/>
  <c r="D31"/>
  <c r="J30"/>
  <c r="G30"/>
  <c r="D30"/>
  <c r="K29"/>
  <c r="J29"/>
  <c r="G29"/>
  <c r="D29"/>
  <c r="K28"/>
  <c r="J28"/>
  <c r="G28"/>
  <c r="D28"/>
  <c r="K27"/>
  <c r="J27"/>
  <c r="G27"/>
  <c r="D27"/>
  <c r="K26"/>
  <c r="J26"/>
  <c r="G26"/>
  <c r="D26"/>
  <c r="K25"/>
  <c r="J25"/>
  <c r="G25"/>
  <c r="D25"/>
  <c r="K24"/>
  <c r="L24" s="1"/>
  <c r="N24" s="1"/>
  <c r="O24" s="1"/>
  <c r="J24"/>
  <c r="G24"/>
  <c r="D24"/>
  <c r="K23"/>
  <c r="J23"/>
  <c r="G23"/>
  <c r="D23"/>
  <c r="M22"/>
  <c r="K22"/>
  <c r="J22"/>
  <c r="I22"/>
  <c r="H22"/>
  <c r="F22"/>
  <c r="E22"/>
  <c r="C22"/>
  <c r="B22"/>
  <c r="N12"/>
  <c r="O12" s="1"/>
  <c r="D11"/>
  <c r="J10"/>
  <c r="G10"/>
  <c r="D10"/>
  <c r="J9"/>
  <c r="G9"/>
  <c r="D9"/>
  <c r="BT39" i="1"/>
  <c r="BH39"/>
  <c r="AX39"/>
  <c r="AY39" s="1"/>
  <c r="AO39"/>
  <c r="AN39"/>
  <c r="AM39"/>
  <c r="AL39"/>
  <c r="AH39"/>
  <c r="AD39"/>
  <c r="S39"/>
  <c r="T39" s="1"/>
  <c r="L39"/>
  <c r="N39" s="1"/>
  <c r="W39" s="1"/>
  <c r="X39" s="1"/>
  <c r="BT38"/>
  <c r="BH38"/>
  <c r="BA38"/>
  <c r="AV38"/>
  <c r="AO38"/>
  <c r="AN38"/>
  <c r="AM38"/>
  <c r="AL38"/>
  <c r="AH38"/>
  <c r="AD38"/>
  <c r="AP38" s="1"/>
  <c r="T38"/>
  <c r="S38"/>
  <c r="L38"/>
  <c r="BT37"/>
  <c r="BH37"/>
  <c r="BA37"/>
  <c r="AZ37" s="1"/>
  <c r="AV37"/>
  <c r="AX37" s="1"/>
  <c r="AY37" s="1"/>
  <c r="AO37"/>
  <c r="AN37"/>
  <c r="AM37"/>
  <c r="AL37"/>
  <c r="AH37"/>
  <c r="AD37"/>
  <c r="S37"/>
  <c r="T37" s="1"/>
  <c r="L37"/>
  <c r="BC37" s="1"/>
  <c r="CE36"/>
  <c r="CB36"/>
  <c r="BT36"/>
  <c r="BH36"/>
  <c r="BA36"/>
  <c r="BX36" s="1"/>
  <c r="AX36"/>
  <c r="AY36" s="1"/>
  <c r="AV36"/>
  <c r="AO36"/>
  <c r="AN36"/>
  <c r="AM36"/>
  <c r="AL36"/>
  <c r="AH36"/>
  <c r="AD36"/>
  <c r="S36"/>
  <c r="T36" s="1"/>
  <c r="L36"/>
  <c r="CE35"/>
  <c r="CB35"/>
  <c r="BT35"/>
  <c r="BV35" s="1"/>
  <c r="BH35"/>
  <c r="BA35"/>
  <c r="BX35" s="1"/>
  <c r="AV35"/>
  <c r="AX35" s="1"/>
  <c r="AY35" s="1"/>
  <c r="AO35"/>
  <c r="AN35"/>
  <c r="AM35"/>
  <c r="AL35"/>
  <c r="AH35"/>
  <c r="AD35"/>
  <c r="S35"/>
  <c r="T35" s="1"/>
  <c r="L35"/>
  <c r="CE34"/>
  <c r="CB34"/>
  <c r="BT34"/>
  <c r="BH34"/>
  <c r="BA34"/>
  <c r="AX34"/>
  <c r="AY34" s="1"/>
  <c r="AV34"/>
  <c r="AO34"/>
  <c r="AN34"/>
  <c r="AM34"/>
  <c r="AL34"/>
  <c r="AH34"/>
  <c r="AD34"/>
  <c r="S34"/>
  <c r="T34" s="1"/>
  <c r="L34"/>
  <c r="N34" s="1"/>
  <c r="W34" s="1"/>
  <c r="X34" s="1"/>
  <c r="CE33"/>
  <c r="CB33"/>
  <c r="BT33"/>
  <c r="BH33"/>
  <c r="BA33"/>
  <c r="AV33"/>
  <c r="AX33" s="1"/>
  <c r="AY33" s="1"/>
  <c r="AO33"/>
  <c r="AN33"/>
  <c r="AM33"/>
  <c r="AL33"/>
  <c r="AH33"/>
  <c r="AD33"/>
  <c r="S33"/>
  <c r="T33" s="1"/>
  <c r="L33"/>
  <c r="N33" s="1"/>
  <c r="W33" s="1"/>
  <c r="X33" s="1"/>
  <c r="CE31"/>
  <c r="CE19" s="1"/>
  <c r="CB31"/>
  <c r="BT31"/>
  <c r="BT19" s="1"/>
  <c r="BH31"/>
  <c r="BH19" s="1"/>
  <c r="BA31"/>
  <c r="BA19" s="1"/>
  <c r="AV31"/>
  <c r="AV19" s="1"/>
  <c r="AO31"/>
  <c r="AO19" s="1"/>
  <c r="AN31"/>
  <c r="AN19" s="1"/>
  <c r="AM31"/>
  <c r="AM19" s="1"/>
  <c r="AL31"/>
  <c r="AL19" s="1"/>
  <c r="AH31"/>
  <c r="AH19" s="1"/>
  <c r="AD31"/>
  <c r="S31"/>
  <c r="S19" s="1"/>
  <c r="L31"/>
  <c r="CE30"/>
  <c r="CB30"/>
  <c r="BT30"/>
  <c r="BH30"/>
  <c r="BA30"/>
  <c r="AV30"/>
  <c r="AX30" s="1"/>
  <c r="AY30" s="1"/>
  <c r="AO30"/>
  <c r="AN30"/>
  <c r="AM30"/>
  <c r="AL30"/>
  <c r="AH30"/>
  <c r="AD30"/>
  <c r="S30"/>
  <c r="T30" s="1"/>
  <c r="L30"/>
  <c r="N30" s="1"/>
  <c r="W30" s="1"/>
  <c r="X30" s="1"/>
  <c r="CE29"/>
  <c r="CB29"/>
  <c r="BT29"/>
  <c r="BV29" s="1"/>
  <c r="BH29"/>
  <c r="BA29"/>
  <c r="BX29" s="1"/>
  <c r="AV29"/>
  <c r="AX29" s="1"/>
  <c r="AY29" s="1"/>
  <c r="AZ29" s="1"/>
  <c r="AO29"/>
  <c r="AN29"/>
  <c r="AM29"/>
  <c r="AL29"/>
  <c r="AH29"/>
  <c r="AD29"/>
  <c r="S29"/>
  <c r="T29" s="1"/>
  <c r="L29"/>
  <c r="N29" s="1"/>
  <c r="W29" s="1"/>
  <c r="X29" s="1"/>
  <c r="CE28"/>
  <c r="CB28"/>
  <c r="BT28"/>
  <c r="BH28"/>
  <c r="BA28"/>
  <c r="BX28" s="1"/>
  <c r="AV28"/>
  <c r="AX28" s="1"/>
  <c r="AY28" s="1"/>
  <c r="AO28"/>
  <c r="AN28"/>
  <c r="AM28"/>
  <c r="AL28"/>
  <c r="AH28"/>
  <c r="AD28"/>
  <c r="S28"/>
  <c r="T28" s="1"/>
  <c r="L28"/>
  <c r="BC28" s="1"/>
  <c r="CE27"/>
  <c r="CB27"/>
  <c r="BT27"/>
  <c r="BV27" s="1"/>
  <c r="BH27"/>
  <c r="BA27"/>
  <c r="AV27"/>
  <c r="AX27" s="1"/>
  <c r="AY27" s="1"/>
  <c r="AO27"/>
  <c r="AN27"/>
  <c r="AM27"/>
  <c r="AL27"/>
  <c r="AH27"/>
  <c r="AD27"/>
  <c r="S27"/>
  <c r="T27" s="1"/>
  <c r="L27"/>
  <c r="BC27" s="1"/>
  <c r="CE26"/>
  <c r="CB26"/>
  <c r="BT26"/>
  <c r="BH26"/>
  <c r="BA26"/>
  <c r="AZ26" s="1"/>
  <c r="AV26"/>
  <c r="AX26" s="1"/>
  <c r="AY26" s="1"/>
  <c r="AO26"/>
  <c r="AN26"/>
  <c r="AM26"/>
  <c r="AL26"/>
  <c r="AH26"/>
  <c r="AD26"/>
  <c r="S26"/>
  <c r="T26" s="1"/>
  <c r="L26"/>
  <c r="N26" s="1"/>
  <c r="W26" s="1"/>
  <c r="X26" s="1"/>
  <c r="CE25"/>
  <c r="CB25"/>
  <c r="BT25"/>
  <c r="BV25" s="1"/>
  <c r="BH25"/>
  <c r="BA25"/>
  <c r="AX25"/>
  <c r="AY25" s="1"/>
  <c r="AV25"/>
  <c r="AO25"/>
  <c r="AN25"/>
  <c r="AM25"/>
  <c r="AL25"/>
  <c r="AH25"/>
  <c r="AD25"/>
  <c r="S25"/>
  <c r="T25" s="1"/>
  <c r="L25"/>
  <c r="N25" s="1"/>
  <c r="W25" s="1"/>
  <c r="X25" s="1"/>
  <c r="CE24"/>
  <c r="CB24"/>
  <c r="BT24"/>
  <c r="BH24"/>
  <c r="BA24"/>
  <c r="AV24"/>
  <c r="AO24"/>
  <c r="AN24"/>
  <c r="AM24"/>
  <c r="AL24"/>
  <c r="AH24"/>
  <c r="AD24"/>
  <c r="S24"/>
  <c r="T24" s="1"/>
  <c r="L24"/>
  <c r="BC24" s="1"/>
  <c r="CE23"/>
  <c r="CB23"/>
  <c r="BT23"/>
  <c r="BH23"/>
  <c r="BA23"/>
  <c r="AV23"/>
  <c r="AX23" s="1"/>
  <c r="AY23" s="1"/>
  <c r="AO23"/>
  <c r="AN23"/>
  <c r="AM23"/>
  <c r="AL23"/>
  <c r="AH23"/>
  <c r="AD23"/>
  <c r="S23"/>
  <c r="T23" s="1"/>
  <c r="L23"/>
  <c r="N23" s="1"/>
  <c r="W23" s="1"/>
  <c r="X23" s="1"/>
  <c r="CE22"/>
  <c r="CB22"/>
  <c r="BT22"/>
  <c r="BH22"/>
  <c r="BA22"/>
  <c r="BX22" s="1"/>
  <c r="AV22"/>
  <c r="AO22"/>
  <c r="AN22"/>
  <c r="AM22"/>
  <c r="AL22"/>
  <c r="AH22"/>
  <c r="AD22"/>
  <c r="S22"/>
  <c r="T22" s="1"/>
  <c r="L22"/>
  <c r="N22" s="1"/>
  <c r="W22" s="1"/>
  <c r="X22" s="1"/>
  <c r="CE21"/>
  <c r="CB21"/>
  <c r="BT21"/>
  <c r="BH21"/>
  <c r="BA21"/>
  <c r="AX21"/>
  <c r="AY21" s="1"/>
  <c r="AV21"/>
  <c r="AO21"/>
  <c r="AN21"/>
  <c r="AM21"/>
  <c r="AL21"/>
  <c r="AH21"/>
  <c r="AD21"/>
  <c r="S21"/>
  <c r="T21" s="1"/>
  <c r="N21"/>
  <c r="W21" s="1"/>
  <c r="X21" s="1"/>
  <c r="L21"/>
  <c r="CE20"/>
  <c r="CB20"/>
  <c r="BT20"/>
  <c r="BH20"/>
  <c r="BA20"/>
  <c r="AV20"/>
  <c r="AX20" s="1"/>
  <c r="AY20" s="1"/>
  <c r="AO20"/>
  <c r="AN20"/>
  <c r="AM20"/>
  <c r="AL20"/>
  <c r="AH20"/>
  <c r="AD20"/>
  <c r="S20"/>
  <c r="T20" s="1"/>
  <c r="L20"/>
  <c r="CD19"/>
  <c r="CC19"/>
  <c r="CB19"/>
  <c r="CA19"/>
  <c r="BZ19"/>
  <c r="BY19"/>
  <c r="BS19"/>
  <c r="BR19"/>
  <c r="BQ19"/>
  <c r="BP19"/>
  <c r="BN19"/>
  <c r="BM19"/>
  <c r="BL19"/>
  <c r="BK19"/>
  <c r="BJ19"/>
  <c r="BG19"/>
  <c r="BF19"/>
  <c r="BE19"/>
  <c r="BD19"/>
  <c r="BB19"/>
  <c r="AW19"/>
  <c r="AU19"/>
  <c r="AT19"/>
  <c r="AS19"/>
  <c r="AR19"/>
  <c r="AK19"/>
  <c r="AJ19"/>
  <c r="AI19"/>
  <c r="AG19"/>
  <c r="AF19"/>
  <c r="AE19"/>
  <c r="AD19"/>
  <c r="AC19"/>
  <c r="AB19"/>
  <c r="AA19"/>
  <c r="Y19"/>
  <c r="V19"/>
  <c r="U19"/>
  <c r="R19"/>
  <c r="Q19"/>
  <c r="P19"/>
  <c r="O19"/>
  <c r="M19"/>
  <c r="L19"/>
  <c r="K19"/>
  <c r="J19"/>
  <c r="CE9"/>
  <c r="CB9"/>
  <c r="CB8"/>
  <c r="CB7"/>
  <c r="D4" i="63"/>
  <c r="C4"/>
  <c r="G4"/>
  <c r="B55" i="39"/>
  <c r="W54"/>
  <c r="Q54"/>
  <c r="V53"/>
  <c r="B53"/>
  <c r="W52"/>
  <c r="U52"/>
  <c r="Q52"/>
  <c r="J52"/>
  <c r="G52"/>
  <c r="V51"/>
  <c r="B51"/>
  <c r="Q50"/>
  <c r="J50"/>
  <c r="G50"/>
  <c r="V49"/>
  <c r="S49"/>
  <c r="K49"/>
  <c r="I49"/>
  <c r="H49"/>
  <c r="F49"/>
  <c r="E49"/>
  <c r="D49"/>
  <c r="C49"/>
  <c r="B49"/>
  <c r="W48"/>
  <c r="U48"/>
  <c r="Q48"/>
  <c r="L48"/>
  <c r="J48"/>
  <c r="G48"/>
  <c r="V47"/>
  <c r="S47"/>
  <c r="K47"/>
  <c r="I47"/>
  <c r="H47"/>
  <c r="F47"/>
  <c r="E47"/>
  <c r="D47"/>
  <c r="C47"/>
  <c r="B47"/>
  <c r="W46"/>
  <c r="U46"/>
  <c r="Q46"/>
  <c r="L46"/>
  <c r="J46"/>
  <c r="G46"/>
  <c r="V45"/>
  <c r="S45"/>
  <c r="K45"/>
  <c r="I45"/>
  <c r="H45"/>
  <c r="F45"/>
  <c r="E45"/>
  <c r="D45"/>
  <c r="C45"/>
  <c r="B45"/>
  <c r="W44"/>
  <c r="U44"/>
  <c r="Q44"/>
  <c r="L44"/>
  <c r="J44"/>
  <c r="G44"/>
  <c r="V43"/>
  <c r="S43"/>
  <c r="K43"/>
  <c r="I43"/>
  <c r="H43"/>
  <c r="F43"/>
  <c r="E43"/>
  <c r="D43"/>
  <c r="C43"/>
  <c r="B43"/>
  <c r="W42"/>
  <c r="U42"/>
  <c r="Q42"/>
  <c r="L42"/>
  <c r="J42"/>
  <c r="G42"/>
  <c r="V41"/>
  <c r="S41"/>
  <c r="K41"/>
  <c r="I41"/>
  <c r="H41"/>
  <c r="F41"/>
  <c r="E41"/>
  <c r="D41"/>
  <c r="C41"/>
  <c r="B41"/>
  <c r="W40"/>
  <c r="U40"/>
  <c r="Q40"/>
  <c r="L40"/>
  <c r="J40"/>
  <c r="G40"/>
  <c r="K38"/>
  <c r="I38"/>
  <c r="H38"/>
  <c r="F38"/>
  <c r="E38"/>
  <c r="D38"/>
  <c r="C38"/>
  <c r="B38"/>
  <c r="W37"/>
  <c r="V37"/>
  <c r="V38" s="1"/>
  <c r="U37"/>
  <c r="S37"/>
  <c r="S38" s="1"/>
  <c r="Q37"/>
  <c r="L37"/>
  <c r="J37"/>
  <c r="G37"/>
  <c r="K36"/>
  <c r="I36"/>
  <c r="H36"/>
  <c r="F36"/>
  <c r="E36"/>
  <c r="D36"/>
  <c r="C36"/>
  <c r="B36"/>
  <c r="W35"/>
  <c r="V35"/>
  <c r="V36" s="1"/>
  <c r="U35"/>
  <c r="S35"/>
  <c r="S36" s="1"/>
  <c r="Q35"/>
  <c r="L35"/>
  <c r="J35"/>
  <c r="G35"/>
  <c r="K34"/>
  <c r="I34"/>
  <c r="H34"/>
  <c r="F34"/>
  <c r="E34"/>
  <c r="D34"/>
  <c r="C34"/>
  <c r="B34"/>
  <c r="W33"/>
  <c r="V33"/>
  <c r="V34" s="1"/>
  <c r="U33"/>
  <c r="S33"/>
  <c r="S34" s="1"/>
  <c r="Q33"/>
  <c r="L33"/>
  <c r="J33"/>
  <c r="G33"/>
  <c r="K32"/>
  <c r="I32"/>
  <c r="H32"/>
  <c r="F32"/>
  <c r="E32"/>
  <c r="D32"/>
  <c r="C32"/>
  <c r="B32"/>
  <c r="W31"/>
  <c r="V31"/>
  <c r="V32" s="1"/>
  <c r="U31"/>
  <c r="S31"/>
  <c r="S32" s="1"/>
  <c r="Q31"/>
  <c r="L31"/>
  <c r="J31"/>
  <c r="G31"/>
  <c r="S30"/>
  <c r="K30"/>
  <c r="I30"/>
  <c r="H30"/>
  <c r="F30"/>
  <c r="E30"/>
  <c r="D30"/>
  <c r="C30"/>
  <c r="B30"/>
  <c r="W29"/>
  <c r="V29"/>
  <c r="V30" s="1"/>
  <c r="U29"/>
  <c r="Q29"/>
  <c r="L29"/>
  <c r="J29"/>
  <c r="G29"/>
  <c r="V28"/>
  <c r="S28"/>
  <c r="K28"/>
  <c r="I28"/>
  <c r="H28"/>
  <c r="F28"/>
  <c r="E28"/>
  <c r="D28"/>
  <c r="C28"/>
  <c r="B28"/>
  <c r="Q27"/>
  <c r="L27"/>
  <c r="J27"/>
  <c r="G27"/>
  <c r="V26"/>
  <c r="S26"/>
  <c r="K26"/>
  <c r="I26"/>
  <c r="H26"/>
  <c r="F26"/>
  <c r="E26"/>
  <c r="D26"/>
  <c r="C26"/>
  <c r="B26"/>
  <c r="Q25"/>
  <c r="L25"/>
  <c r="J25"/>
  <c r="G25"/>
  <c r="V24"/>
  <c r="S24"/>
  <c r="K24"/>
  <c r="I24"/>
  <c r="H24"/>
  <c r="F24"/>
  <c r="E24"/>
  <c r="D24"/>
  <c r="C24"/>
  <c r="B24"/>
  <c r="Q23"/>
  <c r="L23"/>
  <c r="J23"/>
  <c r="G23"/>
  <c r="V22"/>
  <c r="S22"/>
  <c r="K22"/>
  <c r="I22"/>
  <c r="H22"/>
  <c r="F22"/>
  <c r="E22"/>
  <c r="D22"/>
  <c r="C22"/>
  <c r="B22"/>
  <c r="Q21"/>
  <c r="L21"/>
  <c r="J21"/>
  <c r="G21"/>
  <c r="V20"/>
  <c r="S20"/>
  <c r="K20"/>
  <c r="I20"/>
  <c r="H20"/>
  <c r="F20"/>
  <c r="E20"/>
  <c r="D20"/>
  <c r="C20"/>
  <c r="B20"/>
  <c r="Q19"/>
  <c r="L19"/>
  <c r="J19"/>
  <c r="G19"/>
  <c r="V18"/>
  <c r="S18"/>
  <c r="K18"/>
  <c r="I18"/>
  <c r="H18"/>
  <c r="F18"/>
  <c r="E18"/>
  <c r="D18"/>
  <c r="C18"/>
  <c r="B18"/>
  <c r="Q17"/>
  <c r="L17"/>
  <c r="J17"/>
  <c r="G17"/>
  <c r="V16"/>
  <c r="S16"/>
  <c r="K16"/>
  <c r="I16"/>
  <c r="H16"/>
  <c r="F16"/>
  <c r="E16"/>
  <c r="D16"/>
  <c r="C16"/>
  <c r="B16"/>
  <c r="Q15"/>
  <c r="L15"/>
  <c r="J15"/>
  <c r="G15"/>
  <c r="V14"/>
  <c r="S14"/>
  <c r="K14"/>
  <c r="I14"/>
  <c r="H14"/>
  <c r="F14"/>
  <c r="E14"/>
  <c r="D14"/>
  <c r="C14"/>
  <c r="B14"/>
  <c r="Q13"/>
  <c r="L13"/>
  <c r="J13"/>
  <c r="G13"/>
  <c r="V12"/>
  <c r="S12"/>
  <c r="K12"/>
  <c r="I12"/>
  <c r="H12"/>
  <c r="F12"/>
  <c r="E12"/>
  <c r="D12"/>
  <c r="C12"/>
  <c r="B12"/>
  <c r="Q11"/>
  <c r="L11"/>
  <c r="J11"/>
  <c r="G11"/>
  <c r="V10"/>
  <c r="S10"/>
  <c r="K10"/>
  <c r="I10"/>
  <c r="H10"/>
  <c r="F10"/>
  <c r="E10"/>
  <c r="D10"/>
  <c r="C10"/>
  <c r="B10"/>
  <c r="Q9"/>
  <c r="L9"/>
  <c r="J9"/>
  <c r="G9"/>
  <c r="V8"/>
  <c r="S8"/>
  <c r="K8"/>
  <c r="I8"/>
  <c r="H8"/>
  <c r="F8"/>
  <c r="E8"/>
  <c r="D8"/>
  <c r="C8"/>
  <c r="B8"/>
  <c r="Q7"/>
  <c r="L7"/>
  <c r="J7"/>
  <c r="G7"/>
  <c r="U39" i="38"/>
  <c r="W39" s="1"/>
  <c r="U37"/>
  <c r="U35"/>
  <c r="W35" s="1"/>
  <c r="J36" s="1"/>
  <c r="U33"/>
  <c r="W33" s="1"/>
  <c r="U31"/>
  <c r="W31" s="1"/>
  <c r="C30"/>
  <c r="B30"/>
  <c r="W29"/>
  <c r="E30" s="1"/>
  <c r="U29"/>
  <c r="U27"/>
  <c r="W27" s="1"/>
  <c r="U25"/>
  <c r="W25" s="1"/>
  <c r="U20"/>
  <c r="W20" s="1"/>
  <c r="U18"/>
  <c r="W18" s="1"/>
  <c r="U16"/>
  <c r="W16" s="1"/>
  <c r="Y14"/>
  <c r="W14"/>
  <c r="K15" s="1"/>
  <c r="U14"/>
  <c r="U12"/>
  <c r="U10"/>
  <c r="W10" s="1"/>
  <c r="U8"/>
  <c r="W8" s="1"/>
  <c r="U6"/>
  <c r="W6" s="1"/>
  <c r="I48" i="10"/>
  <c r="I47"/>
  <c r="I46"/>
  <c r="I45"/>
  <c r="I44"/>
  <c r="I42"/>
  <c r="I30" s="1"/>
  <c r="J30"/>
  <c r="H30"/>
  <c r="D30"/>
  <c r="K17"/>
  <c r="J17"/>
  <c r="I17"/>
  <c r="H17"/>
  <c r="G17"/>
  <c r="F17"/>
  <c r="E17"/>
  <c r="D17"/>
  <c r="C17"/>
  <c r="B17"/>
  <c r="AZ34" i="1" l="1"/>
  <c r="BX23"/>
  <c r="AP33"/>
  <c r="BU33" s="1"/>
  <c r="BC20"/>
  <c r="BC21"/>
  <c r="BC35"/>
  <c r="AP36"/>
  <c r="BW36" s="1"/>
  <c r="BX30"/>
  <c r="N24"/>
  <c r="W24" s="1"/>
  <c r="X24" s="1"/>
  <c r="BC36"/>
  <c r="N37"/>
  <c r="W37" s="1"/>
  <c r="X37" s="1"/>
  <c r="L28" i="3"/>
  <c r="N28" s="1"/>
  <c r="O28" s="1"/>
  <c r="L36"/>
  <c r="N36" s="1"/>
  <c r="O36" s="1"/>
  <c r="L26"/>
  <c r="N26" s="1"/>
  <c r="O26" s="1"/>
  <c r="L25"/>
  <c r="N25" s="1"/>
  <c r="O25" s="1"/>
  <c r="L40"/>
  <c r="N40" s="1"/>
  <c r="O40" s="1"/>
  <c r="L30"/>
  <c r="N30" s="1"/>
  <c r="O30" s="1"/>
  <c r="N28" i="1"/>
  <c r="W28" s="1"/>
  <c r="X28" s="1"/>
  <c r="AP27"/>
  <c r="BU27" s="1"/>
  <c r="BV21"/>
  <c r="BV24"/>
  <c r="T31"/>
  <c r="T19" s="1"/>
  <c r="N35"/>
  <c r="W35" s="1"/>
  <c r="X35" s="1"/>
  <c r="AZ21"/>
  <c r="BX33"/>
  <c r="BV28"/>
  <c r="BV30"/>
  <c r="BV34"/>
  <c r="BV38"/>
  <c r="AP31"/>
  <c r="AP19" s="1"/>
  <c r="W26" i="38"/>
  <c r="E26"/>
  <c r="D26"/>
  <c r="J26"/>
  <c r="K26"/>
  <c r="L26"/>
  <c r="O7"/>
  <c r="D7"/>
  <c r="U7"/>
  <c r="B7"/>
  <c r="C7"/>
  <c r="J7"/>
  <c r="T7"/>
  <c r="E7"/>
  <c r="H7"/>
  <c r="L7"/>
  <c r="L32"/>
  <c r="R32"/>
  <c r="Y31"/>
  <c r="B32"/>
  <c r="M11"/>
  <c r="B11"/>
  <c r="Y10"/>
  <c r="BU38" i="1"/>
  <c r="Q15" i="38"/>
  <c r="AP22" i="1"/>
  <c r="BW22" s="1"/>
  <c r="AZ30"/>
  <c r="L33" i="3"/>
  <c r="N33" s="1"/>
  <c r="O33" s="1"/>
  <c r="L27"/>
  <c r="N27" s="1"/>
  <c r="O27" s="1"/>
  <c r="L39"/>
  <c r="N39" s="1"/>
  <c r="O39" s="1"/>
  <c r="L42"/>
  <c r="N42" s="1"/>
  <c r="O42" s="1"/>
  <c r="AP39" i="1"/>
  <c r="BW39" s="1"/>
  <c r="L10" i="3"/>
  <c r="L29"/>
  <c r="N29" s="1"/>
  <c r="O29" s="1"/>
  <c r="AP25" i="1"/>
  <c r="BW25" s="1"/>
  <c r="AP29"/>
  <c r="BW29" s="1"/>
  <c r="BW33"/>
  <c r="L32" i="3"/>
  <c r="N32" s="1"/>
  <c r="O32" s="1"/>
  <c r="AP20" i="1"/>
  <c r="BW20" s="1"/>
  <c r="AZ23"/>
  <c r="AZ27"/>
  <c r="BC31"/>
  <c r="BC19" s="1"/>
  <c r="L9" i="3"/>
  <c r="N9" s="1"/>
  <c r="BV20" i="1"/>
  <c r="BC25"/>
  <c r="AP26"/>
  <c r="BW26" s="1"/>
  <c r="N27"/>
  <c r="W27" s="1"/>
  <c r="X27" s="1"/>
  <c r="AP34"/>
  <c r="BW34" s="1"/>
  <c r="N36"/>
  <c r="W36" s="1"/>
  <c r="X36" s="1"/>
  <c r="K30" i="38"/>
  <c r="AP24" i="1"/>
  <c r="BW24" s="1"/>
  <c r="BC29"/>
  <c r="BV31"/>
  <c r="BV19" s="1"/>
  <c r="L38" i="3"/>
  <c r="N38" s="1"/>
  <c r="O38" s="1"/>
  <c r="J30" i="38"/>
  <c r="N20" i="1"/>
  <c r="W20" s="1"/>
  <c r="X20" s="1"/>
  <c r="BX21"/>
  <c r="BV22"/>
  <c r="AZ25"/>
  <c r="AP28"/>
  <c r="BU28" s="1"/>
  <c r="BC34"/>
  <c r="AP35"/>
  <c r="BW35" s="1"/>
  <c r="BV36"/>
  <c r="AP37"/>
  <c r="BW37" s="1"/>
  <c r="L31" i="3"/>
  <c r="N31" s="1"/>
  <c r="O31" s="1"/>
  <c r="O41"/>
  <c r="U26" i="38"/>
  <c r="H30"/>
  <c r="AZ20" i="1"/>
  <c r="AP21"/>
  <c r="BW21" s="1"/>
  <c r="AP23"/>
  <c r="BW23" s="1"/>
  <c r="BX34"/>
  <c r="BC38"/>
  <c r="L23" i="3"/>
  <c r="N23" s="1"/>
  <c r="L34"/>
  <c r="N34" s="1"/>
  <c r="N22" s="1"/>
  <c r="BX25" i="1"/>
  <c r="AP30"/>
  <c r="BW30" s="1"/>
  <c r="BV37"/>
  <c r="L37" i="3"/>
  <c r="N37" s="1"/>
  <c r="O37" s="1"/>
  <c r="R17" i="38"/>
  <c r="G17"/>
  <c r="W17"/>
  <c r="H17"/>
  <c r="S34"/>
  <c r="Y33"/>
  <c r="G34"/>
  <c r="H34"/>
  <c r="I34"/>
  <c r="Q34"/>
  <c r="W34"/>
  <c r="C11"/>
  <c r="U34"/>
  <c r="I30"/>
  <c r="Q32"/>
  <c r="J32"/>
  <c r="U36"/>
  <c r="U17"/>
  <c r="S11"/>
  <c r="U15"/>
  <c r="U11"/>
  <c r="U30"/>
  <c r="R11"/>
  <c r="U32"/>
  <c r="S7"/>
  <c r="R7"/>
  <c r="Q11"/>
  <c r="S30"/>
  <c r="N7"/>
  <c r="K11"/>
  <c r="T26"/>
  <c r="R30"/>
  <c r="M7"/>
  <c r="J11"/>
  <c r="M26"/>
  <c r="N30"/>
  <c r="AZ39" i="1"/>
  <c r="O23" i="3"/>
  <c r="D22"/>
  <c r="BU25" i="1"/>
  <c r="AZ35"/>
  <c r="AX24"/>
  <c r="AY24" s="1"/>
  <c r="AZ24" s="1"/>
  <c r="BX26"/>
  <c r="N31"/>
  <c r="BV33"/>
  <c r="N38"/>
  <c r="W38" s="1"/>
  <c r="X38" s="1"/>
  <c r="BX39"/>
  <c r="BX20"/>
  <c r="BC22"/>
  <c r="BV26"/>
  <c r="AZ28"/>
  <c r="BX37"/>
  <c r="BV39"/>
  <c r="BV23"/>
  <c r="AX31"/>
  <c r="AX38"/>
  <c r="AY38" s="1"/>
  <c r="AZ38" s="1"/>
  <c r="BC33"/>
  <c r="BX27"/>
  <c r="AZ36"/>
  <c r="AX22"/>
  <c r="AY22" s="1"/>
  <c r="AZ22" s="1"/>
  <c r="BX24"/>
  <c r="BC26"/>
  <c r="AZ33"/>
  <c r="BC39"/>
  <c r="BC23"/>
  <c r="BX31"/>
  <c r="BX19" s="1"/>
  <c r="BX38"/>
  <c r="BC30"/>
  <c r="BW31"/>
  <c r="BW19" s="1"/>
  <c r="BW38"/>
  <c r="P21" i="38"/>
  <c r="Y20"/>
  <c r="Q21"/>
  <c r="C21"/>
  <c r="R21"/>
  <c r="B21"/>
  <c r="S21"/>
  <c r="T21"/>
  <c r="D21"/>
  <c r="E21"/>
  <c r="F21"/>
  <c r="W21"/>
  <c r="G21"/>
  <c r="H21"/>
  <c r="I21"/>
  <c r="M21"/>
  <c r="U21"/>
  <c r="J21"/>
  <c r="K21"/>
  <c r="L21"/>
  <c r="N21"/>
  <c r="V21"/>
  <c r="O21"/>
  <c r="I19"/>
  <c r="N19"/>
  <c r="J19"/>
  <c r="K19"/>
  <c r="L19"/>
  <c r="P19"/>
  <c r="B19"/>
  <c r="W19"/>
  <c r="Q19"/>
  <c r="Y18"/>
  <c r="R19"/>
  <c r="G19"/>
  <c r="S19"/>
  <c r="C19"/>
  <c r="T19"/>
  <c r="D19"/>
  <c r="V19"/>
  <c r="O19"/>
  <c r="E19"/>
  <c r="F19"/>
  <c r="H19"/>
  <c r="M19"/>
  <c r="N28"/>
  <c r="Q28"/>
  <c r="Y27"/>
  <c r="B28"/>
  <c r="O28"/>
  <c r="C28"/>
  <c r="P28"/>
  <c r="S28"/>
  <c r="D28"/>
  <c r="E28"/>
  <c r="V28"/>
  <c r="F28"/>
  <c r="W28"/>
  <c r="G28"/>
  <c r="T28"/>
  <c r="H28"/>
  <c r="I28"/>
  <c r="J28"/>
  <c r="K28"/>
  <c r="L28"/>
  <c r="M28"/>
  <c r="R28"/>
  <c r="V9"/>
  <c r="F9"/>
  <c r="W9"/>
  <c r="I9"/>
  <c r="J9"/>
  <c r="G9"/>
  <c r="K9"/>
  <c r="H9"/>
  <c r="M9"/>
  <c r="O9"/>
  <c r="N9"/>
  <c r="T9"/>
  <c r="L9"/>
  <c r="P9"/>
  <c r="Q9"/>
  <c r="S9"/>
  <c r="Y8"/>
  <c r="R9"/>
  <c r="B9"/>
  <c r="C9"/>
  <c r="D9"/>
  <c r="E9"/>
  <c r="H40"/>
  <c r="I40"/>
  <c r="J40"/>
  <c r="K40"/>
  <c r="L40"/>
  <c r="M40"/>
  <c r="N40"/>
  <c r="O40"/>
  <c r="F40"/>
  <c r="P40"/>
  <c r="Y39"/>
  <c r="Q40"/>
  <c r="R40"/>
  <c r="B40"/>
  <c r="C40"/>
  <c r="S40"/>
  <c r="T40"/>
  <c r="D40"/>
  <c r="E40"/>
  <c r="V40"/>
  <c r="W40"/>
  <c r="G40"/>
  <c r="U38"/>
  <c r="O36"/>
  <c r="N36"/>
  <c r="U9"/>
  <c r="L11"/>
  <c r="J15"/>
  <c r="Y16"/>
  <c r="Q17"/>
  <c r="F26"/>
  <c r="V26"/>
  <c r="D30"/>
  <c r="T30"/>
  <c r="K32"/>
  <c r="B34"/>
  <c r="R34"/>
  <c r="I36"/>
  <c r="W37"/>
  <c r="U40"/>
  <c r="P36"/>
  <c r="P15"/>
  <c r="P17"/>
  <c r="O17"/>
  <c r="I32"/>
  <c r="P34"/>
  <c r="G36"/>
  <c r="W36"/>
  <c r="K7"/>
  <c r="I11"/>
  <c r="W12"/>
  <c r="G15"/>
  <c r="W15"/>
  <c r="N17"/>
  <c r="U19"/>
  <c r="C26"/>
  <c r="S26"/>
  <c r="Y29"/>
  <c r="Q30"/>
  <c r="H32"/>
  <c r="O34"/>
  <c r="F36"/>
  <c r="V36"/>
  <c r="I15"/>
  <c r="H15"/>
  <c r="H11"/>
  <c r="F15"/>
  <c r="V15"/>
  <c r="M17"/>
  <c r="B26"/>
  <c r="R26"/>
  <c r="P30"/>
  <c r="G32"/>
  <c r="W32"/>
  <c r="N34"/>
  <c r="E36"/>
  <c r="I7"/>
  <c r="G11"/>
  <c r="W11"/>
  <c r="E15"/>
  <c r="L17"/>
  <c r="Y25"/>
  <c r="Q26"/>
  <c r="O30"/>
  <c r="F32"/>
  <c r="V32"/>
  <c r="M34"/>
  <c r="D36"/>
  <c r="T36"/>
  <c r="H36"/>
  <c r="F11"/>
  <c r="D15"/>
  <c r="K17"/>
  <c r="P26"/>
  <c r="E32"/>
  <c r="C36"/>
  <c r="G7"/>
  <c r="W7"/>
  <c r="E11"/>
  <c r="C15"/>
  <c r="S15"/>
  <c r="J17"/>
  <c r="O26"/>
  <c r="M30"/>
  <c r="D32"/>
  <c r="T32"/>
  <c r="K34"/>
  <c r="B36"/>
  <c r="R36"/>
  <c r="V11"/>
  <c r="T15"/>
  <c r="L34"/>
  <c r="S36"/>
  <c r="F7"/>
  <c r="V7"/>
  <c r="D11"/>
  <c r="T11"/>
  <c r="B15"/>
  <c r="R15"/>
  <c r="I17"/>
  <c r="N26"/>
  <c r="U28"/>
  <c r="L30"/>
  <c r="C32"/>
  <c r="S32"/>
  <c r="J34"/>
  <c r="Y35"/>
  <c r="Q36"/>
  <c r="O15"/>
  <c r="F17"/>
  <c r="P32"/>
  <c r="N15"/>
  <c r="F34"/>
  <c r="Y6"/>
  <c r="Q7"/>
  <c r="O11"/>
  <c r="M15"/>
  <c r="D17"/>
  <c r="T17"/>
  <c r="I26"/>
  <c r="G30"/>
  <c r="W30"/>
  <c r="N32"/>
  <c r="E34"/>
  <c r="L36"/>
  <c r="V17"/>
  <c r="P11"/>
  <c r="M36"/>
  <c r="P7"/>
  <c r="N11"/>
  <c r="L15"/>
  <c r="C17"/>
  <c r="S17"/>
  <c r="H26"/>
  <c r="F30"/>
  <c r="V30"/>
  <c r="M32"/>
  <c r="D34"/>
  <c r="T34"/>
  <c r="K36"/>
  <c r="E17"/>
  <c r="O32"/>
  <c r="V34"/>
  <c r="B17"/>
  <c r="G26"/>
  <c r="C34"/>
  <c r="BU23" i="1" l="1"/>
  <c r="BU36"/>
  <c r="BW27"/>
  <c r="BU35"/>
  <c r="BU22"/>
  <c r="BU24"/>
  <c r="BW28"/>
  <c r="BU31"/>
  <c r="BU19" s="1"/>
  <c r="BU29"/>
  <c r="BU37"/>
  <c r="BU39"/>
  <c r="L22" i="3"/>
  <c r="BU20" i="1"/>
  <c r="BU21"/>
  <c r="BU26"/>
  <c r="BU30"/>
  <c r="BU34"/>
  <c r="O34" i="3"/>
  <c r="O22" s="1"/>
  <c r="W31" i="1"/>
  <c r="N19"/>
  <c r="AX19"/>
  <c r="AY31"/>
  <c r="T13" i="38"/>
  <c r="D13"/>
  <c r="G13"/>
  <c r="E13"/>
  <c r="W13"/>
  <c r="V13"/>
  <c r="F13"/>
  <c r="K13"/>
  <c r="L13"/>
  <c r="Y12"/>
  <c r="I13"/>
  <c r="M13"/>
  <c r="J13"/>
  <c r="N13"/>
  <c r="O13"/>
  <c r="P13"/>
  <c r="Q13"/>
  <c r="R13"/>
  <c r="B13"/>
  <c r="S13"/>
  <c r="C13"/>
  <c r="H13"/>
  <c r="Q38"/>
  <c r="Y37"/>
  <c r="T38"/>
  <c r="R38"/>
  <c r="B38"/>
  <c r="E38"/>
  <c r="F38"/>
  <c r="G38"/>
  <c r="S38"/>
  <c r="C38"/>
  <c r="D38"/>
  <c r="V38"/>
  <c r="W38"/>
  <c r="H38"/>
  <c r="J38"/>
  <c r="I38"/>
  <c r="K38"/>
  <c r="L38"/>
  <c r="M38"/>
  <c r="N38"/>
  <c r="O38"/>
  <c r="P38"/>
  <c r="U13"/>
  <c r="X31" i="1" l="1"/>
  <c r="X19" s="1"/>
  <c r="W19"/>
  <c r="AY19"/>
  <c r="AZ31"/>
  <c r="AZ19" s="1"/>
  <c r="M40" i="5" l="1"/>
  <c r="J40"/>
  <c r="F40" l="1"/>
  <c r="I40" s="1"/>
  <c r="B40"/>
  <c r="E40" s="1"/>
  <c r="O40"/>
  <c r="L40"/>
  <c r="K38" i="36"/>
  <c r="I38"/>
  <c r="F38"/>
  <c r="P40" i="5" l="1"/>
  <c r="R40" s="1"/>
  <c r="S40" s="1"/>
  <c r="G40" i="51" l="1"/>
  <c r="I40" s="1"/>
  <c r="J40" s="1"/>
  <c r="G40" i="4"/>
  <c r="F4" i="63"/>
  <c r="I4"/>
  <c r="H4"/>
  <c r="I45" i="50" l="1"/>
  <c r="O37" i="5" l="1"/>
  <c r="M37"/>
  <c r="J37"/>
  <c r="L37" s="1"/>
  <c r="I37"/>
  <c r="F37"/>
  <c r="E37"/>
  <c r="B37"/>
  <c r="P37" l="1"/>
  <c r="R37" s="1"/>
  <c r="S37" s="1"/>
  <c r="M39"/>
  <c r="J39"/>
  <c r="F39"/>
  <c r="B39" l="1"/>
  <c r="E39" s="1"/>
  <c r="O39"/>
  <c r="L39"/>
  <c r="I39"/>
  <c r="K37" i="36"/>
  <c r="I37"/>
  <c r="F37"/>
  <c r="P39" i="5" l="1"/>
  <c r="R39" s="1"/>
  <c r="S39" s="1"/>
  <c r="U36" i="45" l="1"/>
  <c r="I39" i="51" l="1"/>
  <c r="J39" s="1"/>
  <c r="G39"/>
  <c r="G39" i="4"/>
  <c r="M38" i="5" l="1"/>
  <c r="O38" s="1"/>
  <c r="J38"/>
  <c r="L38" s="1"/>
  <c r="F38"/>
  <c r="I38" s="1"/>
  <c r="E38"/>
  <c r="B38"/>
  <c r="K36" i="36"/>
  <c r="I36"/>
  <c r="F36"/>
  <c r="P38" i="5" l="1"/>
  <c r="R38" s="1"/>
  <c r="S38" s="1"/>
  <c r="U35" i="45"/>
  <c r="I38" i="51" l="1"/>
  <c r="J38" s="1"/>
  <c r="G38"/>
  <c r="G38" i="4"/>
  <c r="I34" i="36" l="1"/>
  <c r="K35"/>
  <c r="I35"/>
  <c r="F35"/>
  <c r="U34" i="45"/>
  <c r="I37" i="51" l="1"/>
  <c r="J37" s="1"/>
  <c r="G37"/>
  <c r="G37" i="4"/>
  <c r="C39" i="50" l="1"/>
  <c r="B39"/>
  <c r="H39"/>
  <c r="G39"/>
  <c r="F39"/>
  <c r="D39"/>
  <c r="I43"/>
  <c r="I39" l="1"/>
  <c r="B36" i="5"/>
  <c r="E36" s="1"/>
  <c r="M36"/>
  <c r="O36" s="1"/>
  <c r="J36"/>
  <c r="L36" s="1"/>
  <c r="F36"/>
  <c r="I36" s="1"/>
  <c r="F34" i="36"/>
  <c r="I36" i="51"/>
  <c r="J36" s="1"/>
  <c r="G36"/>
  <c r="G36" i="4"/>
  <c r="U33" i="45"/>
  <c r="P36" i="5" l="1"/>
  <c r="R36" s="1"/>
  <c r="S36" s="1"/>
  <c r="K34" i="36"/>
  <c r="Q21" i="5"/>
  <c r="N21"/>
  <c r="K21"/>
  <c r="H21"/>
  <c r="G21"/>
  <c r="D21"/>
  <c r="C21"/>
  <c r="W39" i="27"/>
  <c r="M35" i="5" l="1"/>
  <c r="O35" s="1"/>
  <c r="J35"/>
  <c r="L35" s="1"/>
  <c r="F35"/>
  <c r="I35" s="1"/>
  <c r="E35"/>
  <c r="B35"/>
  <c r="K33" i="36"/>
  <c r="I33"/>
  <c r="F33"/>
  <c r="I35" i="51"/>
  <c r="J35" s="1"/>
  <c r="G35"/>
  <c r="G35" i="4"/>
  <c r="U32" i="45"/>
  <c r="U31"/>
  <c r="U30" l="1"/>
  <c r="P35" i="5"/>
  <c r="R35" s="1"/>
  <c r="S35" s="1"/>
  <c r="M33" l="1"/>
  <c r="J33"/>
  <c r="F33"/>
  <c r="E33"/>
  <c r="E21" s="1"/>
  <c r="B33"/>
  <c r="B21" s="1"/>
  <c r="J19" i="36"/>
  <c r="H19"/>
  <c r="G19"/>
  <c r="E19"/>
  <c r="D19"/>
  <c r="C19"/>
  <c r="B19"/>
  <c r="I31"/>
  <c r="I19" s="1"/>
  <c r="F31"/>
  <c r="O33" i="5" l="1"/>
  <c r="O21" s="1"/>
  <c r="M21"/>
  <c r="I33"/>
  <c r="I21" s="1"/>
  <c r="F21"/>
  <c r="K31" i="36"/>
  <c r="K19" s="1"/>
  <c r="L33" i="5"/>
  <c r="L21" s="1"/>
  <c r="J21"/>
  <c r="F19" i="36"/>
  <c r="F21" i="51"/>
  <c r="G33"/>
  <c r="G21" s="1"/>
  <c r="H21"/>
  <c r="E21"/>
  <c r="D21"/>
  <c r="C21"/>
  <c r="B21"/>
  <c r="G33" i="4"/>
  <c r="G21" s="1"/>
  <c r="F21"/>
  <c r="E21"/>
  <c r="D21"/>
  <c r="C21"/>
  <c r="B21"/>
  <c r="I42" i="50"/>
  <c r="B17" i="45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P33" i="5" l="1"/>
  <c r="I33" i="51"/>
  <c r="I21" s="1"/>
  <c r="U17" i="45"/>
  <c r="M32" i="5"/>
  <c r="O32" s="1"/>
  <c r="J32"/>
  <c r="L32" s="1"/>
  <c r="F32"/>
  <c r="I32" s="1"/>
  <c r="B32"/>
  <c r="E32" s="1"/>
  <c r="R33" l="1"/>
  <c r="P21"/>
  <c r="J33" i="51"/>
  <c r="J21" s="1"/>
  <c r="P32" i="5"/>
  <c r="R32" s="1"/>
  <c r="S32" s="1"/>
  <c r="U29" i="45"/>
  <c r="S33" i="5" l="1"/>
  <c r="S21" s="1"/>
  <c r="R21"/>
  <c r="K30" i="36"/>
  <c r="I30"/>
  <c r="F30"/>
  <c r="G32" i="51" l="1"/>
  <c r="I32" s="1"/>
  <c r="J32" s="1"/>
  <c r="G32" i="4"/>
  <c r="U28" i="45" l="1"/>
  <c r="B31" i="5" l="1"/>
  <c r="E31" s="1"/>
  <c r="M31"/>
  <c r="O31" s="1"/>
  <c r="J31"/>
  <c r="L31" s="1"/>
  <c r="I31"/>
  <c r="F31"/>
  <c r="I29" i="36"/>
  <c r="F29"/>
  <c r="G31" i="51"/>
  <c r="I31" s="1"/>
  <c r="J31" s="1"/>
  <c r="G31" i="4"/>
  <c r="I41" i="50"/>
  <c r="I40"/>
  <c r="I38"/>
  <c r="E38"/>
  <c r="I37"/>
  <c r="E37"/>
  <c r="I36"/>
  <c r="E36"/>
  <c r="I35"/>
  <c r="E35"/>
  <c r="H34"/>
  <c r="G34"/>
  <c r="F34"/>
  <c r="D34"/>
  <c r="C34"/>
  <c r="B34"/>
  <c r="I33"/>
  <c r="E33"/>
  <c r="I32"/>
  <c r="E32"/>
  <c r="I31"/>
  <c r="E31"/>
  <c r="I30"/>
  <c r="E30"/>
  <c r="E29" s="1"/>
  <c r="H29"/>
  <c r="G29"/>
  <c r="F29"/>
  <c r="D29"/>
  <c r="C29"/>
  <c r="B29"/>
  <c r="E28"/>
  <c r="E27"/>
  <c r="E26"/>
  <c r="E25"/>
  <c r="H24"/>
  <c r="I24" s="1"/>
  <c r="G24"/>
  <c r="F24"/>
  <c r="D24"/>
  <c r="C24"/>
  <c r="B24"/>
  <c r="I23"/>
  <c r="E23"/>
  <c r="I22"/>
  <c r="E22"/>
  <c r="I21"/>
  <c r="E21"/>
  <c r="I20"/>
  <c r="E20"/>
  <c r="I19"/>
  <c r="H19"/>
  <c r="G19"/>
  <c r="F19"/>
  <c r="D19"/>
  <c r="C19"/>
  <c r="B19"/>
  <c r="I18"/>
  <c r="E18"/>
  <c r="I17"/>
  <c r="E17"/>
  <c r="I16"/>
  <c r="E16"/>
  <c r="I15"/>
  <c r="E15"/>
  <c r="H14"/>
  <c r="G14"/>
  <c r="F14"/>
  <c r="D14"/>
  <c r="C14"/>
  <c r="B14"/>
  <c r="I29" l="1"/>
  <c r="I14"/>
  <c r="I34"/>
  <c r="E24"/>
  <c r="E39"/>
  <c r="K29" i="36"/>
  <c r="E34" i="50"/>
  <c r="E19"/>
  <c r="E14"/>
  <c r="P31" i="5"/>
  <c r="R31" s="1"/>
  <c r="S31" s="1"/>
  <c r="U27" i="45" l="1"/>
  <c r="O30" i="5" l="1"/>
  <c r="M30"/>
  <c r="J30"/>
  <c r="L30" s="1"/>
  <c r="F30"/>
  <c r="I30" s="1"/>
  <c r="B30"/>
  <c r="E30" s="1"/>
  <c r="I28" i="36"/>
  <c r="K28" s="1"/>
  <c r="F28"/>
  <c r="P30" i="5" l="1"/>
  <c r="R30" s="1"/>
  <c r="S30" s="1"/>
  <c r="G30" i="51"/>
  <c r="I30" s="1"/>
  <c r="J30" s="1"/>
  <c r="G30" i="4"/>
  <c r="K27" i="36" l="1"/>
  <c r="I27"/>
  <c r="F27"/>
  <c r="M29" i="5"/>
  <c r="O29" s="1"/>
  <c r="F29"/>
  <c r="I29" s="1"/>
  <c r="J29"/>
  <c r="L29" s="1"/>
  <c r="E29"/>
  <c r="B29"/>
  <c r="P29" l="1"/>
  <c r="R29" s="1"/>
  <c r="S29" s="1"/>
  <c r="U25" i="45" l="1"/>
  <c r="U26"/>
  <c r="G29" i="51" l="1"/>
  <c r="I29" s="1"/>
  <c r="J29" s="1"/>
  <c r="G27" i="4"/>
  <c r="G28"/>
  <c r="G29"/>
  <c r="Q28" i="11" l="1"/>
  <c r="P28"/>
  <c r="O28"/>
  <c r="N28"/>
  <c r="M28"/>
  <c r="L28"/>
  <c r="K28"/>
  <c r="J28"/>
  <c r="I28"/>
  <c r="H28"/>
  <c r="G28"/>
  <c r="F28"/>
  <c r="E28"/>
  <c r="D28"/>
  <c r="C28"/>
  <c r="B28"/>
  <c r="Q15"/>
  <c r="P15"/>
  <c r="O15"/>
  <c r="N15"/>
  <c r="M15"/>
  <c r="L15"/>
  <c r="K15"/>
  <c r="J15"/>
  <c r="I15"/>
  <c r="H15"/>
  <c r="G15"/>
  <c r="F15"/>
  <c r="E15"/>
  <c r="D15"/>
  <c r="C15"/>
  <c r="B15"/>
  <c r="G28" i="51" l="1"/>
  <c r="I28" s="1"/>
  <c r="J28" s="1"/>
  <c r="G27"/>
  <c r="I27" s="1"/>
  <c r="J27" s="1"/>
  <c r="G26"/>
  <c r="I26" s="1"/>
  <c r="J26" s="1"/>
  <c r="G25"/>
  <c r="I25" s="1"/>
  <c r="J25" s="1"/>
  <c r="G24"/>
  <c r="I24" s="1"/>
  <c r="J24" s="1"/>
  <c r="G23"/>
  <c r="I23" s="1"/>
  <c r="J23" s="1"/>
  <c r="G22"/>
  <c r="I22" s="1"/>
  <c r="J22" s="1"/>
  <c r="J10"/>
  <c r="I10"/>
  <c r="G10"/>
  <c r="I9"/>
  <c r="J9" s="1"/>
  <c r="G9"/>
  <c r="G8"/>
  <c r="I8" s="1"/>
  <c r="J8" s="1"/>
  <c r="G26" i="4"/>
  <c r="G25"/>
  <c r="G24"/>
  <c r="G23"/>
  <c r="G22"/>
  <c r="G8"/>
  <c r="K26" i="36" l="1"/>
  <c r="I28" i="5"/>
  <c r="E28"/>
  <c r="M28"/>
  <c r="O28" s="1"/>
  <c r="J28"/>
  <c r="L28" s="1"/>
  <c r="F28"/>
  <c r="B28"/>
  <c r="I26" i="36"/>
  <c r="F26"/>
  <c r="P28" i="5" l="1"/>
  <c r="R28" s="1"/>
  <c r="S28" s="1"/>
  <c r="I25" i="36"/>
  <c r="K25" s="1"/>
  <c r="F25"/>
  <c r="I24"/>
  <c r="K24" s="1"/>
  <c r="F24"/>
  <c r="I23"/>
  <c r="K23" s="1"/>
  <c r="F23"/>
  <c r="I22"/>
  <c r="F22"/>
  <c r="I21"/>
  <c r="F21"/>
  <c r="K20"/>
  <c r="I20"/>
  <c r="F20"/>
  <c r="I7"/>
  <c r="F7"/>
  <c r="I6"/>
  <c r="F6"/>
  <c r="K21" l="1"/>
  <c r="K7"/>
  <c r="K6"/>
  <c r="K22"/>
  <c r="M27" i="5" l="1"/>
  <c r="O27" s="1"/>
  <c r="J27"/>
  <c r="L27" s="1"/>
  <c r="I27"/>
  <c r="F27"/>
  <c r="E27"/>
  <c r="B27"/>
  <c r="P27" l="1"/>
  <c r="R27" s="1"/>
  <c r="S27" s="1"/>
  <c r="Q69" i="37" l="1"/>
  <c r="S69" s="1"/>
  <c r="Q67"/>
  <c r="S67" s="1"/>
  <c r="Q65"/>
  <c r="S65" s="1"/>
  <c r="O64"/>
  <c r="N64"/>
  <c r="G64"/>
  <c r="F64"/>
  <c r="E64"/>
  <c r="D64"/>
  <c r="C64"/>
  <c r="B64"/>
  <c r="S63"/>
  <c r="K64" s="1"/>
  <c r="Q63"/>
  <c r="Q61"/>
  <c r="S61" s="1"/>
  <c r="I60"/>
  <c r="H60"/>
  <c r="U59"/>
  <c r="S59"/>
  <c r="E60" s="1"/>
  <c r="Q59"/>
  <c r="Q57"/>
  <c r="S57" s="1"/>
  <c r="Q55"/>
  <c r="S53"/>
  <c r="H54" s="1"/>
  <c r="Q53"/>
  <c r="H52"/>
  <c r="U51"/>
  <c r="S51"/>
  <c r="E52" s="1"/>
  <c r="Q51"/>
  <c r="Q49"/>
  <c r="S49" s="1"/>
  <c r="Q47"/>
  <c r="S47" s="1"/>
  <c r="S45"/>
  <c r="H46" s="1"/>
  <c r="Q45"/>
  <c r="F44"/>
  <c r="U43"/>
  <c r="S43"/>
  <c r="E44" s="1"/>
  <c r="Q43"/>
  <c r="Q41"/>
  <c r="S41" s="1"/>
  <c r="F40"/>
  <c r="E40"/>
  <c r="D40"/>
  <c r="C40"/>
  <c r="B40"/>
  <c r="S39"/>
  <c r="K40" s="1"/>
  <c r="Q39"/>
  <c r="S36"/>
  <c r="H37" s="1"/>
  <c r="Q36"/>
  <c r="S34"/>
  <c r="E35" s="1"/>
  <c r="Q34"/>
  <c r="Q32"/>
  <c r="S32" s="1"/>
  <c r="D31"/>
  <c r="C31"/>
  <c r="B31"/>
  <c r="S30"/>
  <c r="K31" s="1"/>
  <c r="Q30"/>
  <c r="Q31" s="1"/>
  <c r="S28"/>
  <c r="H29" s="1"/>
  <c r="Q28"/>
  <c r="Q26"/>
  <c r="S26" s="1"/>
  <c r="Q24"/>
  <c r="S24" s="1"/>
  <c r="B23"/>
  <c r="S22"/>
  <c r="M23" s="1"/>
  <c r="Q22"/>
  <c r="Q23" s="1"/>
  <c r="S20"/>
  <c r="H21" s="1"/>
  <c r="Q20"/>
  <c r="M19"/>
  <c r="I19"/>
  <c r="U18"/>
  <c r="S18"/>
  <c r="E19" s="1"/>
  <c r="Q18"/>
  <c r="Q16"/>
  <c r="S16" s="1"/>
  <c r="R15"/>
  <c r="Q15"/>
  <c r="P15"/>
  <c r="B15"/>
  <c r="U14"/>
  <c r="S14"/>
  <c r="K15" s="1"/>
  <c r="Q14"/>
  <c r="Q12"/>
  <c r="S12" s="1"/>
  <c r="M11"/>
  <c r="I11"/>
  <c r="U10"/>
  <c r="S10"/>
  <c r="R11" s="1"/>
  <c r="Q10"/>
  <c r="Q8"/>
  <c r="S8" s="1"/>
  <c r="R7"/>
  <c r="U6"/>
  <c r="S6"/>
  <c r="K7" s="1"/>
  <c r="Q6"/>
  <c r="E68" l="1"/>
  <c r="M68"/>
  <c r="U67"/>
  <c r="F68"/>
  <c r="H68"/>
  <c r="R68"/>
  <c r="K48"/>
  <c r="L48"/>
  <c r="Q48"/>
  <c r="N48"/>
  <c r="E48"/>
  <c r="O48"/>
  <c r="P48"/>
  <c r="D48"/>
  <c r="G48"/>
  <c r="R48"/>
  <c r="C48"/>
  <c r="S48"/>
  <c r="B48"/>
  <c r="F48"/>
  <c r="E27"/>
  <c r="U26"/>
  <c r="I27"/>
  <c r="M27"/>
  <c r="Q56"/>
  <c r="O7"/>
  <c r="N15"/>
  <c r="Q52"/>
  <c r="M15"/>
  <c r="S40"/>
  <c r="S23"/>
  <c r="P23"/>
  <c r="M7"/>
  <c r="O23"/>
  <c r="L15"/>
  <c r="N23"/>
  <c r="Q29"/>
  <c r="P31"/>
  <c r="R40"/>
  <c r="S55"/>
  <c r="R23"/>
  <c r="R31"/>
  <c r="Q68"/>
  <c r="O15"/>
  <c r="F7"/>
  <c r="P7"/>
  <c r="Q44"/>
  <c r="G23"/>
  <c r="Q40"/>
  <c r="P40"/>
  <c r="D7"/>
  <c r="Q11"/>
  <c r="E15"/>
  <c r="Q19"/>
  <c r="E23"/>
  <c r="G31"/>
  <c r="M35"/>
  <c r="O40"/>
  <c r="Q46"/>
  <c r="Q54"/>
  <c r="S64"/>
  <c r="Q7"/>
  <c r="N7"/>
  <c r="Q60"/>
  <c r="E7"/>
  <c r="Q37"/>
  <c r="C7"/>
  <c r="D15"/>
  <c r="D23"/>
  <c r="F31"/>
  <c r="I35"/>
  <c r="N40"/>
  <c r="M44"/>
  <c r="M52"/>
  <c r="R64"/>
  <c r="Q35"/>
  <c r="S31"/>
  <c r="Q21"/>
  <c r="G7"/>
  <c r="G15"/>
  <c r="O31"/>
  <c r="F15"/>
  <c r="F23"/>
  <c r="N31"/>
  <c r="B7"/>
  <c r="S7"/>
  <c r="C15"/>
  <c r="S15"/>
  <c r="C23"/>
  <c r="Q27"/>
  <c r="E31"/>
  <c r="U34"/>
  <c r="G40"/>
  <c r="I44"/>
  <c r="I52"/>
  <c r="M60"/>
  <c r="P64"/>
  <c r="N42"/>
  <c r="B42"/>
  <c r="C42"/>
  <c r="P42"/>
  <c r="D42"/>
  <c r="Q42"/>
  <c r="E42"/>
  <c r="R42"/>
  <c r="F42"/>
  <c r="S42"/>
  <c r="G42"/>
  <c r="H42"/>
  <c r="I42"/>
  <c r="J42"/>
  <c r="K42"/>
  <c r="O42"/>
  <c r="L42"/>
  <c r="M42"/>
  <c r="U41"/>
  <c r="N50"/>
  <c r="B50"/>
  <c r="O50"/>
  <c r="C50"/>
  <c r="P50"/>
  <c r="D50"/>
  <c r="Q50"/>
  <c r="E50"/>
  <c r="R50"/>
  <c r="F50"/>
  <c r="S50"/>
  <c r="G50"/>
  <c r="H50"/>
  <c r="I50"/>
  <c r="J50"/>
  <c r="K50"/>
  <c r="L50"/>
  <c r="M50"/>
  <c r="U49"/>
  <c r="N58"/>
  <c r="B58"/>
  <c r="O58"/>
  <c r="C58"/>
  <c r="P58"/>
  <c r="D58"/>
  <c r="Q58"/>
  <c r="E58"/>
  <c r="R58"/>
  <c r="F58"/>
  <c r="S58"/>
  <c r="G58"/>
  <c r="H58"/>
  <c r="I58"/>
  <c r="J58"/>
  <c r="K58"/>
  <c r="L58"/>
  <c r="M58"/>
  <c r="U57"/>
  <c r="N66"/>
  <c r="B66"/>
  <c r="O66"/>
  <c r="C66"/>
  <c r="P66"/>
  <c r="D66"/>
  <c r="Q66"/>
  <c r="E66"/>
  <c r="R66"/>
  <c r="F66"/>
  <c r="S66"/>
  <c r="G66"/>
  <c r="H66"/>
  <c r="I66"/>
  <c r="J66"/>
  <c r="K66"/>
  <c r="L66"/>
  <c r="M66"/>
  <c r="U65"/>
  <c r="N17"/>
  <c r="B17"/>
  <c r="Q17"/>
  <c r="P17"/>
  <c r="D17"/>
  <c r="R17"/>
  <c r="F17"/>
  <c r="S17"/>
  <c r="G17"/>
  <c r="H17"/>
  <c r="I17"/>
  <c r="J17"/>
  <c r="K17"/>
  <c r="E17"/>
  <c r="L17"/>
  <c r="C17"/>
  <c r="M17"/>
  <c r="U16"/>
  <c r="O17"/>
  <c r="H62"/>
  <c r="I62"/>
  <c r="J62"/>
  <c r="K62"/>
  <c r="L62"/>
  <c r="M62"/>
  <c r="U61"/>
  <c r="N62"/>
  <c r="B62"/>
  <c r="O62"/>
  <c r="C62"/>
  <c r="P62"/>
  <c r="D62"/>
  <c r="E62"/>
  <c r="R62"/>
  <c r="F62"/>
  <c r="S62"/>
  <c r="G62"/>
  <c r="N25"/>
  <c r="P25"/>
  <c r="D25"/>
  <c r="Q25"/>
  <c r="E25"/>
  <c r="R25"/>
  <c r="F25"/>
  <c r="S25"/>
  <c r="G25"/>
  <c r="H25"/>
  <c r="I25"/>
  <c r="J25"/>
  <c r="K25"/>
  <c r="L25"/>
  <c r="C25"/>
  <c r="M25"/>
  <c r="U24"/>
  <c r="B25"/>
  <c r="O25"/>
  <c r="H70"/>
  <c r="I70"/>
  <c r="J70"/>
  <c r="K70"/>
  <c r="L70"/>
  <c r="M70"/>
  <c r="U69"/>
  <c r="N70"/>
  <c r="B70"/>
  <c r="O70"/>
  <c r="C70"/>
  <c r="P70"/>
  <c r="D70"/>
  <c r="E70"/>
  <c r="R70"/>
  <c r="F70"/>
  <c r="S70"/>
  <c r="G70"/>
  <c r="H13"/>
  <c r="J13"/>
  <c r="K13"/>
  <c r="L13"/>
  <c r="M13"/>
  <c r="U12"/>
  <c r="N13"/>
  <c r="B13"/>
  <c r="O13"/>
  <c r="C13"/>
  <c r="P13"/>
  <c r="D13"/>
  <c r="E13"/>
  <c r="R13"/>
  <c r="F13"/>
  <c r="I13"/>
  <c r="S13"/>
  <c r="G13"/>
  <c r="N9"/>
  <c r="C9"/>
  <c r="P9"/>
  <c r="D9"/>
  <c r="Q9"/>
  <c r="E9"/>
  <c r="R9"/>
  <c r="F9"/>
  <c r="S9"/>
  <c r="G9"/>
  <c r="H9"/>
  <c r="I9"/>
  <c r="J9"/>
  <c r="K9"/>
  <c r="L9"/>
  <c r="O9"/>
  <c r="M9"/>
  <c r="U8"/>
  <c r="B9"/>
  <c r="N33"/>
  <c r="B33"/>
  <c r="P33"/>
  <c r="D33"/>
  <c r="Q33"/>
  <c r="E33"/>
  <c r="R33"/>
  <c r="F33"/>
  <c r="S33"/>
  <c r="G33"/>
  <c r="H33"/>
  <c r="I33"/>
  <c r="J33"/>
  <c r="K33"/>
  <c r="L33"/>
  <c r="O33"/>
  <c r="M33"/>
  <c r="U32"/>
  <c r="C33"/>
  <c r="L7"/>
  <c r="F11"/>
  <c r="R19"/>
  <c r="L23"/>
  <c r="I29"/>
  <c r="R35"/>
  <c r="L40"/>
  <c r="I46"/>
  <c r="J7"/>
  <c r="D11"/>
  <c r="P11"/>
  <c r="J15"/>
  <c r="D19"/>
  <c r="P19"/>
  <c r="G21"/>
  <c r="S21"/>
  <c r="J23"/>
  <c r="D27"/>
  <c r="P27"/>
  <c r="G29"/>
  <c r="S29"/>
  <c r="J31"/>
  <c r="D35"/>
  <c r="P35"/>
  <c r="G37"/>
  <c r="S37"/>
  <c r="J40"/>
  <c r="D44"/>
  <c r="P44"/>
  <c r="G46"/>
  <c r="S46"/>
  <c r="J48"/>
  <c r="D52"/>
  <c r="P52"/>
  <c r="G54"/>
  <c r="S54"/>
  <c r="J56"/>
  <c r="D60"/>
  <c r="P60"/>
  <c r="J64"/>
  <c r="D68"/>
  <c r="P68"/>
  <c r="F19"/>
  <c r="I21"/>
  <c r="F27"/>
  <c r="E11"/>
  <c r="K23"/>
  <c r="I7"/>
  <c r="C11"/>
  <c r="O11"/>
  <c r="I15"/>
  <c r="C19"/>
  <c r="O19"/>
  <c r="F21"/>
  <c r="R21"/>
  <c r="I23"/>
  <c r="C27"/>
  <c r="O27"/>
  <c r="F29"/>
  <c r="R29"/>
  <c r="I31"/>
  <c r="C35"/>
  <c r="O35"/>
  <c r="F37"/>
  <c r="R37"/>
  <c r="I40"/>
  <c r="C44"/>
  <c r="O44"/>
  <c r="F46"/>
  <c r="R46"/>
  <c r="I48"/>
  <c r="C52"/>
  <c r="O52"/>
  <c r="F54"/>
  <c r="R54"/>
  <c r="I56"/>
  <c r="C60"/>
  <c r="O60"/>
  <c r="I64"/>
  <c r="C68"/>
  <c r="O68"/>
  <c r="H7"/>
  <c r="B11"/>
  <c r="N11"/>
  <c r="Q13"/>
  <c r="H15"/>
  <c r="B19"/>
  <c r="N19"/>
  <c r="E21"/>
  <c r="H23"/>
  <c r="B27"/>
  <c r="N27"/>
  <c r="E29"/>
  <c r="H31"/>
  <c r="B35"/>
  <c r="N35"/>
  <c r="E37"/>
  <c r="H40"/>
  <c r="B44"/>
  <c r="N44"/>
  <c r="E46"/>
  <c r="H48"/>
  <c r="B52"/>
  <c r="N52"/>
  <c r="E54"/>
  <c r="H56"/>
  <c r="B60"/>
  <c r="N60"/>
  <c r="Q62"/>
  <c r="H64"/>
  <c r="B68"/>
  <c r="N68"/>
  <c r="Q70"/>
  <c r="D21"/>
  <c r="P21"/>
  <c r="D29"/>
  <c r="P29"/>
  <c r="D37"/>
  <c r="P37"/>
  <c r="D46"/>
  <c r="P46"/>
  <c r="D54"/>
  <c r="P54"/>
  <c r="L11"/>
  <c r="L19"/>
  <c r="C21"/>
  <c r="O21"/>
  <c r="L27"/>
  <c r="C29"/>
  <c r="O29"/>
  <c r="L35"/>
  <c r="C37"/>
  <c r="O37"/>
  <c r="L44"/>
  <c r="C46"/>
  <c r="O46"/>
  <c r="L52"/>
  <c r="C54"/>
  <c r="O54"/>
  <c r="L60"/>
  <c r="L68"/>
  <c r="K11"/>
  <c r="K19"/>
  <c r="B21"/>
  <c r="N21"/>
  <c r="K27"/>
  <c r="B29"/>
  <c r="N29"/>
  <c r="K35"/>
  <c r="B37"/>
  <c r="N37"/>
  <c r="K44"/>
  <c r="B46"/>
  <c r="N46"/>
  <c r="K52"/>
  <c r="B54"/>
  <c r="N54"/>
  <c r="K60"/>
  <c r="Q64"/>
  <c r="K68"/>
  <c r="J11"/>
  <c r="J19"/>
  <c r="U20"/>
  <c r="M21"/>
  <c r="J27"/>
  <c r="U28"/>
  <c r="M29"/>
  <c r="J35"/>
  <c r="U36"/>
  <c r="M37"/>
  <c r="J44"/>
  <c r="U45"/>
  <c r="M46"/>
  <c r="J52"/>
  <c r="U53"/>
  <c r="M54"/>
  <c r="J60"/>
  <c r="J68"/>
  <c r="L21"/>
  <c r="L29"/>
  <c r="L37"/>
  <c r="L46"/>
  <c r="L54"/>
  <c r="I68"/>
  <c r="H11"/>
  <c r="H19"/>
  <c r="K21"/>
  <c r="H27"/>
  <c r="K29"/>
  <c r="H35"/>
  <c r="K37"/>
  <c r="H44"/>
  <c r="K46"/>
  <c r="K54"/>
  <c r="G11"/>
  <c r="S11"/>
  <c r="G19"/>
  <c r="S19"/>
  <c r="J21"/>
  <c r="U22"/>
  <c r="G27"/>
  <c r="S27"/>
  <c r="J29"/>
  <c r="U30"/>
  <c r="M31"/>
  <c r="G35"/>
  <c r="S35"/>
  <c r="J37"/>
  <c r="U39"/>
  <c r="M40"/>
  <c r="G44"/>
  <c r="S44"/>
  <c r="J46"/>
  <c r="U47"/>
  <c r="M48"/>
  <c r="G52"/>
  <c r="S52"/>
  <c r="J54"/>
  <c r="U55"/>
  <c r="M56"/>
  <c r="G60"/>
  <c r="S60"/>
  <c r="U63"/>
  <c r="M64"/>
  <c r="G68"/>
  <c r="S68"/>
  <c r="R27"/>
  <c r="L31"/>
  <c r="F35"/>
  <c r="I37"/>
  <c r="R44"/>
  <c r="F52"/>
  <c r="R52"/>
  <c r="I54"/>
  <c r="L56"/>
  <c r="F60"/>
  <c r="R60"/>
  <c r="L64"/>
  <c r="K56" l="1"/>
  <c r="N56"/>
  <c r="C56"/>
  <c r="O56"/>
  <c r="P56"/>
  <c r="R56"/>
  <c r="G56"/>
  <c r="S56"/>
  <c r="D56"/>
  <c r="B56"/>
  <c r="E56"/>
  <c r="F56"/>
  <c r="U24" i="45"/>
  <c r="M26" i="5" l="1"/>
  <c r="O26" s="1"/>
  <c r="J26"/>
  <c r="L26" s="1"/>
  <c r="I26"/>
  <c r="F26"/>
  <c r="B26"/>
  <c r="E26" s="1"/>
  <c r="B25"/>
  <c r="B24"/>
  <c r="P26" l="1"/>
  <c r="R26" s="1"/>
  <c r="S26" s="1"/>
  <c r="U23" i="45" l="1"/>
  <c r="E25" i="5" l="1"/>
  <c r="U22" i="45" l="1"/>
  <c r="M25" i="5" l="1"/>
  <c r="O25" s="1"/>
  <c r="L25"/>
  <c r="J25"/>
  <c r="F25"/>
  <c r="I25" s="1"/>
  <c r="P25" l="1"/>
  <c r="R25" s="1"/>
  <c r="S25" s="1"/>
  <c r="U21" i="45" l="1"/>
  <c r="U18"/>
  <c r="U19"/>
  <c r="U20"/>
  <c r="E24" i="5" l="1"/>
  <c r="O24"/>
  <c r="M24"/>
  <c r="L24"/>
  <c r="J24"/>
  <c r="F24"/>
  <c r="I24" s="1"/>
  <c r="S24" l="1"/>
  <c r="P24"/>
  <c r="R24" s="1"/>
  <c r="M23" l="1"/>
  <c r="O23" s="1"/>
  <c r="J23"/>
  <c r="L23" s="1"/>
  <c r="I23"/>
  <c r="F23"/>
  <c r="B23"/>
  <c r="E23" s="1"/>
  <c r="P23" l="1"/>
  <c r="R23" s="1"/>
  <c r="S23" s="1"/>
  <c r="W38" i="27" l="1"/>
  <c r="W37"/>
  <c r="M22" i="5" l="1"/>
  <c r="O22" s="1"/>
  <c r="J22"/>
  <c r="L22" s="1"/>
  <c r="F22"/>
  <c r="I22" s="1"/>
  <c r="E22"/>
  <c r="B22"/>
  <c r="P22" l="1"/>
  <c r="R22" s="1"/>
  <c r="S22" s="1"/>
  <c r="E4" i="63" l="1"/>
  <c r="U31" i="32" l="1"/>
  <c r="T31"/>
  <c r="S31"/>
  <c r="R31"/>
  <c r="Q31"/>
  <c r="P31"/>
  <c r="O31"/>
  <c r="M31"/>
  <c r="K31"/>
  <c r="I31"/>
  <c r="H31"/>
  <c r="G31"/>
  <c r="F31"/>
  <c r="E31"/>
  <c r="D31"/>
  <c r="C31"/>
  <c r="B31"/>
  <c r="U18"/>
  <c r="T18"/>
  <c r="S18"/>
  <c r="R18"/>
  <c r="Q18"/>
  <c r="P18"/>
  <c r="O18"/>
  <c r="N18"/>
  <c r="M18"/>
  <c r="K18"/>
  <c r="I18"/>
  <c r="H18"/>
  <c r="G18"/>
  <c r="F18"/>
  <c r="E18"/>
  <c r="D18"/>
  <c r="C18"/>
  <c r="B18"/>
  <c r="U7" i="45"/>
  <c r="U6"/>
  <c r="U5"/>
  <c r="U4"/>
  <c r="W36" i="27"/>
  <c r="W35"/>
  <c r="W34"/>
  <c r="W33"/>
  <c r="R32"/>
  <c r="Q32"/>
  <c r="P32"/>
  <c r="O32"/>
  <c r="R31"/>
  <c r="Q31"/>
  <c r="P31"/>
  <c r="O31"/>
  <c r="R30"/>
  <c r="Q30"/>
  <c r="P30"/>
  <c r="O30"/>
  <c r="R29"/>
  <c r="Q29"/>
  <c r="P29"/>
  <c r="O29"/>
  <c r="R28"/>
  <c r="Q28"/>
  <c r="P28"/>
  <c r="O28"/>
  <c r="R27"/>
  <c r="Q27"/>
  <c r="P27"/>
  <c r="O27"/>
  <c r="AB26"/>
  <c r="AA26"/>
  <c r="Z26"/>
  <c r="Y26"/>
  <c r="R26"/>
  <c r="Q26"/>
  <c r="P26"/>
  <c r="O26"/>
  <c r="R25"/>
  <c r="Q25"/>
  <c r="P25"/>
  <c r="O25"/>
  <c r="X24"/>
  <c r="R24"/>
  <c r="Q24"/>
  <c r="P24"/>
  <c r="O24"/>
  <c r="X23"/>
  <c r="R23"/>
  <c r="Q23"/>
  <c r="P23"/>
  <c r="O23"/>
  <c r="X21"/>
  <c r="W19"/>
  <c r="L10" i="5" l="1"/>
  <c r="I10"/>
  <c r="L9"/>
  <c r="I9"/>
  <c r="L8"/>
  <c r="I8"/>
  <c r="P8" l="1"/>
  <c r="R8" s="1"/>
  <c r="S8" s="1"/>
  <c r="P10"/>
  <c r="R10" s="1"/>
  <c r="S10" s="1"/>
  <c r="P9"/>
  <c r="R9" s="1"/>
  <c r="S9" s="1"/>
</calcChain>
</file>

<file path=xl/sharedStrings.xml><?xml version="1.0" encoding="utf-8"?>
<sst xmlns="http://schemas.openxmlformats.org/spreadsheetml/2006/main" count="9647" uniqueCount="2997">
  <si>
    <t>(In million US$)</t>
  </si>
  <si>
    <t>28.01.09</t>
  </si>
  <si>
    <t>25.02.09</t>
  </si>
  <si>
    <t>25.02.29</t>
  </si>
  <si>
    <t>25.03.09</t>
  </si>
  <si>
    <t>25.03.29</t>
  </si>
  <si>
    <t>29.04.09</t>
  </si>
  <si>
    <t>29.04.29</t>
  </si>
  <si>
    <t>27.05.09</t>
  </si>
  <si>
    <t>27.05.29</t>
  </si>
  <si>
    <t>24.06.09</t>
  </si>
  <si>
    <t>24.06.29</t>
  </si>
  <si>
    <t>29.07.09</t>
  </si>
  <si>
    <t>29.07.29</t>
  </si>
  <si>
    <t>26.08.09</t>
  </si>
  <si>
    <t>26.08.29</t>
  </si>
  <si>
    <t>Source :</t>
  </si>
  <si>
    <t>RATES OF INTEREST ON NON-RESIDENT FOREIGN CURRENCY DEPOSIT (NFCD) ACCOUNT                             PRIVATE BANKS</t>
  </si>
  <si>
    <t>RATES OF INTEREST ON NON-RESIDENT FOREIGN CURRENCY DEPOSIT (NFCD) ACCOUNT                              FOREIGN BANKS</t>
  </si>
  <si>
    <t>Clothing &amp; Footwear</t>
  </si>
  <si>
    <t>Gross rent, Fuel &amp; Lighting</t>
  </si>
  <si>
    <t xml:space="preserve"> Period</t>
  </si>
  <si>
    <t>DMBs Borrowings</t>
  </si>
  <si>
    <t>DMBs Deposits (Excluding BSBL &amp; Inter-Bank)</t>
  </si>
  <si>
    <t>(Taka in crore)</t>
  </si>
  <si>
    <t>Particulars</t>
  </si>
  <si>
    <t>Savings Deposits:</t>
  </si>
  <si>
    <t>Fixed Deposits:</t>
  </si>
  <si>
    <t>Term Loan to Small Industry</t>
  </si>
  <si>
    <t>Net Profit After Tax</t>
  </si>
  <si>
    <t>Note:</t>
  </si>
  <si>
    <t>23.01.08</t>
  </si>
  <si>
    <t>27.02.08</t>
  </si>
  <si>
    <t>27.03.08</t>
  </si>
  <si>
    <t>23.04.08</t>
  </si>
  <si>
    <t>28.05.08</t>
  </si>
  <si>
    <t>27.08.08</t>
  </si>
  <si>
    <t>24.09.08</t>
  </si>
  <si>
    <t>29.10.08</t>
  </si>
  <si>
    <t>26.11.08</t>
  </si>
  <si>
    <t>24.12.08</t>
  </si>
  <si>
    <r>
      <t xml:space="preserve">United States </t>
    </r>
    <r>
      <rPr>
        <sz val="6"/>
        <color indexed="8"/>
        <rFont val="Times New Roman"/>
        <family val="1"/>
      </rPr>
      <t>(Rotterdam)</t>
    </r>
  </si>
  <si>
    <t>28.01.29</t>
  </si>
  <si>
    <t>23.01.28</t>
  </si>
  <si>
    <t>27.02.28</t>
  </si>
  <si>
    <t>27.03.28</t>
  </si>
  <si>
    <t>23.04.28</t>
  </si>
  <si>
    <t>28.05.28</t>
  </si>
  <si>
    <t>24.09.28</t>
  </si>
  <si>
    <t>29.10.28</t>
  </si>
  <si>
    <t>26.11.28</t>
  </si>
  <si>
    <t>24.12.28</t>
  </si>
  <si>
    <t>-</t>
  </si>
  <si>
    <t>Mudaraba Short Term Deposits</t>
  </si>
  <si>
    <t>Mudaraba Hajj Savings Deposits :</t>
  </si>
  <si>
    <t>Cash Waqf.</t>
  </si>
  <si>
    <t>Chinese  Yuan</t>
  </si>
  <si>
    <t>RATES OF INTEREST ON NON-RESIDENT FOREIGN CURRENCY DEPOSIT (NFCD) ACCOUNT                                       STATE OWNED COMMERCIAL BANKS</t>
  </si>
  <si>
    <t>Hong Kong Dollar</t>
  </si>
  <si>
    <t>Japanese Yen</t>
  </si>
  <si>
    <t xml:space="preserve">No. of Persons </t>
  </si>
  <si>
    <t xml:space="preserve">Remittances </t>
  </si>
  <si>
    <t>Saudi Arabia</t>
  </si>
  <si>
    <t>Kuwait</t>
  </si>
  <si>
    <t>Libya</t>
  </si>
  <si>
    <t>Qatar</t>
  </si>
  <si>
    <t>Oman</t>
  </si>
  <si>
    <t>Singapore</t>
  </si>
  <si>
    <t>Germany</t>
  </si>
  <si>
    <t>Bahrain</t>
  </si>
  <si>
    <t>Iran</t>
  </si>
  <si>
    <t>Japan</t>
  </si>
  <si>
    <t>Other Countries</t>
  </si>
  <si>
    <t>Total Income</t>
  </si>
  <si>
    <t>Total Expenditure</t>
  </si>
  <si>
    <t>Bangladesh Bank (Central Bank)</t>
  </si>
  <si>
    <t>Specialized Banks</t>
  </si>
  <si>
    <t>Total Manpower</t>
  </si>
  <si>
    <t>1 month</t>
  </si>
  <si>
    <t>1 year</t>
  </si>
  <si>
    <t>Pound Sterling</t>
  </si>
  <si>
    <t>2009-10</t>
  </si>
  <si>
    <t>A.</t>
  </si>
  <si>
    <t>Bank Rate</t>
  </si>
  <si>
    <t>C.</t>
  </si>
  <si>
    <t>2008-09</t>
  </si>
  <si>
    <t>Engineering </t>
  </si>
  <si>
    <t>Jute Industries</t>
  </si>
  <si>
    <t>Exports</t>
  </si>
  <si>
    <t>Cement Industries</t>
  </si>
  <si>
    <t>Total Market Capitalisation</t>
  </si>
  <si>
    <t>Retail Market Price of Dhaka City</t>
  </si>
  <si>
    <t>Inflation (Food)</t>
  </si>
  <si>
    <t>Inflation (Non-food)</t>
  </si>
  <si>
    <t>Point -to- Point</t>
  </si>
  <si>
    <t>12- Month Average</t>
  </si>
  <si>
    <t xml:space="preserve">Social Islami Bank </t>
  </si>
  <si>
    <t>State Owned Commercial Banks</t>
  </si>
  <si>
    <t>5 years</t>
  </si>
  <si>
    <t>8 years</t>
  </si>
  <si>
    <t>Double Benefit Scheme</t>
  </si>
  <si>
    <t>Triple Benefit Scheme</t>
  </si>
  <si>
    <t>Mudaraba Steady Money</t>
  </si>
  <si>
    <t>Mudaraba Super Savings</t>
  </si>
  <si>
    <t>Mudaraba Multi Plus Savings</t>
  </si>
  <si>
    <t>Mudaraba Smart Saver Deposits</t>
  </si>
  <si>
    <t>Mudaraba Lakhopati Deposits Scheme</t>
  </si>
  <si>
    <t>Mudaraba Future Deposits Scheme</t>
  </si>
  <si>
    <t>Mudaraba Housing  Savings Scheme</t>
  </si>
  <si>
    <t>Children Savings Scheme</t>
  </si>
  <si>
    <t>Point -to-Point</t>
  </si>
  <si>
    <t>Tea</t>
  </si>
  <si>
    <t xml:space="preserve">August </t>
  </si>
  <si>
    <t>Clinker</t>
  </si>
  <si>
    <t>Cotton</t>
  </si>
  <si>
    <t>Banking Sector</t>
  </si>
  <si>
    <t>TRADE</t>
  </si>
  <si>
    <t>FOREIGN</t>
  </si>
  <si>
    <t xml:space="preserve">PRODUCTION OF MAJOR </t>
  </si>
  <si>
    <t>AGRICULTURAL COMMODITIES</t>
  </si>
  <si>
    <t>Currency in Circulation</t>
  </si>
  <si>
    <t>From</t>
  </si>
  <si>
    <t>PAYMENTS</t>
  </si>
  <si>
    <t>BALANCE OF</t>
  </si>
  <si>
    <t>Monetary Aggregates</t>
  </si>
  <si>
    <t xml:space="preserve">SELECTED ECONOMIC </t>
  </si>
  <si>
    <t>INDICATORS  </t>
  </si>
  <si>
    <t>BB</t>
  </si>
  <si>
    <t>DMBs</t>
  </si>
  <si>
    <t>Advances &amp; Bills</t>
  </si>
  <si>
    <t>Percentage change over end of the last June</t>
  </si>
  <si>
    <t>Income Velocity of  Money</t>
  </si>
  <si>
    <t xml:space="preserve">  </t>
  </si>
  <si>
    <t>Credit (Net) to Gover- nment</t>
  </si>
  <si>
    <t>Credit to Other Public Sector</t>
  </si>
  <si>
    <t>Bank Rate </t>
  </si>
  <si>
    <t>Deposits</t>
  </si>
  <si>
    <t xml:space="preserve"> Advances </t>
  </si>
  <si>
    <t>TABLE- IV (Contd.)</t>
  </si>
  <si>
    <t>Total Domestic credit</t>
  </si>
  <si>
    <t>End of period</t>
  </si>
  <si>
    <t>Interest Rates on</t>
  </si>
  <si>
    <t>Specialised Banks</t>
  </si>
  <si>
    <t>Private Banks</t>
  </si>
  <si>
    <t>RAKUB</t>
  </si>
  <si>
    <t>TABLE- IIE</t>
  </si>
  <si>
    <t xml:space="preserve">Lending Rates: </t>
  </si>
  <si>
    <t>Agriculture</t>
  </si>
  <si>
    <t>Sub-Category-1</t>
  </si>
  <si>
    <t>Sub-Category-2</t>
  </si>
  <si>
    <t>Non-Financial  Corporation</t>
  </si>
  <si>
    <t xml:space="preserve">         Deposit Liabilities</t>
  </si>
  <si>
    <t xml:space="preserve">         - =Not applicable</t>
  </si>
  <si>
    <r>
      <t>* Dubai Mediam, Fateh 32</t>
    </r>
    <r>
      <rPr>
        <vertAlign val="superscript"/>
        <sz val="6.5"/>
        <color indexed="8"/>
        <rFont val="Times New Roman"/>
        <family val="1"/>
      </rPr>
      <t xml:space="preserve">o </t>
    </r>
    <r>
      <rPr>
        <sz val="6.5"/>
        <color indexed="8"/>
        <rFont val="Times New Roman"/>
        <family val="1"/>
      </rPr>
      <t>API, Spot, f.o.b. U.K.</t>
    </r>
  </si>
  <si>
    <r>
      <t xml:space="preserve"> @ United Kingdom Light, Brent 38</t>
    </r>
    <r>
      <rPr>
        <vertAlign val="superscript"/>
        <sz val="6.5"/>
        <color indexed="8"/>
        <rFont val="Times New Roman"/>
        <family val="1"/>
      </rPr>
      <t>o</t>
    </r>
    <r>
      <rPr>
        <sz val="6.5"/>
        <color indexed="8"/>
        <rFont val="Times New Roman"/>
        <family val="1"/>
      </rPr>
      <t xml:space="preserve"> API, Spot, f.o.b. U.K.</t>
    </r>
  </si>
  <si>
    <t>Term Loan to Large &amp; Medium Scale Industry</t>
  </si>
  <si>
    <t xml:space="preserve">  Sub-Category-1</t>
  </si>
  <si>
    <t xml:space="preserve">  Sub-Category-2</t>
  </si>
  <si>
    <t>NBDCs</t>
  </si>
  <si>
    <t>Working Capital to Industry</t>
  </si>
  <si>
    <t xml:space="preserve">Trade Financing </t>
  </si>
  <si>
    <t xml:space="preserve">Housing Loan </t>
  </si>
  <si>
    <t xml:space="preserve">Consumer Credit </t>
  </si>
  <si>
    <t xml:space="preserve">Others </t>
  </si>
  <si>
    <t>NCCBL</t>
  </si>
  <si>
    <t>BCBL</t>
  </si>
  <si>
    <t>Bank Asia</t>
  </si>
  <si>
    <t>Woori Bank</t>
  </si>
  <si>
    <t>MERCHANDISE EXPORTS</t>
  </si>
  <si>
    <t>MERCHANDISE IMPORTS</t>
  </si>
  <si>
    <t>MERCHANDISE</t>
  </si>
  <si>
    <t>IMPORTS</t>
  </si>
  <si>
    <t>Aus Rice</t>
  </si>
  <si>
    <t>Aman Rice</t>
  </si>
  <si>
    <t>Boro Rice</t>
  </si>
  <si>
    <t>Currency     in Tills of DMBs</t>
  </si>
  <si>
    <t>Deposit Money Banks  (DMBs)</t>
  </si>
  <si>
    <t>To      Private</t>
  </si>
  <si>
    <t>To    Public</t>
  </si>
  <si>
    <t>Public    Bills</t>
  </si>
  <si>
    <t xml:space="preserve">                       Public                                                                  Sector</t>
  </si>
  <si>
    <t>Invest-ment</t>
  </si>
  <si>
    <t>Credit     to    Private Sector</t>
  </si>
  <si>
    <t>Other                                 Public Sector</t>
  </si>
  <si>
    <t>CPI of Major Non-Food Items / Groups</t>
  </si>
  <si>
    <t>Note    :</t>
  </si>
  <si>
    <t>91 percent of savings deposits are included in time deposits with effect from July 2007</t>
  </si>
  <si>
    <t>To     Banks</t>
  </si>
  <si>
    <t xml:space="preserve">                      Rates,             Ratios         &amp;         Average         </t>
  </si>
  <si>
    <t>Foreign Trade (during the period)</t>
  </si>
  <si>
    <t>2010-11</t>
  </si>
  <si>
    <t xml:space="preserve"> Bangladesh Bureau of Statistics</t>
  </si>
  <si>
    <t xml:space="preserve">                 </t>
  </si>
  <si>
    <t>TABLE-IB</t>
  </si>
  <si>
    <t>TABLE-IIA</t>
  </si>
  <si>
    <r>
      <t>Note :</t>
    </r>
    <r>
      <rPr>
        <sz val="7"/>
        <rFont val="Times New Roman"/>
        <family val="1"/>
      </rPr>
      <t xml:space="preserve"> </t>
    </r>
  </si>
  <si>
    <r>
      <t xml:space="preserve">Source    </t>
    </r>
    <r>
      <rPr>
        <sz val="7"/>
        <rFont val="Times New Roman"/>
        <family val="1"/>
      </rPr>
      <t xml:space="preserve">: </t>
    </r>
  </si>
  <si>
    <r>
      <t xml:space="preserve">Note        </t>
    </r>
    <r>
      <rPr>
        <sz val="7"/>
        <rFont val="Times New Roman"/>
        <family val="1"/>
      </rPr>
      <t>: </t>
    </r>
  </si>
  <si>
    <t>Government       (Net)</t>
  </si>
  <si>
    <t>5= (3+4)</t>
  </si>
  <si>
    <t>8= (6+7)</t>
  </si>
  <si>
    <t>In FC   Clearing A/C</t>
  </si>
  <si>
    <t>Deposits with BB</t>
  </si>
  <si>
    <t>By  DMBs</t>
  </si>
  <si>
    <t>TABLE-IIC</t>
  </si>
  <si>
    <t>TABLE-IID</t>
  </si>
  <si>
    <t xml:space="preserve">Net Foreign Assets </t>
  </si>
  <si>
    <t>Deposit Money Banks</t>
  </si>
  <si>
    <r>
      <t xml:space="preserve">Total </t>
    </r>
    <r>
      <rPr>
        <sz val="8"/>
        <rFont val="Times New Roman"/>
        <family val="1"/>
      </rPr>
      <t>(2+3+4+5)</t>
    </r>
  </si>
  <si>
    <t>Net Domestic Assets (6+7)</t>
  </si>
  <si>
    <t>Reserve Money (1+8)</t>
  </si>
  <si>
    <t>Currency      in Tills of DMBs</t>
  </si>
  <si>
    <t xml:space="preserve">Note           : </t>
  </si>
  <si>
    <t xml:space="preserve">Source       : </t>
  </si>
  <si>
    <t>TABLE-IIF</t>
  </si>
  <si>
    <t>5 = (3+4)</t>
  </si>
  <si>
    <t>10 = (1+2+5+8+9)</t>
  </si>
  <si>
    <t xml:space="preserve">Note :  </t>
  </si>
  <si>
    <t>8 = (6+7)</t>
  </si>
  <si>
    <t>Commodities  ( others than food grains )</t>
  </si>
  <si>
    <t>( Taka in crore )</t>
  </si>
  <si>
    <t>Pharma-ceutical Products</t>
  </si>
  <si>
    <t>Capital machinery</t>
  </si>
  <si>
    <t>Total Exports     (1         through    10)</t>
  </si>
  <si>
    <t>Commodities                                                                                                ( other than food grains )</t>
  </si>
  <si>
    <t>TABLE-IV (Concld.)</t>
  </si>
  <si>
    <t xml:space="preserve">           </t>
  </si>
  <si>
    <t>Financial Institutions</t>
  </si>
  <si>
    <t>Mutual Funds</t>
  </si>
  <si>
    <t>13=(3+6+9+12)</t>
  </si>
  <si>
    <t>BALANCE   OF   PAYMENTS</t>
  </si>
  <si>
    <t>TABLE-V (Contd.)</t>
  </si>
  <si>
    <t>Tax Revenue Receipts (under NBR)</t>
  </si>
  <si>
    <t xml:space="preserve">SELECTED TAX REVENUE RECEIPTS  </t>
  </si>
  <si>
    <t>Telecomm-unication</t>
  </si>
  <si>
    <t>000'  sq. Metres</t>
  </si>
  <si>
    <t>Source : </t>
  </si>
  <si>
    <t xml:space="preserve">                  </t>
  </si>
  <si>
    <t xml:space="preserve">               </t>
  </si>
  <si>
    <t xml:space="preserve">                </t>
  </si>
  <si>
    <t>Monthly Profit Based Deposits</t>
  </si>
  <si>
    <t>Hajj Deposit (Term)</t>
  </si>
  <si>
    <t>Iranian Riyal</t>
  </si>
  <si>
    <t>Myanmar Kyat</t>
  </si>
  <si>
    <t>South Korean Won</t>
  </si>
  <si>
    <t>Soya bean Oil     (US $ /MT)</t>
  </si>
  <si>
    <t>Food      Products</t>
  </si>
  <si>
    <t>Oil      Products</t>
  </si>
  <si>
    <t xml:space="preserve">KEY INDICATORS OF </t>
  </si>
  <si>
    <t>NATIONAL ACCOUNTS</t>
  </si>
  <si>
    <t>GDP at Current Market Price</t>
  </si>
  <si>
    <t>GNI at Current Market Price</t>
  </si>
  <si>
    <t>Net  Current Transfer from Abroad</t>
  </si>
  <si>
    <t>Gross Domestic Savings at Current Market Price</t>
  </si>
  <si>
    <t>Gross National Savings at  Current Market Price</t>
  </si>
  <si>
    <t>National Savings as % of GDP at Current Market Price</t>
  </si>
  <si>
    <t>GDP at Constant Market Price</t>
  </si>
  <si>
    <t>GNI at Constant Market Price</t>
  </si>
  <si>
    <t>Per Capita (Amount in unit)</t>
  </si>
  <si>
    <t>Income at Current Market Price</t>
  </si>
  <si>
    <t>P = Provisional</t>
  </si>
  <si>
    <t>Non-Food</t>
  </si>
  <si>
    <t>Transport &amp; Communi-cations</t>
  </si>
  <si>
    <t>Recreation, Entertain-ment, Education &amp; Cultural Services</t>
  </si>
  <si>
    <t>Source:</t>
  </si>
  <si>
    <r>
      <t>Source</t>
    </r>
    <r>
      <rPr>
        <sz val="7"/>
        <color indexed="8"/>
        <rFont val="Times New Roman"/>
        <family val="1"/>
      </rPr>
      <t>: Bangladesh Bureau of Statistics</t>
    </r>
  </si>
  <si>
    <t>Import Duty</t>
  </si>
  <si>
    <t>Net Primary Income from Abroad</t>
  </si>
  <si>
    <t>Manufa-cturing</t>
  </si>
  <si>
    <t>Constr-uctions</t>
  </si>
  <si>
    <t>Finan-cial     Inter-medi-ations</t>
  </si>
  <si>
    <t>Educa-tion</t>
  </si>
  <si>
    <t>TABLE-X</t>
  </si>
  <si>
    <r>
      <t>Note       :</t>
    </r>
    <r>
      <rPr>
        <sz val="8"/>
        <color indexed="8"/>
        <rFont val="Times New Roman"/>
        <family val="1"/>
      </rPr>
      <t xml:space="preserve"> </t>
    </r>
  </si>
  <si>
    <t>Gross Disposable National  Income at Current Market Price</t>
  </si>
  <si>
    <t>Total Consum-ption at Current Market Price</t>
  </si>
  <si>
    <t>Income at Constant Market Price</t>
  </si>
  <si>
    <t>Annual Growth     of GDP at Constant Market Price %</t>
  </si>
  <si>
    <t>Miscella-neous </t>
  </si>
  <si>
    <t>u)</t>
  </si>
  <si>
    <t>Mudaraba Marriage Savings Scheme</t>
  </si>
  <si>
    <t>DMBs Total Assets/ Liabilities</t>
  </si>
  <si>
    <t>Total Invest-ments as    % of GDP at Current Market Price</t>
  </si>
  <si>
    <t>Total Consum-ption as % of GDP at Current Market Price</t>
  </si>
  <si>
    <t>Export Duty</t>
  </si>
  <si>
    <t xml:space="preserve"> Weighted Average Exchange Rate</t>
  </si>
  <si>
    <t>ii)  Loan above Tk. 15 lacs</t>
  </si>
  <si>
    <t>i)  Loan upto Tk. 15 lacs</t>
  </si>
  <si>
    <t>Sugar Cane</t>
  </si>
  <si>
    <t>Rape &amp; Mustard</t>
  </si>
  <si>
    <t>TABLE-V (Concld.)</t>
  </si>
  <si>
    <t>Moong</t>
  </si>
  <si>
    <t>Masur</t>
  </si>
  <si>
    <t>Tobacco</t>
  </si>
  <si>
    <t>Jute</t>
  </si>
  <si>
    <t>…</t>
  </si>
  <si>
    <t xml:space="preserve">iii) </t>
  </si>
  <si>
    <t xml:space="preserve">iv) </t>
  </si>
  <si>
    <t>iii)</t>
  </si>
  <si>
    <t>iv)</t>
  </si>
  <si>
    <t>Banking)</t>
  </si>
  <si>
    <t>INDICATORS</t>
  </si>
  <si>
    <t>TABLE-IA (Contd.)</t>
  </si>
  <si>
    <t xml:space="preserve"> Euro</t>
  </si>
  <si>
    <t>v)</t>
  </si>
  <si>
    <t>f)</t>
  </si>
  <si>
    <t>i)</t>
  </si>
  <si>
    <t>j)</t>
  </si>
  <si>
    <t>k)</t>
  </si>
  <si>
    <t>l)</t>
  </si>
  <si>
    <t>m)</t>
  </si>
  <si>
    <t>n)</t>
  </si>
  <si>
    <t>o)</t>
  </si>
  <si>
    <t>p)</t>
  </si>
  <si>
    <t xml:space="preserve">Domestic  </t>
  </si>
  <si>
    <t>AT INTERNATIONAL MARKET</t>
  </si>
  <si>
    <t>TABLE-IIIB</t>
  </si>
  <si>
    <t>Cotton (U.S. Cents/ pound)</t>
  </si>
  <si>
    <t>Gold (US $/ Troy Ounce)</t>
  </si>
  <si>
    <t xml:space="preserve">APPRECIATION / DEPRECIATION OF SELECTED </t>
  </si>
  <si>
    <t>CURRENCIES AGAINST US DOLLAR</t>
  </si>
  <si>
    <t>(Taka per</t>
  </si>
  <si>
    <t>RATES</t>
  </si>
  <si>
    <t>Currencies)</t>
  </si>
  <si>
    <t>EXCHANGE</t>
  </si>
  <si>
    <t xml:space="preserve">REMITTANCES </t>
  </si>
  <si>
    <t>36.37 Litres</t>
  </si>
  <si>
    <r>
      <t>1(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F)</t>
    </r>
  </si>
  <si>
    <r>
      <t>1.8(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C) + 32</t>
    </r>
  </si>
  <si>
    <t>100 Decimals</t>
  </si>
  <si>
    <t xml:space="preserve">Appendix : </t>
  </si>
  <si>
    <t>TABLE-IIB</t>
  </si>
  <si>
    <t>Services</t>
  </si>
  <si>
    <t>2007-08</t>
  </si>
  <si>
    <t>Liverpool  Index</t>
  </si>
  <si>
    <t>Inflows</t>
  </si>
  <si>
    <t>Stocks</t>
  </si>
  <si>
    <t xml:space="preserve">Total               </t>
  </si>
  <si>
    <t xml:space="preserve">Total                </t>
  </si>
  <si>
    <t>10.03.10</t>
  </si>
  <si>
    <t>10.03.25</t>
  </si>
  <si>
    <t>28.10.09</t>
  </si>
  <si>
    <t>28.10.29</t>
  </si>
  <si>
    <t>23.12.09</t>
  </si>
  <si>
    <t>23.12.29</t>
  </si>
  <si>
    <t>24.02.10</t>
  </si>
  <si>
    <t>24.02.30</t>
  </si>
  <si>
    <t>24.03.10</t>
  </si>
  <si>
    <t>24.03.30</t>
  </si>
  <si>
    <t>TABLE-XVI</t>
  </si>
  <si>
    <t xml:space="preserve">g)  </t>
  </si>
  <si>
    <t>Mudaraba Special Deposit  Pension Scheme</t>
  </si>
  <si>
    <t>12 years</t>
  </si>
  <si>
    <t xml:space="preserve"> i) </t>
  </si>
  <si>
    <t xml:space="preserve"> ii) </t>
  </si>
  <si>
    <t>15 years</t>
  </si>
  <si>
    <t>20 years</t>
  </si>
  <si>
    <t>25 years</t>
  </si>
  <si>
    <t>10 years</t>
  </si>
  <si>
    <t>Non Resident Bond</t>
  </si>
  <si>
    <t xml:space="preserve">h) </t>
  </si>
  <si>
    <t xml:space="preserve">e)     </t>
  </si>
  <si>
    <t>Benefit Scheme</t>
  </si>
  <si>
    <t xml:space="preserve">f) </t>
  </si>
  <si>
    <t>Millionaire Scheme Deposit</t>
  </si>
  <si>
    <t>ii)  11 to 25  years</t>
  </si>
  <si>
    <t>iii)  One Time Hajj Deposits</t>
  </si>
  <si>
    <t>i)    1 to 10 years</t>
  </si>
  <si>
    <t>MMPDR / Hajj Deposit (Monthly)</t>
  </si>
  <si>
    <t>... =Not applicable</t>
  </si>
  <si>
    <t xml:space="preserve">               </t>
  </si>
  <si>
    <t>… = Not Available</t>
  </si>
  <si>
    <t xml:space="preserve">Source :      </t>
  </si>
  <si>
    <t xml:space="preserve">Source : </t>
  </si>
  <si>
    <t xml:space="preserve">            </t>
  </si>
  <si>
    <t>TABLE-XVIII</t>
  </si>
  <si>
    <t>Source    :</t>
  </si>
  <si>
    <t>MONETARY</t>
  </si>
  <si>
    <t xml:space="preserve">COUNTRY-WISE WORKERS' </t>
  </si>
  <si>
    <t>Bangladeshi Taka</t>
  </si>
  <si>
    <t>South Korean  Won</t>
  </si>
  <si>
    <t>Sri  Lankan Rupee</t>
  </si>
  <si>
    <t xml:space="preserve">Source   : </t>
  </si>
  <si>
    <t xml:space="preserve">Note      :          </t>
  </si>
  <si>
    <t>Deposits with BB other than DMBs</t>
  </si>
  <si>
    <t>DMBs Advances</t>
  </si>
  <si>
    <t>DMBs Investment</t>
  </si>
  <si>
    <t>Other Financial Corporation &amp; NBDCs</t>
  </si>
  <si>
    <t>Public</t>
  </si>
  <si>
    <t>Non-Financial Corporation</t>
  </si>
  <si>
    <t>10=(1+2+5+8+9)</t>
  </si>
  <si>
    <t xml:space="preserve">Total </t>
  </si>
  <si>
    <t>1 Maund</t>
  </si>
  <si>
    <t>=</t>
  </si>
  <si>
    <t>37.324 Kgs.</t>
  </si>
  <si>
    <t>1 Bale</t>
  </si>
  <si>
    <t>180 Kgs.</t>
  </si>
  <si>
    <t>82.285 lbs.</t>
  </si>
  <si>
    <t>4.823 Mds.</t>
  </si>
  <si>
    <t>1 Seer</t>
  </si>
  <si>
    <t>0.933 Kg.</t>
  </si>
  <si>
    <t>1 Metric Ton</t>
  </si>
  <si>
    <t>1000 Kgs.</t>
  </si>
  <si>
    <t>Public Sector</t>
  </si>
  <si>
    <t>26.792 Mds.</t>
  </si>
  <si>
    <t>1 Pound (lb)</t>
  </si>
  <si>
    <t>0.4536 Kg.</t>
  </si>
  <si>
    <t>1 Long Ton</t>
  </si>
  <si>
    <t>1016.05 Kgs.</t>
  </si>
  <si>
    <t>1 Tola</t>
  </si>
  <si>
    <t>11.66 gms.</t>
  </si>
  <si>
    <t>27.223 Mds.</t>
  </si>
  <si>
    <t>1 Metre</t>
  </si>
  <si>
    <t>39.37 Inches</t>
  </si>
  <si>
    <t>1 Ounce</t>
  </si>
  <si>
    <t>2.43 Tola</t>
  </si>
  <si>
    <t>3.2808 Ft.</t>
  </si>
  <si>
    <t>28.35 gms.</t>
  </si>
  <si>
    <t>1 Sq. Metre</t>
  </si>
  <si>
    <t>10.764 Sq. Ft.</t>
  </si>
  <si>
    <t>1 Troy ounce</t>
  </si>
  <si>
    <t>1 Mile</t>
  </si>
  <si>
    <t>1.6093 Km.</t>
  </si>
  <si>
    <t>2.666 Tola</t>
  </si>
  <si>
    <t>0.3048 Metre</t>
  </si>
  <si>
    <t>1 Quintal</t>
  </si>
  <si>
    <t>100 Kgs.</t>
  </si>
  <si>
    <t>1 Sq. Ft.</t>
  </si>
  <si>
    <t>0.0929 Sq. Metre</t>
  </si>
  <si>
    <t>220.5 lbs.</t>
  </si>
  <si>
    <t>1 Bigha</t>
  </si>
  <si>
    <t>0.3306 Acre</t>
  </si>
  <si>
    <t>2.679 Mds.</t>
  </si>
  <si>
    <t xml:space="preserve">TABLE-III A (Contd.) </t>
  </si>
  <si>
    <t>TABLE-III A (Concld.)</t>
  </si>
  <si>
    <t>1600 Sq. Yards</t>
  </si>
  <si>
    <t>0.1 Metric Ton</t>
  </si>
  <si>
    <t xml:space="preserve">MONETARY </t>
  </si>
  <si>
    <t>BY DEPOSITORY CORPORATIONS</t>
  </si>
  <si>
    <t>BY THE BANKING SYSTEM</t>
  </si>
  <si>
    <t>1.65 Decimal</t>
  </si>
  <si>
    <t>1 Litre</t>
  </si>
  <si>
    <t>0.22 Gallon</t>
  </si>
  <si>
    <t>720 Sq. Ft.</t>
  </si>
  <si>
    <t>1000 CC</t>
  </si>
  <si>
    <t>66.89 Sq. Metre</t>
  </si>
  <si>
    <t>0.027 Bushel</t>
  </si>
  <si>
    <t>1 Decimal</t>
  </si>
  <si>
    <t>435.6 Sq. Ft.</t>
  </si>
  <si>
    <t>1 Barrel</t>
  </si>
  <si>
    <t>34.9726 Gallon</t>
  </si>
  <si>
    <t>1 Acre</t>
  </si>
  <si>
    <t>0.405 Hectare</t>
  </si>
  <si>
    <t>0.125 M. T.</t>
  </si>
  <si>
    <t>4840 Sq. Yards</t>
  </si>
  <si>
    <t>1 Crore</t>
  </si>
  <si>
    <t>10 Millions</t>
  </si>
  <si>
    <t>100 Lacs.</t>
  </si>
  <si>
    <t>1 Hectare</t>
  </si>
  <si>
    <t>2.47 Acres</t>
  </si>
  <si>
    <t>0.01 Billion</t>
  </si>
  <si>
    <t>1 Megawatt</t>
  </si>
  <si>
    <t>1000 Kilo Watts.</t>
  </si>
  <si>
    <t xml:space="preserve"> --- = Not applicable</t>
  </si>
  <si>
    <t>q)</t>
  </si>
  <si>
    <t>Mudaraba Muhar Savings(10yrs.)</t>
  </si>
  <si>
    <t>r)</t>
  </si>
  <si>
    <t>BDBL</t>
  </si>
  <si>
    <t>Mudaraba Muhar Savings(5yrs.)</t>
  </si>
  <si>
    <t>s)</t>
  </si>
  <si>
    <t>t)</t>
  </si>
  <si>
    <t>26.09.07</t>
  </si>
  <si>
    <t>24.10.07</t>
  </si>
  <si>
    <t>28.11.07</t>
  </si>
  <si>
    <t>26.09.27</t>
  </si>
  <si>
    <t>24.10.27</t>
  </si>
  <si>
    <t>28.11.27</t>
  </si>
  <si>
    <t>ii)</t>
  </si>
  <si>
    <t>1 Katha</t>
  </si>
  <si>
    <t>4046.8468 Sq. Metre</t>
  </si>
  <si>
    <t>1 Feet</t>
  </si>
  <si>
    <t>End of Period</t>
  </si>
  <si>
    <t>Banks</t>
  </si>
  <si>
    <t>Total</t>
  </si>
  <si>
    <t>Private</t>
  </si>
  <si>
    <t>Domestic</t>
  </si>
  <si>
    <t>Average</t>
  </si>
  <si>
    <t>Period</t>
  </si>
  <si>
    <t>Net Foreign Assets</t>
  </si>
  <si>
    <t>Domestic Credit</t>
  </si>
  <si>
    <t>Government (Net)</t>
  </si>
  <si>
    <t>Other Public Sector</t>
  </si>
  <si>
    <t>Goods</t>
  </si>
  <si>
    <t>Receipts</t>
  </si>
  <si>
    <t>Payments</t>
  </si>
  <si>
    <t>Official</t>
  </si>
  <si>
    <t>Others</t>
  </si>
  <si>
    <t>Food grains</t>
  </si>
  <si>
    <t>Rice</t>
  </si>
  <si>
    <t>Wheat</t>
  </si>
  <si>
    <t>Spices</t>
  </si>
  <si>
    <t>Yarn</t>
  </si>
  <si>
    <t>Paper</t>
  </si>
  <si>
    <t>Cigarettes</t>
  </si>
  <si>
    <t>Food</t>
  </si>
  <si>
    <t>Matches</t>
  </si>
  <si>
    <t>CPI</t>
  </si>
  <si>
    <t>General</t>
  </si>
  <si>
    <t>Inflation (General)</t>
  </si>
  <si>
    <t>Fishing</t>
  </si>
  <si>
    <t>Textile Industries</t>
  </si>
  <si>
    <t>Insurance</t>
  </si>
  <si>
    <t>B.</t>
  </si>
  <si>
    <t>(Percent per annum)</t>
  </si>
  <si>
    <t>Maturity of Deposits</t>
  </si>
  <si>
    <t>Borrowing Rate</t>
  </si>
  <si>
    <t>Highest</t>
  </si>
  <si>
    <t>Lowest</t>
  </si>
  <si>
    <t>Lending Rate</t>
  </si>
  <si>
    <t>Malaysia</t>
  </si>
  <si>
    <t>ACU Dollar</t>
  </si>
  <si>
    <t>Bahrain Dinar</t>
  </si>
  <si>
    <t>Canadian Dollar</t>
  </si>
  <si>
    <t>Danish Krone</t>
  </si>
  <si>
    <t>Indian Rupee</t>
  </si>
  <si>
    <t>Indonesian Rupiah</t>
  </si>
  <si>
    <t>Kuwaiti Dinar</t>
  </si>
  <si>
    <t>Nepalese Rupee</t>
  </si>
  <si>
    <t>New Zealand Dollar</t>
  </si>
  <si>
    <t>Norwegian Krone</t>
  </si>
  <si>
    <t>Omani Riyal</t>
  </si>
  <si>
    <t>Pakistani Rupee</t>
  </si>
  <si>
    <t>Philippines Peso</t>
  </si>
  <si>
    <t>Qatar Riyal</t>
  </si>
  <si>
    <t>Russian Ruble</t>
  </si>
  <si>
    <t>Saudi Arabian Riyal</t>
  </si>
  <si>
    <t>Singapore Dollar</t>
  </si>
  <si>
    <t>Swedish Krona</t>
  </si>
  <si>
    <t>SDR</t>
  </si>
  <si>
    <t>UAE Dirham</t>
  </si>
  <si>
    <t>US Dollar</t>
  </si>
  <si>
    <t>Australia</t>
  </si>
  <si>
    <t>Ukraine</t>
  </si>
  <si>
    <t>Argentina</t>
  </si>
  <si>
    <t>VAT</t>
  </si>
  <si>
    <t>Import</t>
  </si>
  <si>
    <t>Supplementary Tax</t>
  </si>
  <si>
    <t>Registration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</si>
  <si>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</si>
  <si>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</si>
  <si>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</si>
  <si>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</si>
  <si>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</si>
  <si>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</si>
  <si>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</si>
  <si>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</si>
  <si>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</si>
  <si>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</si>
  <si>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</si>
  <si>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</si>
  <si>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September</t>
  </si>
  <si>
    <t>December</t>
  </si>
  <si>
    <t>March</t>
  </si>
  <si>
    <t>June</t>
  </si>
  <si>
    <t>2005-06</t>
  </si>
  <si>
    <t>July</t>
  </si>
  <si>
    <t>August</t>
  </si>
  <si>
    <t>October</t>
  </si>
  <si>
    <t>November</t>
  </si>
  <si>
    <t>January</t>
  </si>
  <si>
    <t>February</t>
  </si>
  <si>
    <t>April</t>
  </si>
  <si>
    <t>May</t>
  </si>
  <si>
    <t>2006-07</t>
  </si>
  <si>
    <t>Weight</t>
  </si>
  <si>
    <t>Credit</t>
  </si>
  <si>
    <t xml:space="preserve">Domestic                                       </t>
  </si>
  <si>
    <t>TABLE-IA (concld.)</t>
  </si>
  <si>
    <t>Nature of Deposits</t>
  </si>
  <si>
    <t>Cotton Yarn</t>
  </si>
  <si>
    <t>Cotton Cloth</t>
  </si>
  <si>
    <t>Fertilizers</t>
  </si>
  <si>
    <t>Private Sector</t>
  </si>
  <si>
    <t>Total Domestic Credit (6+9+10)</t>
  </si>
  <si>
    <t>Other Revenue Receipts</t>
  </si>
  <si>
    <t>Post Office Revenue</t>
  </si>
  <si>
    <t>...</t>
  </si>
  <si>
    <t>Items</t>
  </si>
  <si>
    <t>Country of Origin &amp; Market</t>
  </si>
  <si>
    <t>U.K. (London)</t>
  </si>
  <si>
    <t>---</t>
  </si>
  <si>
    <t>Sugar</t>
  </si>
  <si>
    <t>1)</t>
  </si>
  <si>
    <t>2)</t>
  </si>
  <si>
    <t>3)</t>
  </si>
  <si>
    <t>4)</t>
  </si>
  <si>
    <t>5)</t>
  </si>
  <si>
    <t xml:space="preserve">Note     : </t>
  </si>
  <si>
    <t xml:space="preserve">SOME SELECTED COMMODITY PRICES </t>
  </si>
  <si>
    <t>Dubai* Fateh</t>
  </si>
  <si>
    <t>U.K. @ Brent</t>
  </si>
  <si>
    <t>United States (US Gulf Ports)</t>
  </si>
  <si>
    <t>Malaysia (NW Europe)</t>
  </si>
  <si>
    <t>All Origins (Dutch Ports)</t>
  </si>
  <si>
    <t>Working Capital to Large &amp; Medium Scale Industry</t>
  </si>
  <si>
    <t>Working Capital to Small Industry</t>
  </si>
  <si>
    <t>TABLE-XV (Contd.)</t>
  </si>
  <si>
    <t xml:space="preserve">Private                                                                                                                                          Banks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</si>
  <si>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Foreign                                                                                                                              Banks</t>
  </si>
  <si>
    <t>HSBC</t>
  </si>
  <si>
    <t>TABLE-XV (Concld.)</t>
  </si>
  <si>
    <t>Thailand (Bangkok)</t>
  </si>
  <si>
    <t>Thailand </t>
  </si>
  <si>
    <t>Australia </t>
  </si>
  <si>
    <t>E.U Import Price</t>
  </si>
  <si>
    <t>Free Market</t>
  </si>
  <si>
    <t>U.S. Import Price</t>
  </si>
  <si>
    <t>(In Percent) </t>
  </si>
  <si>
    <t>Australian Dollar</t>
  </si>
  <si>
    <t>Malaysian Ringgit</t>
  </si>
  <si>
    <t>Syrian Pound</t>
  </si>
  <si>
    <t>Mudaraba Savings Deposits</t>
  </si>
  <si>
    <t>Mudaraba Term Deposits</t>
  </si>
  <si>
    <t>a)</t>
  </si>
  <si>
    <t>3 years</t>
  </si>
  <si>
    <t>b)</t>
  </si>
  <si>
    <t>2 years</t>
  </si>
  <si>
    <t>c)</t>
  </si>
  <si>
    <t>d)</t>
  </si>
  <si>
    <t>6 months</t>
  </si>
  <si>
    <t>e)</t>
  </si>
  <si>
    <t>3 months</t>
  </si>
  <si>
    <t>Mudaraba Special Notice Deposits</t>
  </si>
  <si>
    <t>Monthly Term Savings Deposit</t>
  </si>
  <si>
    <t>Monthly Savings Investment Deposit</t>
  </si>
  <si>
    <t xml:space="preserve"> </t>
  </si>
  <si>
    <t xml:space="preserve">Deposits with </t>
  </si>
  <si>
    <t xml:space="preserve">MARKET CAPITALISATION (VALUE) OF ORDINARY SHARES OF COMPANIES </t>
  </si>
  <si>
    <t>Euro</t>
  </si>
  <si>
    <t xml:space="preserve">Net             </t>
  </si>
  <si>
    <t xml:space="preserve">Net                 </t>
  </si>
  <si>
    <t>9 = (7-8)</t>
  </si>
  <si>
    <t>6 = (4-5)</t>
  </si>
  <si>
    <t>3 = (1-2)</t>
  </si>
  <si>
    <t xml:space="preserve">Total             </t>
  </si>
  <si>
    <t>12 = (10+11)</t>
  </si>
  <si>
    <t xml:space="preserve">Total                        </t>
  </si>
  <si>
    <t xml:space="preserve">Total           </t>
  </si>
  <si>
    <t>14=(12+13)</t>
  </si>
  <si>
    <t>37=(14+36)</t>
  </si>
  <si>
    <t>38=(11-37)</t>
  </si>
  <si>
    <t>Others (Inclu-ding EPZ)</t>
  </si>
  <si>
    <t>Gross National Income (GNI) (18+19)</t>
  </si>
  <si>
    <t>Total Advances  (excluding    inter-bank)    (18+19)</t>
  </si>
  <si>
    <t>Total Bills   (excluding inter-bank) (22+23)</t>
  </si>
  <si>
    <t>Total Investment  (excluding        inter-bank)      (26+27)</t>
  </si>
  <si>
    <t>To            Banks     (17+21+25)</t>
  </si>
  <si>
    <t>Total    Deposit Liabilities    (37+38)</t>
  </si>
  <si>
    <t xml:space="preserve">Total Credit to Government (Gross) by the                Banking System </t>
  </si>
  <si>
    <t>Swiss Franc</t>
  </si>
  <si>
    <r>
      <rPr>
        <b/>
        <sz val="8"/>
        <color indexed="8"/>
        <rFont val="Times New Roman"/>
        <family val="1"/>
      </rPr>
      <t>Source:</t>
    </r>
    <r>
      <rPr>
        <sz val="8"/>
        <color indexed="8"/>
        <rFont val="Times New Roman"/>
        <family val="1"/>
      </rPr>
      <t xml:space="preserve"> </t>
    </r>
  </si>
  <si>
    <t>12.94</t>
  </si>
  <si>
    <t>15.04.10</t>
  </si>
  <si>
    <t>15.04.25</t>
  </si>
  <si>
    <t>12.05.10</t>
  </si>
  <si>
    <t>12.05.25</t>
  </si>
  <si>
    <t>09.06.10</t>
  </si>
  <si>
    <t>09.06.25</t>
  </si>
  <si>
    <t>11.08.10</t>
  </si>
  <si>
    <t>11.08.25</t>
  </si>
  <si>
    <t>15.09.10</t>
  </si>
  <si>
    <t>15.09.25</t>
  </si>
  <si>
    <t>13.10.10</t>
  </si>
  <si>
    <t>13.10.25</t>
  </si>
  <si>
    <t>10.11.10</t>
  </si>
  <si>
    <t>10.11.25</t>
  </si>
  <si>
    <t>15.12.10</t>
  </si>
  <si>
    <t>15.12.25</t>
  </si>
  <si>
    <t>09.02.11</t>
  </si>
  <si>
    <t>09.02.26</t>
  </si>
  <si>
    <t>09.03.11</t>
  </si>
  <si>
    <t>09.03.26</t>
  </si>
  <si>
    <t>26.05.10</t>
  </si>
  <si>
    <t>26.05.30</t>
  </si>
  <si>
    <t>29.07.10</t>
  </si>
  <si>
    <t>29.07.30</t>
  </si>
  <si>
    <t>25.08.10</t>
  </si>
  <si>
    <t>25.08.30</t>
  </si>
  <si>
    <t>29.09.10</t>
  </si>
  <si>
    <t>29.09.30</t>
  </si>
  <si>
    <t>27.10.10</t>
  </si>
  <si>
    <t>27.10.30</t>
  </si>
  <si>
    <t>24.11.10</t>
  </si>
  <si>
    <t>24.11.30</t>
  </si>
  <si>
    <t>29.12.10</t>
  </si>
  <si>
    <t>26.01.11</t>
  </si>
  <si>
    <t>26.01.31</t>
  </si>
  <si>
    <t>23.02.11</t>
  </si>
  <si>
    <t>23.02.31</t>
  </si>
  <si>
    <t>23.03.11</t>
  </si>
  <si>
    <t>23.03.31</t>
  </si>
  <si>
    <t>13.04.11</t>
  </si>
  <si>
    <t>13.04.26</t>
  </si>
  <si>
    <t>27.04.11</t>
  </si>
  <si>
    <t>27.04.31</t>
  </si>
  <si>
    <t>Note :</t>
  </si>
  <si>
    <r>
      <rPr>
        <b/>
        <sz val="8"/>
        <color indexed="8"/>
        <rFont val="Times New Roman"/>
        <family val="1"/>
      </rPr>
      <t>Note:</t>
    </r>
    <r>
      <rPr>
        <sz val="8"/>
        <color indexed="8"/>
        <rFont val="Times New Roman"/>
        <family val="1"/>
      </rPr>
      <t xml:space="preserve">   </t>
    </r>
  </si>
  <si>
    <t>IV</t>
  </si>
  <si>
    <t>V</t>
  </si>
  <si>
    <t>VII</t>
  </si>
  <si>
    <t>VIII</t>
  </si>
  <si>
    <t>X</t>
  </si>
  <si>
    <t>XI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</si>
  <si>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</si>
  <si>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</si>
  <si>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</si>
  <si>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</si>
  <si>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</si>
  <si>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</si>
  <si>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</si>
  <si>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</si>
  <si>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</si>
  <si>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</si>
  <si>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</si>
  <si>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</si>
  <si>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</si>
  <si>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</si>
  <si>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</si>
  <si>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Italy</t>
  </si>
  <si>
    <t xml:space="preserve">Note   : </t>
  </si>
  <si>
    <t xml:space="preserve">     Source :</t>
  </si>
  <si>
    <t>2011-12</t>
  </si>
  <si>
    <t>South Korea</t>
  </si>
  <si>
    <t xml:space="preserve">Source :   </t>
  </si>
  <si>
    <t>1 Bushel</t>
  </si>
  <si>
    <t>STATISTICAL TABLES</t>
  </si>
  <si>
    <t>IA</t>
  </si>
  <si>
    <t>IB</t>
  </si>
  <si>
    <t>IIA</t>
  </si>
  <si>
    <t>IIB</t>
  </si>
  <si>
    <t>Claims on Resident Sector by the Banking System</t>
  </si>
  <si>
    <t>IIC</t>
  </si>
  <si>
    <t>IID</t>
  </si>
  <si>
    <t>IIE</t>
  </si>
  <si>
    <t>IIF</t>
  </si>
  <si>
    <t>IIIA</t>
  </si>
  <si>
    <t>Balance of  Payments</t>
  </si>
  <si>
    <t>IIIB</t>
  </si>
  <si>
    <t>Foreign Trade</t>
  </si>
  <si>
    <t xml:space="preserve">Production of Major Agricultural Commodities </t>
  </si>
  <si>
    <t xml:space="preserve">Production of Major Industrial Commodities (Other than Jute Goods) </t>
  </si>
  <si>
    <t>Average Prices of Selected Commodities</t>
  </si>
  <si>
    <t>Key Indicators of National Accounts</t>
  </si>
  <si>
    <t xml:space="preserve">Interest Rate Structure of Government Securities/Bonds and Savings Instruments </t>
  </si>
  <si>
    <t xml:space="preserve">Rate of Interest on Non-resident Foreign Currency Deposit (NFCD) Accounts </t>
  </si>
  <si>
    <t>Monthly Average Call Money Market Rates</t>
  </si>
  <si>
    <t>Some Indicators of Income, Expenditure &amp; Profitability of the Banking Sector</t>
  </si>
  <si>
    <t>Country-wise Workers’ Remittances</t>
  </si>
  <si>
    <t>Exchange Rates (Taka Per Currencies)</t>
  </si>
  <si>
    <t>Appreciation/Depreciation of Some Selected Currencies Against U.S. Dollar</t>
  </si>
  <si>
    <t>Some Selected Commodity Prices at International Markets</t>
  </si>
  <si>
    <t>Mudaraba Education Deposit Scheme</t>
  </si>
  <si>
    <t>Mudaraba Monthly Profit Deposit Scheme (5 yrs.)</t>
  </si>
  <si>
    <t>Mudaraba Monthly Profit Deposit Scheme (3 yrs.)</t>
  </si>
  <si>
    <t>Market Capitalisation (Value) of Ordinary Shares of Companies Listed with the Dhaka Stock Exchange Ltd.</t>
  </si>
  <si>
    <t>Monetary Survey (M2)</t>
  </si>
  <si>
    <t xml:space="preserve">Monetary Survey (M3)  </t>
  </si>
  <si>
    <t>Cash     Base     of the Economy (3+42)</t>
  </si>
  <si>
    <t>Portfolio  Investment</t>
  </si>
  <si>
    <t>Other Investment</t>
  </si>
  <si>
    <t>Reserve Assets</t>
  </si>
  <si>
    <t>News  Print</t>
  </si>
  <si>
    <t>Ferti-lizers</t>
  </si>
  <si>
    <t>Oil  seeds</t>
  </si>
  <si>
    <t xml:space="preserve">    Edible      oil</t>
  </si>
  <si>
    <t>Staple fibres</t>
  </si>
  <si>
    <t xml:space="preserve">   Customs     Duty</t>
  </si>
  <si>
    <t xml:space="preserve">     Income   Tax</t>
  </si>
  <si>
    <t>Soybean  (US $/ MT)</t>
  </si>
  <si>
    <t>  Total Credit    (excluding        inter-bank)  (20+24+28)</t>
  </si>
  <si>
    <t>Total (excluding inter-bank) (7+10)</t>
  </si>
  <si>
    <t xml:space="preserve">  Other Resident      Sector </t>
  </si>
  <si>
    <t xml:space="preserve">     Other Resident           Sector</t>
  </si>
  <si>
    <t xml:space="preserve">    Equity    Capital</t>
  </si>
  <si>
    <t xml:space="preserve">   Equity    Capital</t>
  </si>
  <si>
    <t xml:space="preserve">    Total   Manpower</t>
  </si>
  <si>
    <t>Total   Manpower</t>
  </si>
  <si>
    <t xml:space="preserve">  Net Profit After Tax</t>
  </si>
  <si>
    <t xml:space="preserve">     Net      Profit</t>
  </si>
  <si>
    <t xml:space="preserve">    Total       Income</t>
  </si>
  <si>
    <t xml:space="preserve">     Total    Manpower</t>
  </si>
  <si>
    <t xml:space="preserve">  Govern-     ment    (Net)</t>
  </si>
  <si>
    <t xml:space="preserve">  Banking Sector</t>
  </si>
  <si>
    <t xml:space="preserve">  Total (1+2+3)</t>
  </si>
  <si>
    <t xml:space="preserve">   Total  (5+6+7)</t>
  </si>
  <si>
    <t>Total (9+10)</t>
  </si>
  <si>
    <t xml:space="preserve">   Banking  Sector</t>
  </si>
  <si>
    <t>Total  (12+13)</t>
  </si>
  <si>
    <t>Editorial Committee</t>
  </si>
  <si>
    <t xml:space="preserve">Statistics Department </t>
  </si>
  <si>
    <t xml:space="preserve">Bangladesh Bank         </t>
  </si>
  <si>
    <t>Ratio of DMBs Credit to Deposits  (in percent) </t>
  </si>
  <si>
    <t xml:space="preserve">       Coal            (US $/MT)</t>
  </si>
  <si>
    <t>Reinvested  Earning</t>
  </si>
  <si>
    <t xml:space="preserve">  Intra-company Loans</t>
  </si>
  <si>
    <t>Intra-company Loans</t>
  </si>
  <si>
    <t>Reinvested Earning</t>
  </si>
  <si>
    <t>Others (Including EPZ)</t>
  </si>
  <si>
    <t xml:space="preserve">  Pulses     (all sorts)</t>
  </si>
  <si>
    <t xml:space="preserve">        Area       (in '000' acres)</t>
  </si>
  <si>
    <t xml:space="preserve">      Total          Manpower</t>
  </si>
  <si>
    <t xml:space="preserve"> Net Profit After Tax</t>
  </si>
  <si>
    <t xml:space="preserve">    Total   Income</t>
  </si>
  <si>
    <t xml:space="preserve">    Total    Income</t>
  </si>
  <si>
    <t>( Inflation, Production Index, Foreign Trade,</t>
  </si>
  <si>
    <t xml:space="preserve">CLAIMS ON RESIDENT SECTORS </t>
  </si>
  <si>
    <t xml:space="preserve"> &lt; 1.00 crore</t>
  </si>
  <si>
    <t>1.00 crore but  &lt; 25.00 crore</t>
  </si>
  <si>
    <t>25.00 crore but  &lt; 50.00 crore</t>
  </si>
  <si>
    <t>50.00 crore but  &lt; 100.00 crore</t>
  </si>
  <si>
    <t>3 months but &lt;6 months</t>
  </si>
  <si>
    <t>6 months but &lt; 1 year</t>
  </si>
  <si>
    <t>1 year but&lt; 2 years</t>
  </si>
  <si>
    <t>2 years but &lt; 3 years</t>
  </si>
  <si>
    <t>3 years &amp; above</t>
  </si>
  <si>
    <t>Special Notice Deposits (SND):</t>
  </si>
  <si>
    <t>Reserve Money (1+2+3+5)</t>
  </si>
  <si>
    <t>Commercial Banks</t>
  </si>
  <si>
    <t>SOME INDICATORS OF INCOME, EXPENDITURE &amp;</t>
  </si>
  <si>
    <t>PROFITABILITY OF THE BANKING SECTOR</t>
  </si>
  <si>
    <t>State Owned Banks</t>
  </si>
  <si>
    <t xml:space="preserve">      Total Income</t>
  </si>
  <si>
    <t xml:space="preserve"> Financial  Corporation</t>
  </si>
  <si>
    <t xml:space="preserve">BANK WISE ANNOUNCED INTEREST RATE STRUCTURE </t>
  </si>
  <si>
    <t xml:space="preserve">Claims on Resident Sectors by Depository Corporations </t>
  </si>
  <si>
    <t>14.97</t>
  </si>
  <si>
    <t>15.16</t>
  </si>
  <si>
    <t>Annual Growth    of GDP at Current Market Price %</t>
  </si>
  <si>
    <t>GDP Deflator</t>
  </si>
  <si>
    <r>
      <rPr>
        <b/>
        <sz val="8"/>
        <rFont val="Times New Roman"/>
        <family val="1"/>
      </rPr>
      <t>Source :</t>
    </r>
    <r>
      <rPr>
        <sz val="8"/>
        <rFont val="Times New Roman"/>
        <family val="1"/>
      </rPr>
      <t xml:space="preserve"> </t>
    </r>
  </si>
  <si>
    <t>2012-13</t>
  </si>
  <si>
    <t>Currency Out side Banks</t>
  </si>
  <si>
    <t>Point- to- Point (Base: 2005-06=100)</t>
  </si>
  <si>
    <t>12- Month Average (Base: 2005-06=100)</t>
  </si>
  <si>
    <r>
      <t xml:space="preserve">Rate of Inflation in Bangladesh </t>
    </r>
    <r>
      <rPr>
        <b/>
        <sz val="9"/>
        <color indexed="8"/>
        <rFont val="Times New Roman"/>
        <family val="1"/>
      </rPr>
      <t xml:space="preserve">  Measured by Consumer  Price Index  (CPI)      </t>
    </r>
  </si>
  <si>
    <t>Chinese Yuan</t>
  </si>
  <si>
    <t xml:space="preserve"> Danish Krone</t>
  </si>
  <si>
    <t xml:space="preserve"> Hongkong Dollar</t>
  </si>
  <si>
    <t>Indone-sian   Rupiah</t>
  </si>
  <si>
    <t>Japanese  Yen</t>
  </si>
  <si>
    <t>Kuwait Dinar</t>
  </si>
  <si>
    <t>Malay-sian Ringgit</t>
  </si>
  <si>
    <t>Myan-mar Kyat</t>
  </si>
  <si>
    <t>Pakistan Rupee</t>
  </si>
  <si>
    <t>Russian Rouble</t>
  </si>
  <si>
    <t xml:space="preserve">  Saudi    Riyal</t>
  </si>
  <si>
    <t xml:space="preserve"> Singapore    Dollar</t>
  </si>
  <si>
    <t xml:space="preserve"> Swedish  Krona</t>
  </si>
  <si>
    <t>Sri Lankan Rupee</t>
  </si>
  <si>
    <t>Foreign Banks</t>
  </si>
  <si>
    <t xml:space="preserve">SOME INDICATORS OF INCOME, EXPENDITURE &amp; </t>
  </si>
  <si>
    <t>APPRECIATION / DEPRECIATION OF SELECTED</t>
  </si>
  <si>
    <t xml:space="preserve">2011-12 </t>
  </si>
  <si>
    <t>Commercial                                                                    Banks</t>
  </si>
  <si>
    <t xml:space="preserve">     Total  Manpower</t>
  </si>
  <si>
    <t>Bangladesh Bank</t>
  </si>
  <si>
    <t xml:space="preserve">Monthly </t>
  </si>
  <si>
    <t>Economic Trends</t>
  </si>
  <si>
    <t>No interest</t>
  </si>
  <si>
    <t xml:space="preserve">No interest </t>
  </si>
  <si>
    <t xml:space="preserve"> No interest</t>
  </si>
  <si>
    <t>i) Before six months from the date of issue</t>
  </si>
  <si>
    <t>ii) On completion of six months but before one year</t>
  </si>
  <si>
    <t>iii) On completion of one year but before 1½ year</t>
  </si>
  <si>
    <t>iv) On completion of 1½ years but before two year</t>
  </si>
  <si>
    <t>v) On completion of two years and thereafter</t>
  </si>
  <si>
    <t xml:space="preserve">vi) On completion of five years and thereafter </t>
  </si>
  <si>
    <t>a) Ordinary Account</t>
  </si>
  <si>
    <t>a) Dhaka and Chittagong Metropolitan Cities</t>
  </si>
  <si>
    <t>b) Other Divisional/District Head Quarters.</t>
  </si>
  <si>
    <t>c) Fixed Deposit Account (Interest after 6 months)</t>
  </si>
  <si>
    <t xml:space="preserve">i) Within one year from the date of issue </t>
  </si>
  <si>
    <t>ii) After completion of one year but within two years</t>
  </si>
  <si>
    <t>iii) After completion of two years but within three years</t>
  </si>
  <si>
    <t>iii) For three years</t>
  </si>
  <si>
    <t>ii) For two years</t>
  </si>
  <si>
    <t>i) For one year</t>
  </si>
  <si>
    <t>b) Fixed Deposit Account (Interest after maturity)</t>
  </si>
  <si>
    <t xml:space="preserve">  Furniture, Furnishing   &amp; Others</t>
  </si>
  <si>
    <t xml:space="preserve">  Misc. Goods &amp; Services</t>
  </si>
  <si>
    <t xml:space="preserve">With effect from 01.07.06  </t>
  </si>
  <si>
    <t>Interest Rates on Deposits with Directorate of National Savings</t>
  </si>
  <si>
    <t>i) Tin Mas Antar Munafa Vittik Sanchayapatra</t>
  </si>
  <si>
    <t>ii) 5-year  Bangladesh Sanchayapatra</t>
  </si>
  <si>
    <t>iii) 5-year  Pensioner Sanchaya Patra after 3-month interest</t>
  </si>
  <si>
    <t>iv) 5-year  Paribar Sanchayapatra after monthly interest</t>
  </si>
  <si>
    <t>iv) After completion of three years</t>
  </si>
  <si>
    <t>With effect from 24.10.01</t>
  </si>
  <si>
    <t>With effect from 30.10.01</t>
  </si>
  <si>
    <t xml:space="preserve">With effect from 17.07.04   </t>
  </si>
  <si>
    <t xml:space="preserve">With effect from 04.12.05   </t>
  </si>
  <si>
    <t xml:space="preserve">With effect from 13.06.07  </t>
  </si>
  <si>
    <t xml:space="preserve">With effect from 01.07.10  </t>
  </si>
  <si>
    <t xml:space="preserve">  With effect from 01.07.11  </t>
  </si>
  <si>
    <t>With effect from 01.03.12</t>
  </si>
  <si>
    <t>Interest Rates on Construction Loans Provided by House Building Finance Corporation</t>
  </si>
  <si>
    <t xml:space="preserve">INTEREST RATE STRUCTURE OF </t>
  </si>
  <si>
    <t>INTEREST RATE STRUCTURE OF</t>
  </si>
  <si>
    <t>GOVERNMENT SECURITIES/BONDS</t>
  </si>
  <si>
    <t>d)  Savings Bond (Islami Bond)</t>
  </si>
  <si>
    <t xml:space="preserve">      Total  Domestic         Credit </t>
  </si>
  <si>
    <t>Income / Primary Income</t>
  </si>
  <si>
    <t>Current Transfers (Net)/ Secondary Income (Net)</t>
  </si>
  <si>
    <t>19=(15+16+17+18)</t>
  </si>
  <si>
    <t xml:space="preserve"> Financial    Account  (Net)</t>
  </si>
  <si>
    <t>Capital Account (Net)</t>
  </si>
  <si>
    <t>Direct  Investment</t>
  </si>
  <si>
    <t>End            of        Period</t>
  </si>
  <si>
    <t>Total          (7+8)</t>
  </si>
  <si>
    <t xml:space="preserve"> Private       Sector</t>
  </si>
  <si>
    <t xml:space="preserve"> Net          Other   Assets</t>
  </si>
  <si>
    <t>Net          Domestic      Assets     (11+12)</t>
  </si>
  <si>
    <t>End                   of             Period</t>
  </si>
  <si>
    <t>End                     of             Period</t>
  </si>
  <si>
    <t>Total Domestic Credit</t>
  </si>
  <si>
    <t>Local               Authorities</t>
  </si>
  <si>
    <t>End               of          Period</t>
  </si>
  <si>
    <t>Net  Other Assets</t>
  </si>
  <si>
    <t>End              of        Period</t>
  </si>
  <si>
    <r>
      <t xml:space="preserve">Total         Domestic        Credit       </t>
    </r>
    <r>
      <rPr>
        <sz val="8"/>
        <color indexed="8"/>
        <rFont val="Times New Roman"/>
        <family val="1"/>
      </rPr>
      <t>(8+11+14)</t>
    </r>
  </si>
  <si>
    <t>Net            Other      Assets</t>
  </si>
  <si>
    <t>Net            Domestic         Assets      (15+16)</t>
  </si>
  <si>
    <t xml:space="preserve">Export        (f.o.b) </t>
  </si>
  <si>
    <t>Import        (f.o.b)</t>
  </si>
  <si>
    <t xml:space="preserve">Trade       Balance </t>
  </si>
  <si>
    <t xml:space="preserve">Current            Account        Balance         </t>
  </si>
  <si>
    <t>Crude Petroleum</t>
  </si>
  <si>
    <t xml:space="preserve">Total     Imports        </t>
  </si>
  <si>
    <t>Total   (15 through 35)</t>
  </si>
  <si>
    <t xml:space="preserve">Balance   of Trade         </t>
  </si>
  <si>
    <t xml:space="preserve"> '000'          Metres </t>
  </si>
  <si>
    <t xml:space="preserve"> '000'          Bales</t>
  </si>
  <si>
    <t xml:space="preserve"> Metric      Tons</t>
  </si>
  <si>
    <t xml:space="preserve">  Lac            Sticks</t>
  </si>
  <si>
    <t xml:space="preserve">  Metric   Tons</t>
  </si>
  <si>
    <t xml:space="preserve"> '000'        Gross Box</t>
  </si>
  <si>
    <t xml:space="preserve"> Metric        Tons</t>
  </si>
  <si>
    <t>End of    Period</t>
  </si>
  <si>
    <t>End of        Period</t>
  </si>
  <si>
    <t xml:space="preserve">  End of          Period</t>
  </si>
  <si>
    <t xml:space="preserve">  End of       Period</t>
  </si>
  <si>
    <t>Excise         Duty</t>
  </si>
  <si>
    <t>Land                 Revenue</t>
  </si>
  <si>
    <t>Other          Taxes</t>
  </si>
  <si>
    <t>Total              Tax</t>
  </si>
  <si>
    <t xml:space="preserve"> Forest       Revenue</t>
  </si>
  <si>
    <t xml:space="preserve"> Raw Jute</t>
  </si>
  <si>
    <t>Total (1+2)</t>
  </si>
  <si>
    <t>End                  of             Period</t>
  </si>
  <si>
    <t xml:space="preserve">  1) Post Office Savings Deposits</t>
  </si>
  <si>
    <t xml:space="preserve">  2) Interest Rates on National Savings Certificates</t>
  </si>
  <si>
    <t>22.06.16</t>
  </si>
  <si>
    <t>18.04.12</t>
  </si>
  <si>
    <t>18.04.27</t>
  </si>
  <si>
    <t>23.05.12</t>
  </si>
  <si>
    <t>23.05.27</t>
  </si>
  <si>
    <t>20.06.12</t>
  </si>
  <si>
    <t>20.06.27</t>
  </si>
  <si>
    <t>18.07.12</t>
  </si>
  <si>
    <t>18.07.27</t>
  </si>
  <si>
    <t>19.09.12</t>
  </si>
  <si>
    <t>19.09.27</t>
  </si>
  <si>
    <t>21.11.12</t>
  </si>
  <si>
    <t>21.11.27</t>
  </si>
  <si>
    <t>19.12.12</t>
  </si>
  <si>
    <t>19.12.27</t>
  </si>
  <si>
    <t>23.11.11</t>
  </si>
  <si>
    <t>23.11.31</t>
  </si>
  <si>
    <t>End            of       Period</t>
  </si>
  <si>
    <t>Total   (8+9)</t>
  </si>
  <si>
    <t>Inter          Bank    Bills</t>
  </si>
  <si>
    <t xml:space="preserve"> Private    Bills</t>
  </si>
  <si>
    <t>Inter         Bank          Invest-   ment</t>
  </si>
  <si>
    <t>To       Public</t>
  </si>
  <si>
    <t>To         Private</t>
  </si>
  <si>
    <t>To             Private     (19+23+27)</t>
  </si>
  <si>
    <t>From      Govern-   ment</t>
  </si>
  <si>
    <t xml:space="preserve">  From        BB</t>
  </si>
  <si>
    <t xml:space="preserve">                           DMBs  Credit                            (Advances + Bills + Investment) </t>
  </si>
  <si>
    <t xml:space="preserve">  From        Inter-    Banks</t>
  </si>
  <si>
    <t>10.11.21</t>
  </si>
  <si>
    <t>11.05.11</t>
  </si>
  <si>
    <t>11.05.26</t>
  </si>
  <si>
    <t>15.06.11</t>
  </si>
  <si>
    <t>15.06.26</t>
  </si>
  <si>
    <t>17.08.11</t>
  </si>
  <si>
    <t>17.08.26</t>
  </si>
  <si>
    <t>21.09.11</t>
  </si>
  <si>
    <t>21.09.26</t>
  </si>
  <si>
    <t>16.11.11</t>
  </si>
  <si>
    <t>16.11.26</t>
  </si>
  <si>
    <t>18.01.12</t>
  </si>
  <si>
    <t>18.01.27</t>
  </si>
  <si>
    <t>22.02.12</t>
  </si>
  <si>
    <t>22.02.27</t>
  </si>
  <si>
    <t>21.03.12</t>
  </si>
  <si>
    <t>21.03.27</t>
  </si>
  <si>
    <t xml:space="preserve">Note  : </t>
  </si>
  <si>
    <t>20.03.13</t>
  </si>
  <si>
    <t>20.03.28</t>
  </si>
  <si>
    <t>17.04.13</t>
  </si>
  <si>
    <t>17.04.28</t>
  </si>
  <si>
    <t>22.05.13</t>
  </si>
  <si>
    <t>22.05.28</t>
  </si>
  <si>
    <t>19.06.13</t>
  </si>
  <si>
    <t>19.06.28</t>
  </si>
  <si>
    <t>Ratio of Cash in hand and balances with the BB to Deposits (in percent)</t>
  </si>
  <si>
    <t>Note  :</t>
  </si>
  <si>
    <t>1. Weighted average rates of interest on scheduled banks deposits &amp; advances have been introduced monthly basis instead of  quarterly</t>
  </si>
  <si>
    <t>2013-14</t>
  </si>
  <si>
    <t xml:space="preserve">   Urea        (US $/ MT)</t>
  </si>
  <si>
    <t xml:space="preserve">    Sugar                                              (US cents/pound)</t>
  </si>
  <si>
    <t>Rice             (US $/MT)</t>
  </si>
  <si>
    <t xml:space="preserve">  Petroleum              (US$/ Barrel)</t>
  </si>
  <si>
    <t xml:space="preserve"> DSE Broad                   Index</t>
  </si>
  <si>
    <t xml:space="preserve"> Total                        (1+2)</t>
  </si>
  <si>
    <t xml:space="preserve"> Rice                 (US $/MT) </t>
  </si>
  <si>
    <t xml:space="preserve">  Super        phosphate       (US $/ MT)</t>
  </si>
  <si>
    <t>Period      Average</t>
  </si>
  <si>
    <t>End          Period</t>
  </si>
  <si>
    <t xml:space="preserve"> End                  Period</t>
  </si>
  <si>
    <t>End Period</t>
  </si>
  <si>
    <t>Period Average</t>
  </si>
  <si>
    <t xml:space="preserve">         SOME INDICATORS OF INCOME, EXPENDITURE &amp; </t>
  </si>
  <si>
    <t xml:space="preserve">   PROFITABILITY  OF THE BANKING SECTOR</t>
  </si>
  <si>
    <t>2012-13*</t>
  </si>
  <si>
    <t>26.12.13</t>
  </si>
  <si>
    <t>26.12.33</t>
  </si>
  <si>
    <t xml:space="preserve">Figures relating to Islamic Investment Bond is re-classified as claims on other public sector instead of other assets </t>
  </si>
  <si>
    <t>29.01.14</t>
  </si>
  <si>
    <t>29.01.34</t>
  </si>
  <si>
    <t>29.01.29</t>
  </si>
  <si>
    <t>26.02.14</t>
  </si>
  <si>
    <t>26.02.34</t>
  </si>
  <si>
    <t>26.02.29</t>
  </si>
  <si>
    <t>Short Term FC Deposit Liabilities</t>
  </si>
  <si>
    <t>27.03.14</t>
  </si>
  <si>
    <t>27.03.29</t>
  </si>
  <si>
    <t>23.04.14</t>
  </si>
  <si>
    <t>23.04.29</t>
  </si>
  <si>
    <t>27.03.34</t>
  </si>
  <si>
    <t>23.04.34</t>
  </si>
  <si>
    <t>28.05.14</t>
  </si>
  <si>
    <t>28.05.34</t>
  </si>
  <si>
    <t>25.06.34</t>
  </si>
  <si>
    <t>25.06.14</t>
  </si>
  <si>
    <t>28.05.29</t>
  </si>
  <si>
    <t>25.06.29</t>
  </si>
  <si>
    <t>2011-12*</t>
  </si>
  <si>
    <t>646342</t>
  </si>
  <si>
    <t>14.83</t>
  </si>
  <si>
    <t>6.46</t>
  </si>
  <si>
    <t>688493</t>
  </si>
  <si>
    <t>15.22</t>
  </si>
  <si>
    <t>6.52</t>
  </si>
  <si>
    <t>729897</t>
  </si>
  <si>
    <t>6.01</t>
  </si>
  <si>
    <t>13.62</t>
  </si>
  <si>
    <t>15.37</t>
  </si>
  <si>
    <t>15.58</t>
  </si>
  <si>
    <t>2014-15</t>
  </si>
  <si>
    <t>23.07.14</t>
  </si>
  <si>
    <t>23.07.29</t>
  </si>
  <si>
    <t>27.08.14</t>
  </si>
  <si>
    <t>27.08.29</t>
  </si>
  <si>
    <t>23.07.34</t>
  </si>
  <si>
    <t>27.08.34</t>
  </si>
  <si>
    <t>24.09.14</t>
  </si>
  <si>
    <t>24.09.29</t>
  </si>
  <si>
    <t>24.09.34</t>
  </si>
  <si>
    <t>788602</t>
  </si>
  <si>
    <t>746761</t>
  </si>
  <si>
    <t>697469</t>
  </si>
  <si>
    <t>51311</t>
  </si>
  <si>
    <t>49265</t>
  </si>
  <si>
    <t>46610</t>
  </si>
  <si>
    <t>2012**</t>
  </si>
  <si>
    <t>29.10.14</t>
  </si>
  <si>
    <t>29.10.29</t>
  </si>
  <si>
    <t>26.11.14</t>
  </si>
  <si>
    <t>26.11.29</t>
  </si>
  <si>
    <t>26.11.34</t>
  </si>
  <si>
    <t>29.10.34</t>
  </si>
  <si>
    <t>29.12.30</t>
  </si>
  <si>
    <t>Iron Ore (US $ /MT)</t>
  </si>
  <si>
    <t>China (CFR Tianjin Port)</t>
  </si>
  <si>
    <t>IIG</t>
  </si>
  <si>
    <t>E-Banking &amp; E-Commerce Statistics</t>
  </si>
  <si>
    <t>IXA</t>
  </si>
  <si>
    <t>IXB</t>
  </si>
  <si>
    <t>IXC</t>
  </si>
  <si>
    <t>XIIA</t>
  </si>
  <si>
    <t>XIIB</t>
  </si>
  <si>
    <t xml:space="preserve">TABLE- VII </t>
  </si>
  <si>
    <t>TABLE-IXA</t>
  </si>
  <si>
    <t>TABLE-IXB</t>
  </si>
  <si>
    <t>TABLE-XI</t>
  </si>
  <si>
    <t>TABLE-XIIA (Concld.)</t>
  </si>
  <si>
    <t>TABLE-XIII (Contd.)</t>
  </si>
  <si>
    <t>TABLE-XIII (Concld.)</t>
  </si>
  <si>
    <t>TABLE-XIV</t>
  </si>
  <si>
    <t xml:space="preserve">TABLE-XVII (Contd.) </t>
  </si>
  <si>
    <t xml:space="preserve">TABLE-XVII (Concld.) </t>
  </si>
  <si>
    <t>TABLE-XIX</t>
  </si>
  <si>
    <t>TABLE-XX (Contd.)</t>
  </si>
  <si>
    <t>TABLE-XX (Concld.)</t>
  </si>
  <si>
    <t>TABLE-XXI (Contd.)</t>
  </si>
  <si>
    <t>TABLE-XXI (Concld.)</t>
  </si>
  <si>
    <t>TABLE-XXII</t>
  </si>
  <si>
    <t>Cheque Clearing</t>
  </si>
  <si>
    <t>Agent Banking</t>
  </si>
  <si>
    <t>Credit Cards</t>
  </si>
  <si>
    <t>Debit Cards</t>
  </si>
  <si>
    <t>Prepaid Cards Transactions</t>
  </si>
  <si>
    <t xml:space="preserve">Internationally Issued Cards Transactions                   </t>
  </si>
  <si>
    <t>Non-MICR Clearing</t>
  </si>
  <si>
    <t>Usage at POS</t>
  </si>
  <si>
    <t>E-commerce</t>
  </si>
  <si>
    <t xml:space="preserve">    E-Commerce          </t>
  </si>
  <si>
    <t>Prepaid Cards</t>
  </si>
  <si>
    <t>No. of Internet Banking Customers (as on)</t>
  </si>
  <si>
    <t>No. of Agents (as on)</t>
  </si>
  <si>
    <t>Agent Banking Transactions</t>
  </si>
  <si>
    <t>No. of Agent Banking Subscribers (as on)</t>
  </si>
  <si>
    <t>Local Transactions (Issuing)</t>
  </si>
  <si>
    <t>Abroad Transactions (Issuing)</t>
  </si>
  <si>
    <t>POS Transactions (Acquiring)</t>
  </si>
  <si>
    <t>E-Commerce Transactions (Acquiring)</t>
  </si>
  <si>
    <t>No. of Transactions</t>
  </si>
  <si>
    <t>Number</t>
  </si>
  <si>
    <t>3=1+2</t>
  </si>
  <si>
    <t>11=5+6+7+8+9+10</t>
  </si>
  <si>
    <t>19=13+14+15+16+17+18</t>
  </si>
  <si>
    <t>25=22+23+24</t>
  </si>
  <si>
    <t>26=11+19+20+21+25</t>
  </si>
  <si>
    <t xml:space="preserve">Note: </t>
  </si>
  <si>
    <t>Internet   Banking</t>
  </si>
  <si>
    <t>Tk/US Dollar</t>
  </si>
  <si>
    <t xml:space="preserve">Million US $ </t>
  </si>
  <si>
    <t>UK Pound Sterling</t>
  </si>
  <si>
    <t>22.04.15</t>
  </si>
  <si>
    <t>22.04.25</t>
  </si>
  <si>
    <t xml:space="preserve">With effect from 01.07.12  </t>
  </si>
  <si>
    <t>774136</t>
  </si>
  <si>
    <t>12.07</t>
  </si>
  <si>
    <t>6.06</t>
  </si>
  <si>
    <t>15.79</t>
  </si>
  <si>
    <t>482337</t>
  </si>
  <si>
    <t>516383</t>
  </si>
  <si>
    <t>547437</t>
  </si>
  <si>
    <t>575056</t>
  </si>
  <si>
    <t>607097</t>
  </si>
  <si>
    <t>509545</t>
  </si>
  <si>
    <t>549505</t>
  </si>
  <si>
    <t>589547</t>
  </si>
  <si>
    <t>620614</t>
  </si>
  <si>
    <t>656241</t>
  </si>
  <si>
    <t>13.99</t>
  </si>
  <si>
    <t>14.35</t>
  </si>
  <si>
    <t>12.15</t>
  </si>
  <si>
    <t>13.11</t>
  </si>
  <si>
    <t>6.67</t>
  </si>
  <si>
    <t>7.06</t>
  </si>
  <si>
    <t>5.05</t>
  </si>
  <si>
    <t>5.57</t>
  </si>
  <si>
    <t>13.98</t>
  </si>
  <si>
    <t>14.18</t>
  </si>
  <si>
    <t>14.38</t>
  </si>
  <si>
    <t>14.58</t>
  </si>
  <si>
    <t>14.78</t>
  </si>
  <si>
    <t>36448</t>
  </si>
  <si>
    <t>34502</t>
  </si>
  <si>
    <t>36416</t>
  </si>
  <si>
    <t>41000</t>
  </si>
  <si>
    <t>42569</t>
  </si>
  <si>
    <t>44403</t>
  </si>
  <si>
    <t>38753</t>
  </si>
  <si>
    <t>38069</t>
  </si>
  <si>
    <t>39441</t>
  </si>
  <si>
    <t>41076</t>
  </si>
  <si>
    <t>30=27+28+29</t>
  </si>
  <si>
    <t xml:space="preserve">Number </t>
  </si>
  <si>
    <t>Number of Cards (net) (as on)</t>
  </si>
  <si>
    <t>2015-16</t>
  </si>
  <si>
    <t>12.08.20</t>
  </si>
  <si>
    <t>29.07.15</t>
  </si>
  <si>
    <t>29.07.35</t>
  </si>
  <si>
    <t>23.09.15</t>
  </si>
  <si>
    <t>23.09.30</t>
  </si>
  <si>
    <t xml:space="preserve">... = Not Available </t>
  </si>
  <si>
    <r>
      <t>Total Expenditure</t>
    </r>
    <r>
      <rPr>
        <sz val="8"/>
        <color indexed="8"/>
        <rFont val="Times New Roman"/>
        <family val="1"/>
      </rPr>
      <t>***</t>
    </r>
  </si>
  <si>
    <t>09.12.20</t>
  </si>
  <si>
    <t>25.11.15</t>
  </si>
  <si>
    <t>25.11.35</t>
  </si>
  <si>
    <t>Jan-Mar</t>
  </si>
  <si>
    <t>Apr-Jun</t>
  </si>
  <si>
    <t>Jul-Sep</t>
  </si>
  <si>
    <t xml:space="preserve">    </t>
  </si>
  <si>
    <t>20.01.16</t>
  </si>
  <si>
    <t>20.01.26</t>
  </si>
  <si>
    <t>31.1034768 gms.</t>
  </si>
  <si>
    <t xml:space="preserve">… = Not available  </t>
  </si>
  <si>
    <t>Local        Authorities</t>
  </si>
  <si>
    <t>824862</t>
  </si>
  <si>
    <t>878410</t>
  </si>
  <si>
    <t>12.81</t>
  </si>
  <si>
    <t>6.55</t>
  </si>
  <si>
    <t>53013</t>
  </si>
  <si>
    <t>11.11.20</t>
  </si>
  <si>
    <t>13.01.21</t>
  </si>
  <si>
    <t>10.02.21</t>
  </si>
  <si>
    <t>27.04.16</t>
  </si>
  <si>
    <t>27.04.36</t>
  </si>
  <si>
    <t>6.00-9.00</t>
  </si>
  <si>
    <t>25.05.31</t>
  </si>
  <si>
    <t>2016-17</t>
  </si>
  <si>
    <t>Note: From period 2015 BDBL &amp; BASIC banks are treated as State Owned Banks</t>
  </si>
  <si>
    <t>20.07.16</t>
  </si>
  <si>
    <t>20.07.26</t>
  </si>
  <si>
    <t>29.06.31</t>
  </si>
  <si>
    <t>27.07.31</t>
  </si>
  <si>
    <t>25.05.11</t>
  </si>
  <si>
    <t>29.06.11</t>
  </si>
  <si>
    <t>27.07.11</t>
  </si>
  <si>
    <t>24.08.31</t>
  </si>
  <si>
    <t>Rate of interest of NBFIs (Weighted Average)</t>
  </si>
  <si>
    <t xml:space="preserve">2016-17 </t>
  </si>
  <si>
    <t>COMPANY /SECTOR                                                                                                                                             GROUPS</t>
  </si>
  <si>
    <t xml:space="preserve">Figures relating to Islamic Investment Bond are re-classified as claims on other public sector instead of other assets  </t>
  </si>
  <si>
    <t xml:space="preserve"> By NBDCs       In Taka A/C</t>
  </si>
  <si>
    <t>28.09.31</t>
  </si>
  <si>
    <t>26.10.11</t>
  </si>
  <si>
    <t>24.08.11</t>
  </si>
  <si>
    <t>28.09.11</t>
  </si>
  <si>
    <t>26.10.31</t>
  </si>
  <si>
    <t>28.12.11</t>
  </si>
  <si>
    <t>55631</t>
  </si>
  <si>
    <t>United States (Kansas City)</t>
  </si>
  <si>
    <t>Palm Oil                         (US $/MT)</t>
  </si>
  <si>
    <t>Wheat                                                   (US $/MT)</t>
  </si>
  <si>
    <t>21.12.16</t>
  </si>
  <si>
    <t>28.12.31</t>
  </si>
  <si>
    <t>Import Payments</t>
  </si>
  <si>
    <t>18.01.17</t>
  </si>
  <si>
    <t>25.01.32</t>
  </si>
  <si>
    <t>Government Notes &amp; Coins</t>
  </si>
  <si>
    <t>from October 2004 to December 2015 and again reclassified as claims on Govt. from January 2016 &amp; onwards</t>
  </si>
  <si>
    <t>Statistics Department,  Bangladesh Bank  </t>
  </si>
  <si>
    <t>Statistics Department , Bangladesh Bank  </t>
  </si>
  <si>
    <t>Statistics Department, Bangladesh Bank  </t>
  </si>
  <si>
    <t>Statistics Department, Bangladesh Bank</t>
  </si>
  <si>
    <r>
      <t xml:space="preserve">Source : </t>
    </r>
    <r>
      <rPr>
        <sz val="7"/>
        <rFont val="Times New Roman"/>
        <family val="1"/>
      </rPr>
      <t xml:space="preserve"> Statistics Department, Bangladesh Bank</t>
    </r>
  </si>
  <si>
    <t xml:space="preserve">Statistics Department,   Bangladesh Bank      </t>
  </si>
  <si>
    <r>
      <rPr>
        <b/>
        <sz val="8"/>
        <rFont val="Times New Roman"/>
        <family val="1"/>
      </rPr>
      <t>Source  :</t>
    </r>
    <r>
      <rPr>
        <sz val="8"/>
        <rFont val="Times New Roman"/>
        <family val="1"/>
      </rPr>
      <t xml:space="preserve">  Bangladesh Bureau of Statistics</t>
    </r>
  </si>
  <si>
    <r>
      <rPr>
        <b/>
        <sz val="8"/>
        <color indexed="8"/>
        <rFont val="Times New Roman"/>
        <family val="1"/>
      </rPr>
      <t xml:space="preserve">Source : </t>
    </r>
    <r>
      <rPr>
        <sz val="8"/>
        <color indexed="8"/>
        <rFont val="Times New Roman"/>
        <family val="1"/>
      </rPr>
      <t xml:space="preserve"> Bangladesh Bureau of Statistics</t>
    </r>
  </si>
  <si>
    <r>
      <t>Source</t>
    </r>
    <r>
      <rPr>
        <sz val="8"/>
        <rFont val="Times New Roman"/>
        <family val="1"/>
      </rPr>
      <t xml:space="preserve"> : Bangladesh Bureau of Statistics</t>
    </r>
  </si>
  <si>
    <r>
      <t>Source :</t>
    </r>
    <r>
      <rPr>
        <sz val="7"/>
        <color indexed="8"/>
        <rFont val="Times New Roman"/>
        <family val="1"/>
      </rPr>
      <t xml:space="preserve"> Statistics Department, Bangladesh Bank</t>
    </r>
  </si>
  <si>
    <t>Debt Management Department, Bangladesh Bank</t>
  </si>
  <si>
    <t>Source: Statistics Department, Bangladesh Bank</t>
  </si>
  <si>
    <t>Statistics Deparement, Bangladesh Bank</t>
  </si>
  <si>
    <t>International Financial Statistics</t>
  </si>
  <si>
    <t>NSD</t>
  </si>
  <si>
    <t>1. Bangladesh Jute Association</t>
  </si>
  <si>
    <t>27.08.28</t>
  </si>
  <si>
    <t>Pharmaceu-ticals &amp; Chemicals</t>
  </si>
  <si>
    <t>Fuel &amp; Power</t>
  </si>
  <si>
    <t>Food &amp; Allied Products</t>
  </si>
  <si>
    <t>Paper &amp; Printing</t>
  </si>
  <si>
    <t>Services &amp; Real Estate</t>
  </si>
  <si>
    <t>Import &amp; Inland Bills Purchased and Discounted</t>
  </si>
  <si>
    <t>Forex Reserves &amp; Exchange Rate)</t>
  </si>
  <si>
    <t xml:space="preserve">Selected Economic Indicators ( Inflation, Production Index, Foreign Trade, Forex Reserves &amp; Exchange Rate) </t>
  </si>
  <si>
    <t>Reserve Money &amp; its Components</t>
  </si>
  <si>
    <t>Reserve Money &amp; its Sources</t>
  </si>
  <si>
    <t>RESERVE MONEY &amp; ITS COMPONENTS</t>
  </si>
  <si>
    <t>RESERVE MONEY &amp; ITS SOURCES</t>
  </si>
  <si>
    <t xml:space="preserve">Net Errors &amp; Ommissions                                    </t>
  </si>
  <si>
    <t>FOREIGN DIRECT INVESTMENT (FDI) INFLOWS &amp; STOCKS BY COMPONENTS IN BANGLADESH</t>
  </si>
  <si>
    <t>Foreign Direct Investment (FDI) Inflows &amp; Stocks by Components in Bangladesh</t>
  </si>
  <si>
    <t>Naptha, Furnace oil &amp; Bitumen</t>
  </si>
  <si>
    <t>Textile &amp; articles thereof</t>
  </si>
  <si>
    <t xml:space="preserve">CONSUMER PRICE INDEX &amp; </t>
  </si>
  <si>
    <t>Medical care &amp; Health Expenses</t>
  </si>
  <si>
    <t>Hides &amp; Skins (wholesale)</t>
  </si>
  <si>
    <t>Mining &amp; Quarry-ing</t>
  </si>
  <si>
    <t>Whole-sale      &amp; Retail Trade</t>
  </si>
  <si>
    <t>Hotel &amp; Restau-rants</t>
  </si>
  <si>
    <t>Transport, Storage &amp; Commu-nication</t>
  </si>
  <si>
    <t>Real Estate, Renting &amp; Business Activities</t>
  </si>
  <si>
    <t>Public Adminis-tration     &amp; Defence</t>
  </si>
  <si>
    <t>Health &amp;      Social Works</t>
  </si>
  <si>
    <t>Commu-nity, Social &amp; Personal Services</t>
  </si>
  <si>
    <t>Agricul-ture &amp; Forestry</t>
  </si>
  <si>
    <t>Whole-sale     &amp; Retail Trade</t>
  </si>
  <si>
    <t>Index Number of  Ordinary Share Prices, Turn Over, Issued Capital &amp; Total Number of Companies Listed with the Dhaka Stock Exchange Ltd.</t>
  </si>
  <si>
    <t>Bank Rate &amp; Interest Rate Structure of Post Office Savings Bank, House Building Finance Corporation &amp; National Savings Certificates</t>
  </si>
  <si>
    <t>100.00 crore &amp; above</t>
  </si>
  <si>
    <t>1)   Bureau of Manpower, Employment &amp; Training</t>
  </si>
  <si>
    <t>From July'14 Myanmar Kyat has been changed due to floating exchange rate</t>
  </si>
  <si>
    <t>UK  Pound   Sterling</t>
  </si>
  <si>
    <t>UAE  Derham</t>
  </si>
  <si>
    <t>OF THE GOVERNMENT UNDER NBR &amp; OTHERS</t>
  </si>
  <si>
    <t>Selected Tax Revenue Receipts of the Government Under NBR &amp; Others</t>
  </si>
  <si>
    <t>Number of Persons Left for Abroad on Employment &amp; Total Workers’ Remittances</t>
  </si>
  <si>
    <t>NUMBER OF PERSONS LEFT FOR ABROAD ON EMPLOYMENT  &amp;  TOTAL WORKERS'  REMITTANCES</t>
  </si>
  <si>
    <t>Selected Economic Indicators (Money &amp; Banking)</t>
  </si>
  <si>
    <t xml:space="preserve">(Money &amp; </t>
  </si>
  <si>
    <t>(Money &amp;</t>
  </si>
  <si>
    <t xml:space="preserve">            (Money &amp;</t>
  </si>
  <si>
    <t>Appendix : Weights &amp; Measures</t>
  </si>
  <si>
    <t>Weights &amp; Measures</t>
  </si>
  <si>
    <t>Note : F &amp; C indicate Fahrenheit &amp; Celsius Scale Respectively</t>
  </si>
  <si>
    <t>1. Upto June'12 data was complied on the basis of IMFs' BPM5 &amp; From July'12, BPM6 has been implemented</t>
  </si>
  <si>
    <t>2)  Upto May, 2016 Foreign Exchange Policy Department &amp; From June, 2016 Statistics Department, Bangladesh Bank</t>
  </si>
  <si>
    <t>Suggestions/Comments for improvement in the contents of this booklet would  highly be appreciated. Users may kindly contact the following email addresses with their suggestions/comments and queries, if any:</t>
  </si>
  <si>
    <t xml:space="preserve">Head Office, Dhaka    </t>
  </si>
  <si>
    <t>Market price (f.o.b.) of Raw Jute of Narayangonj</t>
  </si>
  <si>
    <t>iii)  9 percent of savings deposits are included in Demand Deposits with effect from July 2007</t>
  </si>
  <si>
    <t>Oct-Dec</t>
  </si>
  <si>
    <t xml:space="preserve"> rates from July 2009 &amp; onwards</t>
  </si>
  <si>
    <t>2. 12- month average changes in CPI indicate the average change of the last  12- month over the corresponding previous 12- month</t>
  </si>
  <si>
    <t>1. Point- to- point changes in CPI indicate the changes over the corresponding month of the previous year</t>
  </si>
  <si>
    <t xml:space="preserve">      deposits held in the banking system (BB &amp; DMBs)</t>
  </si>
  <si>
    <t xml:space="preserve">NBDC  =  Non-Bank Depository Corporation </t>
  </si>
  <si>
    <t xml:space="preserve">NSD =  National Savings Directorate                                                                                                                                                                           </t>
  </si>
  <si>
    <r>
      <t>Note</t>
    </r>
    <r>
      <rPr>
        <sz val="8"/>
        <rFont val="Times New Roman"/>
        <family val="1"/>
      </rPr>
      <t xml:space="preserve">     : Figures within parentheses represent million US dollar</t>
    </r>
  </si>
  <si>
    <t>***Total expenditure includes foreign currency revaluation (loss)                        …= Not applicable/available</t>
  </si>
  <si>
    <t>Six decimal places is used for conversion of US$ to Tk</t>
  </si>
  <si>
    <t>Upto May, 2016 Foreign Exchange Policy Department &amp; From June, 2016 Statistics Department, Bangladesh Bank</t>
  </si>
  <si>
    <t>Oct- Dec</t>
  </si>
  <si>
    <t>Jan- Mar</t>
  </si>
  <si>
    <t>Apr- Jun</t>
  </si>
  <si>
    <t>Jul- Sep</t>
  </si>
  <si>
    <t xml:space="preserve">Al-Arafah  Islami Bank </t>
  </si>
  <si>
    <t>Bangladesh Bank (BB) Notes</t>
  </si>
  <si>
    <t xml:space="preserve">NBDC=Non-Bank Depository Corporation                             </t>
  </si>
  <si>
    <t>(+) indicates appreciation while (-) indicates depreciation</t>
  </si>
  <si>
    <t>Banks have been subdivided into banks and financial institutions &amp; Investment has been renamed as mutual fund from January'10</t>
  </si>
  <si>
    <t>P=Provisional</t>
  </si>
  <si>
    <t>19.07.17</t>
  </si>
  <si>
    <t>2017-18</t>
  </si>
  <si>
    <t>4.00-9.00</t>
  </si>
  <si>
    <t>BKB</t>
  </si>
  <si>
    <t>8.00-9.00</t>
  </si>
  <si>
    <r>
      <t>Balances with BB</t>
    </r>
    <r>
      <rPr>
        <b/>
        <vertAlign val="superscript"/>
        <sz val="10"/>
        <rFont val="Times New Roman"/>
        <family val="1"/>
      </rPr>
      <t>1</t>
    </r>
  </si>
  <si>
    <t xml:space="preserve"> currency held in BB &amp; counter entry for government currency    3. Amount in Government over-draft A/C.  is included in loans &amp; advances by Bangladesh Bank </t>
  </si>
  <si>
    <t>1.  Balance with BB excludes FC clearing A/C</t>
  </si>
  <si>
    <r>
      <t>Total Credit to Govt.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(45+46+ 47+48)</t>
    </r>
  </si>
  <si>
    <r>
      <t xml:space="preserve">Loans &amp; Advances </t>
    </r>
    <r>
      <rPr>
        <vertAlign val="superscript"/>
        <sz val="8"/>
        <rFont val="Times New Roman"/>
        <family val="1"/>
      </rPr>
      <t>3</t>
    </r>
  </si>
  <si>
    <r>
      <t>Excess Reserve</t>
    </r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 (42-40)</t>
    </r>
  </si>
  <si>
    <r>
      <t>Total</t>
    </r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      (4+5)</t>
    </r>
  </si>
  <si>
    <r>
      <t>Government (Net)</t>
    </r>
    <r>
      <rPr>
        <b/>
        <vertAlign val="superscript"/>
        <sz val="9"/>
        <color indexed="8"/>
        <rFont val="Times New Roman"/>
        <family val="1"/>
      </rPr>
      <t>1</t>
    </r>
  </si>
  <si>
    <r>
      <t>General Index/ DSE Broad Index</t>
    </r>
    <r>
      <rPr>
        <vertAlign val="superscript"/>
        <sz val="9"/>
        <rFont val="Times New Roman"/>
        <family val="1"/>
      </rPr>
      <t>1</t>
    </r>
  </si>
  <si>
    <t xml:space="preserve">    Total Issued          Capital  (Tk in crore)</t>
  </si>
  <si>
    <t xml:space="preserve">      Turn Over            (Tk in crore)                                        </t>
  </si>
  <si>
    <t>Total No. of Companies</t>
  </si>
  <si>
    <t xml:space="preserve"> Total No. of Companies</t>
  </si>
  <si>
    <t>LISTED WITH THE DHAKA STOCK EXCHANGE LTD</t>
  </si>
  <si>
    <t>UAE</t>
  </si>
  <si>
    <t>UK</t>
  </si>
  <si>
    <t>USA</t>
  </si>
  <si>
    <t>Total    Liqui-      dity     (M2) </t>
  </si>
  <si>
    <t>SURVEY ( M2)</t>
  </si>
  <si>
    <t xml:space="preserve"> Broad          Money        (M2)      (3+13)</t>
  </si>
  <si>
    <t>SURVEY ( M3)</t>
  </si>
  <si>
    <t>Broad         Money         (M3)     (4+17)</t>
  </si>
  <si>
    <r>
      <t>1. Claims on Govt.(net) reported by the banking sector in M2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>differs with M3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due to exclusion of </t>
    </r>
  </si>
  <si>
    <t>TOTAL NUMBER OF COMPANIES LISTED WITH THE DHAKA STOCK EXCHANGE LTD</t>
  </si>
  <si>
    <t>EURO</t>
  </si>
  <si>
    <r>
      <t xml:space="preserve">  3) 5 years Wage Earners Development Bond</t>
    </r>
    <r>
      <rPr>
        <b/>
        <vertAlign val="superscript"/>
        <sz val="9"/>
        <color indexed="8"/>
        <rFont val="Times New Roman"/>
        <family val="1"/>
      </rPr>
      <t xml:space="preserve"> 1</t>
    </r>
  </si>
  <si>
    <r>
      <t xml:space="preserve">  4) 3 years USD Premium Bond</t>
    </r>
    <r>
      <rPr>
        <b/>
        <vertAlign val="superscript"/>
        <sz val="8"/>
        <color indexed="8"/>
        <rFont val="Arial Narrow"/>
        <family val="2"/>
      </rPr>
      <t xml:space="preserve"> </t>
    </r>
    <r>
      <rPr>
        <b/>
        <sz val="8"/>
        <color indexed="8"/>
        <rFont val="Arial Narrow"/>
        <family val="2"/>
      </rPr>
      <t xml:space="preserve">for non-resident Bangladeshi </t>
    </r>
    <r>
      <rPr>
        <b/>
        <vertAlign val="superscript"/>
        <sz val="8"/>
        <color indexed="8"/>
        <rFont val="Arial Narrow"/>
        <family val="2"/>
      </rPr>
      <t>2</t>
    </r>
  </si>
  <si>
    <r>
      <t xml:space="preserve">  5) 3 years USD Investment Bond for non-resident Bangladeshi </t>
    </r>
    <r>
      <rPr>
        <b/>
        <vertAlign val="superscript"/>
        <sz val="8.5"/>
        <color indexed="8"/>
        <rFont val="Arial Narrow"/>
        <family val="2"/>
      </rPr>
      <t>3</t>
    </r>
  </si>
  <si>
    <t>2. Interest is payable in BDT &amp; principal amount will be paid either in  USD or BDT as per option of the bond holder</t>
  </si>
  <si>
    <t>Habib Bank</t>
  </si>
  <si>
    <t>26.09.32</t>
  </si>
  <si>
    <t>Source   :</t>
  </si>
  <si>
    <t>Source     :</t>
  </si>
  <si>
    <t>Note         :</t>
  </si>
  <si>
    <t>End of      Period</t>
  </si>
  <si>
    <t xml:space="preserve">…= Not available   </t>
  </si>
  <si>
    <t>Source      :</t>
  </si>
  <si>
    <r>
      <t xml:space="preserve">Note         </t>
    </r>
    <r>
      <rPr>
        <sz val="5.5"/>
        <rFont val="Times New Roman"/>
        <family val="1"/>
      </rPr>
      <t xml:space="preserve">: </t>
    </r>
  </si>
  <si>
    <r>
      <t>Note        :</t>
    </r>
    <r>
      <rPr>
        <sz val="6"/>
        <rFont val="Times New Roman"/>
        <family val="1"/>
      </rPr>
      <t xml:space="preserve">  </t>
    </r>
  </si>
  <si>
    <r>
      <t>Source    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</si>
  <si>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Note   :</t>
    </r>
    <r>
      <rPr>
        <sz val="6"/>
        <rFont val="Times New Roman"/>
        <family val="1"/>
      </rPr>
      <t xml:space="preserve">  </t>
    </r>
  </si>
  <si>
    <r>
      <t xml:space="preserve">             Source   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</si>
  <si>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Note        :       </t>
  </si>
  <si>
    <t xml:space="preserve">ii) Claims on Resident Sector exclude BB &amp; ODCs    </t>
  </si>
  <si>
    <r>
      <t xml:space="preserve">Note           : </t>
    </r>
    <r>
      <rPr>
        <sz val="8"/>
        <rFont val="Times New Roman"/>
        <family val="1"/>
      </rPr>
      <t xml:space="preserve">     </t>
    </r>
  </si>
  <si>
    <t>1. *As per BPM6, Net Errors &amp; Ommissions= -(Current Account Balance+Capital Account (Net) - Financial Account (Net))</t>
  </si>
  <si>
    <t>2. As per BPM5, Net Errors &amp; Ommissions= -(Current Account Balance+Capital Account (Net) + Financial Account (Net))</t>
  </si>
  <si>
    <t xml:space="preserve">i) Oil Products = Soya bean + Vegetable Oil (Dalda) </t>
  </si>
  <si>
    <t xml:space="preserve">ii) Fertilizer = Urea + Ammonium Sulphate + TSP + SSP + DAP </t>
  </si>
  <si>
    <t>... = Not Available</t>
  </si>
  <si>
    <t xml:space="preserve">      Turn Over  (Tk in crore)                                        </t>
  </si>
  <si>
    <t xml:space="preserve">Islami Bank BD </t>
  </si>
  <si>
    <t>ICB Islamic Bank</t>
  </si>
  <si>
    <t>Shahjalal  Islami Bank</t>
  </si>
  <si>
    <t>Union Bank</t>
  </si>
  <si>
    <t>EXIM Bank</t>
  </si>
  <si>
    <t xml:space="preserve">First Security Islami Bank </t>
  </si>
  <si>
    <t>MONTHLY AVERAGE CALL MONEY MARKET RATES (Weighted Average)</t>
  </si>
  <si>
    <r>
      <rPr>
        <b/>
        <sz val="6.5"/>
        <rFont val="Times New Roman"/>
        <family val="1"/>
      </rPr>
      <t xml:space="preserve">Note: </t>
    </r>
    <r>
      <rPr>
        <sz val="6.5"/>
        <rFont val="Times New Roman"/>
        <family val="1"/>
      </rPr>
      <t>Data is discontinued from June'2017 due to dropping of IFS data</t>
    </r>
  </si>
  <si>
    <t>Total       Investments at Current Market Price</t>
  </si>
  <si>
    <t>Total Population (in Crore)</t>
  </si>
  <si>
    <t>18.10.17</t>
  </si>
  <si>
    <t>18.10.27</t>
  </si>
  <si>
    <t>iii) BSFIC: Sugar</t>
  </si>
  <si>
    <t>i) The resident sector has been classified according to the IMF's Monetary &amp; Financial Statistics Manual (MFSM)</t>
  </si>
  <si>
    <t>i) The resident sector has been classified according to the IMF's Monetary &amp; Financial Statistics Manual  (MFSM)</t>
  </si>
  <si>
    <t>savings certificates &amp; prize bonds for avoiding double counting</t>
  </si>
  <si>
    <t>Aman Rice               (Medium)                     (Tk per kg)</t>
  </si>
  <si>
    <t>Gold (Guinea)        (Tk per 10 gms.) </t>
  </si>
  <si>
    <t>Goat Skins                           (Tk per piece)</t>
  </si>
  <si>
    <t>1. Both interest &amp; principal amount are payable in BDT</t>
  </si>
  <si>
    <t>3. Both interest &amp; principal amount are payable in USD</t>
  </si>
  <si>
    <t xml:space="preserve">** From period 2012 the income, expenditure &amp; profitability of specialized banks (BDBL &amp; BASIC) are calculated on calendar year basis </t>
  </si>
  <si>
    <t>Claims on Other Sectors</t>
  </si>
  <si>
    <t>Loans</t>
  </si>
  <si>
    <t>Financial Derivatives</t>
  </si>
  <si>
    <t>Trade Credit &amp; advances</t>
  </si>
  <si>
    <t>Shares &amp; Other Equity</t>
  </si>
  <si>
    <t>Other items (net)</t>
  </si>
  <si>
    <t>Domestic Claims</t>
  </si>
  <si>
    <t>Net Claims on Central Govt.</t>
  </si>
  <si>
    <t>Claims on Other Sector</t>
  </si>
  <si>
    <t>Currency Outside Depository Corporations</t>
  </si>
  <si>
    <t>Other Deposits</t>
  </si>
  <si>
    <t>Other Items (net)</t>
  </si>
  <si>
    <t>Central Bank Survey</t>
  </si>
  <si>
    <t>Claims on Central Govt.(net)</t>
  </si>
  <si>
    <t>Monetary Base</t>
  </si>
  <si>
    <t>Total   (5+6+7+8)</t>
  </si>
  <si>
    <t>Total  (2+3)</t>
  </si>
  <si>
    <t>Total             (3-4)</t>
  </si>
  <si>
    <t>Total  (7+8+9+10)</t>
  </si>
  <si>
    <t>Liabilities to Central Govt.</t>
  </si>
  <si>
    <t>Claims on other Depository Corporations</t>
  </si>
  <si>
    <t>Claims on Central Govt.</t>
  </si>
  <si>
    <t>Trade Credit &amp; Advances</t>
  </si>
  <si>
    <t>27.12.17</t>
  </si>
  <si>
    <t>i)   5 tk is considered as Govt. Currency since June 2016 and  Demand &amp; Time Deposits under Columns 8 &amp; 9 exclude Restricted Deposits</t>
  </si>
  <si>
    <t>18.04.18</t>
  </si>
  <si>
    <t>25.04.18</t>
  </si>
  <si>
    <t>23.05.18</t>
  </si>
  <si>
    <t>SURVEY</t>
  </si>
  <si>
    <t>Liabilities to other Depository Corporatio-ns</t>
  </si>
  <si>
    <t>20.06.18</t>
  </si>
  <si>
    <t>20.06.28</t>
  </si>
  <si>
    <t>Transfe-rable Deposits</t>
  </si>
  <si>
    <t>Securities Other than Shares, Included in Broad Money</t>
  </si>
  <si>
    <t>Deposits Excluded from Broad Money</t>
  </si>
  <si>
    <t>Securities Other than Shares, excluded from Broad Money</t>
  </si>
  <si>
    <t>Deposits included in Broad Money</t>
  </si>
  <si>
    <t>Deposits excluded from Broad Money</t>
  </si>
  <si>
    <t>Securities  Other than Shares, excluded from Broad Money</t>
  </si>
  <si>
    <t>2018-19</t>
  </si>
  <si>
    <t>25.07.18</t>
  </si>
  <si>
    <t>3.00-3.50</t>
  </si>
  <si>
    <t>Important Economic Indicators of Bangladesh with SAARC Countries</t>
  </si>
  <si>
    <t>Import**</t>
  </si>
  <si>
    <t>Afganistan</t>
  </si>
  <si>
    <t>Bhutan</t>
  </si>
  <si>
    <t>India</t>
  </si>
  <si>
    <t>Maldives</t>
  </si>
  <si>
    <t>Nepal</t>
  </si>
  <si>
    <t>Pakistan</t>
  </si>
  <si>
    <t>Sri Lanka</t>
  </si>
  <si>
    <t>April-June</t>
  </si>
  <si>
    <t>* As per record of EPB (usually on fob basis)</t>
  </si>
  <si>
    <t>** Based on custom records calculated on c&amp;f basis</t>
  </si>
  <si>
    <t>1. Export Promotion Bureau (EPB) for Export Data   2. National Board of Revenue (NBR) for Import Data</t>
  </si>
  <si>
    <t xml:space="preserve">Wage Earners Remittance
</t>
  </si>
  <si>
    <t>Portfolio investment inflows</t>
  </si>
  <si>
    <t>Export (f.o.b)</t>
  </si>
  <si>
    <t>Import (f.o.b)</t>
  </si>
  <si>
    <t>Bank credit to commercial sector</t>
  </si>
  <si>
    <t>Foreign Exchange Reserve</t>
  </si>
  <si>
    <t>Inflation</t>
  </si>
  <si>
    <t>Exchange Rate (CY/$)</t>
  </si>
  <si>
    <t xml:space="preserve">Afganistan </t>
  </si>
  <si>
    <t>Bangladesh</t>
  </si>
  <si>
    <t xml:space="preserve">Important Economic Indicators of SAARC Countries </t>
  </si>
  <si>
    <t xml:space="preserve"> STATISTICAL TABLES</t>
  </si>
  <si>
    <t>26.09.18</t>
  </si>
  <si>
    <t>26.09.33</t>
  </si>
  <si>
    <t>Sonali
Bank</t>
  </si>
  <si>
    <t>Agrani
Bank</t>
  </si>
  <si>
    <t>Janata
Bank</t>
  </si>
  <si>
    <t>Rupali
Bank</t>
  </si>
  <si>
    <t>BASIC
Bank</t>
  </si>
  <si>
    <t>The City
Bank</t>
  </si>
  <si>
    <t>AB
Bank</t>
  </si>
  <si>
    <t>IFIC
Bank</t>
  </si>
  <si>
    <t>National
Bank</t>
  </si>
  <si>
    <t>Uttara
Bank</t>
  </si>
  <si>
    <t>Pubali
Bank</t>
  </si>
  <si>
    <t>Eastern
Bank</t>
  </si>
  <si>
    <t>Dhaka
Bank</t>
  </si>
  <si>
    <t>Southeast
Bank</t>
  </si>
  <si>
    <t>Prime
Bank</t>
  </si>
  <si>
    <t>Dutch-Bangla
Bank</t>
  </si>
  <si>
    <t>Modhumoti
Bank</t>
  </si>
  <si>
    <t>SBAC
Bank</t>
  </si>
  <si>
    <t>Mercantile
Bank</t>
  </si>
  <si>
    <t>One
Bank</t>
  </si>
  <si>
    <t>Premier
Bank</t>
  </si>
  <si>
    <t>Trust
Bank</t>
  </si>
  <si>
    <t>BRAC
Bank</t>
  </si>
  <si>
    <t>Meghna
Bank</t>
  </si>
  <si>
    <t>Midland
Bank</t>
  </si>
  <si>
    <t>NRB
Bank</t>
  </si>
  <si>
    <t>NRB Comm.
Bank</t>
  </si>
  <si>
    <t>Mutual
Trust Bank</t>
  </si>
  <si>
    <t>Jamuna
Bank</t>
  </si>
  <si>
    <t>Shimanto
Bank</t>
  </si>
  <si>
    <t>Commercail Bank
of Ceylon</t>
  </si>
  <si>
    <t>Standard
Chartered Bank</t>
  </si>
  <si>
    <t>State Bank
of India</t>
  </si>
  <si>
    <t>National Bank
of Pakistan</t>
  </si>
  <si>
    <t>Citi Bank NA</t>
  </si>
  <si>
    <t>2.00</t>
  </si>
  <si>
    <t xml:space="preserve">Joint Director            </t>
  </si>
  <si>
    <t xml:space="preserve">Head Office, Dhaka          </t>
  </si>
  <si>
    <t>22.11.18</t>
  </si>
  <si>
    <t>22.11.28</t>
  </si>
  <si>
    <t>28.11.18</t>
  </si>
  <si>
    <t>28.11.33</t>
  </si>
  <si>
    <t>28.11.38</t>
  </si>
  <si>
    <r>
      <t xml:space="preserve">Hong Kong:    </t>
    </r>
    <r>
      <rPr>
        <sz val="8"/>
        <rFont val="Times New Roman"/>
        <family val="1"/>
      </rPr>
      <t>SAR of China</t>
    </r>
  </si>
  <si>
    <t>20.03.19</t>
  </si>
  <si>
    <t>17.04.19</t>
  </si>
  <si>
    <t>17.04.29</t>
  </si>
  <si>
    <t>Padma
Bank</t>
  </si>
  <si>
    <t>29.05.19</t>
  </si>
  <si>
    <t>10.07.24</t>
  </si>
  <si>
    <t>19.06.19</t>
  </si>
  <si>
    <t>19.06.29</t>
  </si>
  <si>
    <t>26.06.19</t>
  </si>
  <si>
    <t>26.06.39</t>
  </si>
  <si>
    <t>2019-20</t>
  </si>
  <si>
    <t>FDI inflows(Net)</t>
  </si>
  <si>
    <t>17.07.19</t>
  </si>
  <si>
    <t>21.08.19</t>
  </si>
  <si>
    <t>21.08.29</t>
  </si>
  <si>
    <t>16.10.19</t>
  </si>
  <si>
    <t>1. Exchange rates between Taka &amp; other foreign currencies (except USD) are based on their cross rates with US dollar</t>
  </si>
  <si>
    <t>20.11.19</t>
  </si>
  <si>
    <t>18.12.19</t>
  </si>
  <si>
    <t>18.12.29</t>
  </si>
  <si>
    <t>26.12.19</t>
  </si>
  <si>
    <r>
      <t>Export</t>
    </r>
    <r>
      <rPr>
        <vertAlign val="superscript"/>
        <sz val="8"/>
        <rFont val="Times New Roman"/>
        <family val="1"/>
      </rPr>
      <t>*</t>
    </r>
  </si>
  <si>
    <t>Usage at ATMs &amp; CRM</t>
  </si>
  <si>
    <t>ATM &amp; CRM Transactions (Acquiring)</t>
  </si>
  <si>
    <t>15.01.25</t>
  </si>
  <si>
    <t>2.  Total credit to government (gross) by the banking system equals to total claims on government (gross) excluding government</t>
  </si>
  <si>
    <t>22.01.20</t>
  </si>
  <si>
    <t>22.01.30</t>
  </si>
  <si>
    <t>29.01.20</t>
  </si>
  <si>
    <t>TABLE XXVII</t>
  </si>
  <si>
    <t xml:space="preserve">                    IMPORTANT ECONOMIC INDICATORS OF SAARC COUNTRIES                   </t>
  </si>
  <si>
    <t>IMPORTANT ECONOMIC INDICATORS OF BANGLADESH WITH SAARC COUNTRIES</t>
  </si>
  <si>
    <t>TABLE-XXVI</t>
  </si>
  <si>
    <t>Securities Other than Shares, included in Broad money</t>
  </si>
  <si>
    <t>TABLE-XXIV</t>
  </si>
  <si>
    <t>TABLE-XXIII</t>
  </si>
  <si>
    <t>Thai  Baht</t>
  </si>
  <si>
    <t>Thai Baht</t>
  </si>
  <si>
    <t xml:space="preserve">Taka in Crore </t>
  </si>
  <si>
    <t xml:space="preserve">(Taka in crore)         </t>
  </si>
  <si>
    <t xml:space="preserve">     Production   (in '000' Metric Tons)</t>
  </si>
  <si>
    <t xml:space="preserve">     Production   (in '000' Metric  Tons)</t>
  </si>
  <si>
    <t xml:space="preserve">       Area           (in '000' acres)</t>
  </si>
  <si>
    <t xml:space="preserve">     Area         (in '000' acres)</t>
  </si>
  <si>
    <t>TABLE IIG (Contd.)</t>
  </si>
  <si>
    <t xml:space="preserve">Amount </t>
  </si>
  <si>
    <t>Amount</t>
  </si>
  <si>
    <t xml:space="preserve">With effect from 23.05.15  </t>
  </si>
  <si>
    <t xml:space="preserve">With effect from 13.02.20  </t>
  </si>
  <si>
    <t xml:space="preserve">BUILDING FINANCE CORPORATION &amp; NATIONAL SAVINGS CERTIFICATES     </t>
  </si>
  <si>
    <t xml:space="preserve">          BANK RATE &amp; INTEREST RATE STRUCTURE OF POST OFFICE SAVINGS BANK, HOUSE  </t>
  </si>
  <si>
    <t xml:space="preserve"> (Taka in Million)</t>
  </si>
  <si>
    <t xml:space="preserve">      (Taka in crore)</t>
  </si>
  <si>
    <t xml:space="preserve">                TABLE -XIIB</t>
  </si>
  <si>
    <t xml:space="preserve">                                  (In Million US$)</t>
  </si>
  <si>
    <t>Depository Corporations Survey</t>
  </si>
  <si>
    <t>10.06.20</t>
  </si>
  <si>
    <t>10.06.25</t>
  </si>
  <si>
    <t>17.06.20</t>
  </si>
  <si>
    <t>17.06.30</t>
  </si>
  <si>
    <t>24.06.20</t>
  </si>
  <si>
    <t>24.06.35</t>
  </si>
  <si>
    <t>24.06.40</t>
  </si>
  <si>
    <t>ii)Inflow figures are recorded as during the period but stock figures are recorded as end period</t>
  </si>
  <si>
    <t>…= Not Available</t>
  </si>
  <si>
    <t xml:space="preserve">Note:*From period 2011-12 the income,expenditure &amp; profitability of specialized banks(BKB &amp; RAKUB)are calculated on fiscal year basis </t>
  </si>
  <si>
    <t>2020-21</t>
  </si>
  <si>
    <t>With effect from 16.03.20 </t>
  </si>
  <si>
    <t>15.07.20</t>
  </si>
  <si>
    <t>15.07.25</t>
  </si>
  <si>
    <t>22.07.20</t>
  </si>
  <si>
    <t>4.Compilation procedure has been changed since Sep'17 &amp; CRR rate has changed from April'20</t>
  </si>
  <si>
    <t>p=provisional</t>
  </si>
  <si>
    <t xml:space="preserve">       Executive Director (Statistics)</t>
  </si>
  <si>
    <t xml:space="preserve">              E-BANKING &amp;   E-COMMERCE STATISTICS                   </t>
  </si>
  <si>
    <t xml:space="preserve">       TABLE-IA (Contd.)</t>
  </si>
  <si>
    <t xml:space="preserve">          (Taka in crore)</t>
  </si>
  <si>
    <t xml:space="preserve">                         TABLE-XIIA (Contd.)</t>
  </si>
  <si>
    <t>TABLE-XIIA(Contd.)</t>
  </si>
  <si>
    <t xml:space="preserve">             (Taka in crore)</t>
  </si>
  <si>
    <t xml:space="preserve">       (Taka in crore)</t>
  </si>
  <si>
    <t>SL No.</t>
  </si>
  <si>
    <t>ISIN</t>
  </si>
  <si>
    <t>Tenor (year)</t>
  </si>
  <si>
    <t>Issue Date</t>
  </si>
  <si>
    <t xml:space="preserve"> Maturity Date</t>
  </si>
  <si>
    <t xml:space="preserve">Reissue Date </t>
  </si>
  <si>
    <t>Outstanding Balance</t>
  </si>
  <si>
    <t>Reissue Date</t>
  </si>
  <si>
    <t>a. BD(Govt) Treasury Bond</t>
  </si>
  <si>
    <t>BD0929221101</t>
  </si>
  <si>
    <t>18.03.20</t>
  </si>
  <si>
    <t>BD0925061154</t>
  </si>
  <si>
    <t>BD0929401158</t>
  </si>
  <si>
    <t>BD0929161208</t>
  </si>
  <si>
    <t>BD0933441208</t>
  </si>
  <si>
    <t>29.05.13</t>
  </si>
  <si>
    <t>29.05.33</t>
  </si>
  <si>
    <t>BD0930261104</t>
  </si>
  <si>
    <t>BD0925101158</t>
  </si>
  <si>
    <t>BD0929441154</t>
  </si>
  <si>
    <t>BD0929201202</t>
  </si>
  <si>
    <t>BD0933481204</t>
  </si>
  <si>
    <t>26.06.13</t>
  </si>
  <si>
    <t>26.06.33</t>
  </si>
  <si>
    <t>BD0930381100</t>
  </si>
  <si>
    <t>07.05.20</t>
  </si>
  <si>
    <t>07.05.30</t>
  </si>
  <si>
    <t>BD0925141154</t>
  </si>
  <si>
    <t>BD0929481150</t>
  </si>
  <si>
    <t>BD0930251204</t>
  </si>
  <si>
    <t>BD0933041206</t>
  </si>
  <si>
    <t>24.07.13</t>
  </si>
  <si>
    <t>24.07.33</t>
  </si>
  <si>
    <t>BD0930431103</t>
  </si>
  <si>
    <t>BD0925181150</t>
  </si>
  <si>
    <t>BD0929041152</t>
  </si>
  <si>
    <t>BD0930281201</t>
  </si>
  <si>
    <t>BD0933081202</t>
  </si>
  <si>
    <t>29.08.13</t>
  </si>
  <si>
    <t>29.08.33</t>
  </si>
  <si>
    <t>BD0930031101</t>
  </si>
  <si>
    <t>22.07.30</t>
  </si>
  <si>
    <t>BD0925221154</t>
  </si>
  <si>
    <t>BD0929081158</t>
  </si>
  <si>
    <t>BD0930321205</t>
  </si>
  <si>
    <t>27.04.10</t>
  </si>
  <si>
    <t>27.04.30</t>
  </si>
  <si>
    <t>BD0933121206</t>
  </si>
  <si>
    <t>25.09.13</t>
  </si>
  <si>
    <t>25.09.33</t>
  </si>
  <si>
    <t>BD0926261159</t>
  </si>
  <si>
    <t>BD0929121152</t>
  </si>
  <si>
    <t>BD0930361201</t>
  </si>
  <si>
    <t>BD0933161202</t>
  </si>
  <si>
    <t>23.10.13</t>
  </si>
  <si>
    <t>23.10.33</t>
  </si>
  <si>
    <t>BD0926301153</t>
  </si>
  <si>
    <t>BD0929161158</t>
  </si>
  <si>
    <t>BD0930401205</t>
  </si>
  <si>
    <t>24.06.10</t>
  </si>
  <si>
    <t>24.06.30</t>
  </si>
  <si>
    <t>BD0933201206</t>
  </si>
  <si>
    <t>27.11.13</t>
  </si>
  <si>
    <t>27.11.33</t>
  </si>
  <si>
    <t>BD0926341159</t>
  </si>
  <si>
    <t>BD0929201152</t>
  </si>
  <si>
    <t>25.02.15</t>
  </si>
  <si>
    <t>BD0930041209</t>
  </si>
  <si>
    <t>BD0933241202</t>
  </si>
  <si>
    <t>BD0926381155</t>
  </si>
  <si>
    <t>BD0930041159</t>
  </si>
  <si>
    <t>BD0930081205</t>
  </si>
  <si>
    <t>BD0934281207</t>
  </si>
  <si>
    <t>BD0926421159</t>
  </si>
  <si>
    <t>BD0930121159</t>
  </si>
  <si>
    <t>BD0930121209</t>
  </si>
  <si>
    <t>BD0934321201</t>
  </si>
  <si>
    <t>BD0926071152</t>
  </si>
  <si>
    <t>BD0931401154</t>
  </si>
  <si>
    <t>BD0930161205</t>
  </si>
  <si>
    <t>BD0934361207</t>
  </si>
  <si>
    <t>BD0926111156</t>
  </si>
  <si>
    <t>BD0933101158</t>
  </si>
  <si>
    <t>BD0930201209</t>
  </si>
  <si>
    <t>BD0934401201</t>
  </si>
  <si>
    <t>BD0926151152</t>
  </si>
  <si>
    <t>18.10.11</t>
  </si>
  <si>
    <t>18.10.26</t>
  </si>
  <si>
    <t>BD0933141154</t>
  </si>
  <si>
    <t>25.03.20</t>
  </si>
  <si>
    <t>BD0930241205</t>
  </si>
  <si>
    <t>BD0934441207</t>
  </si>
  <si>
    <t>BD0926191158</t>
  </si>
  <si>
    <t>BD0935391153</t>
  </si>
  <si>
    <t>13.05.20</t>
  </si>
  <si>
    <t>13.05.35</t>
  </si>
  <si>
    <t>BD0931281200</t>
  </si>
  <si>
    <t>BD0934481203</t>
  </si>
  <si>
    <t>BD0926231152</t>
  </si>
  <si>
    <t>20.12.11</t>
  </si>
  <si>
    <t>20.12.26</t>
  </si>
  <si>
    <t>BD0935441156</t>
  </si>
  <si>
    <t>BD0931321204</t>
  </si>
  <si>
    <t>BD0934041205</t>
  </si>
  <si>
    <t>BD0927271157</t>
  </si>
  <si>
    <t>BD0927041204</t>
  </si>
  <si>
    <t>25.07.07</t>
  </si>
  <si>
    <t>25.07.27</t>
  </si>
  <si>
    <t>BD0931361200</t>
  </si>
  <si>
    <t>BD0934081201</t>
  </si>
  <si>
    <t>BD0927311151</t>
  </si>
  <si>
    <t>BD0927081200</t>
  </si>
  <si>
    <t>29.08.07</t>
  </si>
  <si>
    <t>29.08.27</t>
  </si>
  <si>
    <t>BD0931401204</t>
  </si>
  <si>
    <t>BD0934121205</t>
  </si>
  <si>
    <t>BD0927351157</t>
  </si>
  <si>
    <t>BD0927121204</t>
  </si>
  <si>
    <t>BD0931441200</t>
  </si>
  <si>
    <t>BD0934161201</t>
  </si>
  <si>
    <t>BD0927391153</t>
  </si>
  <si>
    <t>BD0927161200</t>
  </si>
  <si>
    <t>BD0931471207</t>
  </si>
  <si>
    <t>BD0934201205</t>
  </si>
  <si>
    <t>BD0927431157</t>
  </si>
  <si>
    <t>BD0927201204</t>
  </si>
  <si>
    <t>BD0931041208</t>
  </si>
  <si>
    <t>BD0935041204</t>
  </si>
  <si>
    <t>BD0927471153</t>
  </si>
  <si>
    <t>BD0927241200</t>
  </si>
  <si>
    <t>BD0931081204</t>
  </si>
  <si>
    <t>BD0935201204</t>
  </si>
  <si>
    <t>BD0927031155</t>
  </si>
  <si>
    <t>BD0928281205</t>
  </si>
  <si>
    <t>BD0931121208</t>
  </si>
  <si>
    <t>BD0936401209</t>
  </si>
  <si>
    <t>BD0927111155</t>
  </si>
  <si>
    <t>BD0928321209</t>
  </si>
  <si>
    <t>BD0931161204</t>
  </si>
  <si>
    <t>BD0938141209</t>
  </si>
  <si>
    <t>BD0928361205</t>
  </si>
  <si>
    <t>BD0931201208</t>
  </si>
  <si>
    <t>BD0939391209</t>
  </si>
  <si>
    <t>BD0927191157</t>
  </si>
  <si>
    <t>BD0928401209</t>
  </si>
  <si>
    <t>BD0931241204</t>
  </si>
  <si>
    <t>BD0940401203</t>
  </si>
  <si>
    <t>20.05.20</t>
  </si>
  <si>
    <t>20.05.40</t>
  </si>
  <si>
    <t>BD0927231151</t>
  </si>
  <si>
    <t>BD0928441205</t>
  </si>
  <si>
    <t>BD0932281209</t>
  </si>
  <si>
    <t>25.01.12</t>
  </si>
  <si>
    <t>BD0940441209</t>
  </si>
  <si>
    <t>BD0928351156</t>
  </si>
  <si>
    <t>BD0928081209</t>
  </si>
  <si>
    <t>BD0932401203</t>
  </si>
  <si>
    <t>26.04.12</t>
  </si>
  <si>
    <t>26.04.32</t>
  </si>
  <si>
    <t>BD0928391152</t>
  </si>
  <si>
    <t>BD0928121203</t>
  </si>
  <si>
    <t>BD0932441209</t>
  </si>
  <si>
    <t>30.05.12</t>
  </si>
  <si>
    <t>30.05.32</t>
  </si>
  <si>
    <t>BD0925371058</t>
  </si>
  <si>
    <t>29.04.20</t>
  </si>
  <si>
    <t>29.04.25</t>
  </si>
  <si>
    <t>BD0925381107</t>
  </si>
  <si>
    <t>BD0928431156</t>
  </si>
  <si>
    <t>BD0928161209</t>
  </si>
  <si>
    <t>BD0932481205</t>
  </si>
  <si>
    <t>27.06.12</t>
  </si>
  <si>
    <t>27.06.32</t>
  </si>
  <si>
    <t>BD0925421051</t>
  </si>
  <si>
    <t>BD0925071104</t>
  </si>
  <si>
    <t>19.08.15</t>
  </si>
  <si>
    <t>19.08.25</t>
  </si>
  <si>
    <t>20.09.18</t>
  </si>
  <si>
    <t>BD0928471152</t>
  </si>
  <si>
    <t>BD0928201203</t>
  </si>
  <si>
    <t>BD0932041207</t>
  </si>
  <si>
    <t>25.07.12</t>
  </si>
  <si>
    <t>25.07.32</t>
  </si>
  <si>
    <t>BD0925021059</t>
  </si>
  <si>
    <t>BD0926271109</t>
  </si>
  <si>
    <t>BD0928041153</t>
  </si>
  <si>
    <t>24.07.28</t>
  </si>
  <si>
    <t>BD0928241209</t>
  </si>
  <si>
    <t>BD0932081203</t>
  </si>
  <si>
    <t>29.08.12</t>
  </si>
  <si>
    <t>29.08.32</t>
  </si>
  <si>
    <t>BD0926021108</t>
  </si>
  <si>
    <t>BD0928081159</t>
  </si>
  <si>
    <t>29.08.28</t>
  </si>
  <si>
    <t>BD0929281204</t>
  </si>
  <si>
    <t>BD0932121207</t>
  </si>
  <si>
    <t>26.09.12</t>
  </si>
  <si>
    <t>BD0927251100</t>
  </si>
  <si>
    <t>BD0928121153</t>
  </si>
  <si>
    <t>25.09.28</t>
  </si>
  <si>
    <t>BD0929321208</t>
  </si>
  <si>
    <t>BD0932161203</t>
  </si>
  <si>
    <t>25.10.12</t>
  </si>
  <si>
    <t>25.10.32</t>
  </si>
  <si>
    <t>BD0927101107</t>
  </si>
  <si>
    <t>BD0928161159</t>
  </si>
  <si>
    <t>23.10.28</t>
  </si>
  <si>
    <t>BD0929361204</t>
  </si>
  <si>
    <t>BD0932201207</t>
  </si>
  <si>
    <t>28.11.12</t>
  </si>
  <si>
    <t>28.11.32</t>
  </si>
  <si>
    <t>BD0928331109</t>
  </si>
  <si>
    <t>BD0925301154</t>
  </si>
  <si>
    <t>BD0928201153</t>
  </si>
  <si>
    <t>BD0929401208</t>
  </si>
  <si>
    <t>BD0932241203</t>
  </si>
  <si>
    <t>26.12.12</t>
  </si>
  <si>
    <t>26.12.32</t>
  </si>
  <si>
    <t>BD0928131103</t>
  </si>
  <si>
    <t>BD0925341150</t>
  </si>
  <si>
    <t>BD0929441204</t>
  </si>
  <si>
    <t>BD0933281208</t>
  </si>
  <si>
    <t>23.01.13</t>
  </si>
  <si>
    <t>23.01.33</t>
  </si>
  <si>
    <t>BD0929311100</t>
  </si>
  <si>
    <t>BD0925381156</t>
  </si>
  <si>
    <t>BD0929281154</t>
  </si>
  <si>
    <t>BD0929481200</t>
  </si>
  <si>
    <t>BD0933321202</t>
  </si>
  <si>
    <t>27.02.13</t>
  </si>
  <si>
    <t>27.02.33</t>
  </si>
  <si>
    <t>BD0929381103</t>
  </si>
  <si>
    <t>BD0925421150</t>
  </si>
  <si>
    <t>BD0929321158</t>
  </si>
  <si>
    <t>BD0929041202</t>
  </si>
  <si>
    <t>BD0933361208</t>
  </si>
  <si>
    <t>27.03.13</t>
  </si>
  <si>
    <t>27.03.33</t>
  </si>
  <si>
    <t>BD0929061101</t>
  </si>
  <si>
    <t>BD0925021158</t>
  </si>
  <si>
    <t>14.07.10</t>
  </si>
  <si>
    <t>14.07.25</t>
  </si>
  <si>
    <t>BD0929361154</t>
  </si>
  <si>
    <t>BD0929081208</t>
  </si>
  <si>
    <t>BD0933401202</t>
  </si>
  <si>
    <t>24.04.13</t>
  </si>
  <si>
    <t>24.04.33</t>
  </si>
  <si>
    <t>Interest Payments on half yearly &amp; principal payment after maturituy.</t>
  </si>
  <si>
    <t>Cut off Yeild (%)</t>
  </si>
  <si>
    <t>BOND NAME</t>
  </si>
  <si>
    <t xml:space="preserve">Reserve Money   </t>
  </si>
  <si>
    <t>BD0925131056</t>
  </si>
  <si>
    <t>14.10.20</t>
  </si>
  <si>
    <t>14.10.25</t>
  </si>
  <si>
    <t>23.09.20</t>
  </si>
  <si>
    <t>BD0930141108</t>
  </si>
  <si>
    <t>21.10.20</t>
  </si>
  <si>
    <t>With  effect  from 08.11.03</t>
  </si>
  <si>
    <t xml:space="preserve">    With   effect from 01.11.02</t>
  </si>
  <si>
    <t xml:space="preserve">      Area       (in '000' acres)</t>
  </si>
  <si>
    <t xml:space="preserve">   </t>
  </si>
  <si>
    <t>PKB</t>
  </si>
  <si>
    <t>CBBL</t>
  </si>
  <si>
    <t>BD0925211056</t>
  </si>
  <si>
    <t>09.12.25</t>
  </si>
  <si>
    <t>17.12.20</t>
  </si>
  <si>
    <t xml:space="preserve">    ... = Not Available</t>
  </si>
  <si>
    <t>FDI inflows(Net) and Portfolio investment inflows</t>
  </si>
  <si>
    <t>3. Statistics Department of Bangladesh Bank for Service Inflows, Service Outflows , Wage Earners Remittance Data,</t>
  </si>
  <si>
    <t>i)  DMBs advances to public &amp; private include balances with OFIs, NBDCs and money at call &amp; short notice</t>
  </si>
  <si>
    <t>3.00-6.00</t>
  </si>
  <si>
    <t xml:space="preserve"> Statistics Department </t>
  </si>
  <si>
    <t>20.01.21</t>
  </si>
  <si>
    <t>21.10.30</t>
  </si>
  <si>
    <t>26.12.07</t>
  </si>
  <si>
    <t>26.12.27</t>
  </si>
  <si>
    <t xml:space="preserve">                                                              BANK WISE ANNOUNCED INTEREST RATE STRUCTURE </t>
  </si>
  <si>
    <t>BD0931301107</t>
  </si>
  <si>
    <t>17.02.21</t>
  </si>
  <si>
    <t>17.02.31</t>
  </si>
  <si>
    <t xml:space="preserve">     Production        (in '000' Metric Tons)</t>
  </si>
  <si>
    <t xml:space="preserve">     Production        (in '000'   Metric Tons)</t>
  </si>
  <si>
    <t>Coupon Rate (%)</t>
  </si>
  <si>
    <t>27.11.28</t>
  </si>
  <si>
    <t>BD0926321052</t>
  </si>
  <si>
    <t>18.03.21</t>
  </si>
  <si>
    <t>18.03.26</t>
  </si>
  <si>
    <r>
      <t>Source</t>
    </r>
    <r>
      <rPr>
        <sz val="8"/>
        <rFont val="Arial"/>
        <family val="1"/>
      </rPr>
      <t xml:space="preserve">: </t>
    </r>
  </si>
  <si>
    <t>28.04.21</t>
  </si>
  <si>
    <t xml:space="preserve">Maturity of Deposits  </t>
  </si>
  <si>
    <t>BD0931401105</t>
  </si>
  <si>
    <t>19.05.21</t>
  </si>
  <si>
    <t>19.05.31</t>
  </si>
  <si>
    <t>Interest Free</t>
  </si>
  <si>
    <t>30.09.19</t>
  </si>
  <si>
    <t>30.09.26</t>
  </si>
  <si>
    <t>Hanif Flyover SPTB</t>
  </si>
  <si>
    <t>Rate of interest of Scheduled Banks (Weighted Average)</t>
  </si>
  <si>
    <t>To               Public      (18+22+26) </t>
  </si>
  <si>
    <t>30.06.21</t>
  </si>
  <si>
    <t>BD0941451207</t>
  </si>
  <si>
    <t>30.06.41</t>
  </si>
  <si>
    <t>BD0926431059</t>
  </si>
  <si>
    <t>16.06.21</t>
  </si>
  <si>
    <t>16.06.26</t>
  </si>
  <si>
    <t>23.06.21</t>
  </si>
  <si>
    <t>2021-22</t>
  </si>
  <si>
    <t>Mudaraba Monthly Profit Deposit Scheme (10 yrs.)</t>
  </si>
  <si>
    <t>14.07.21</t>
  </si>
  <si>
    <t>BD0936491150</t>
  </si>
  <si>
    <t>28.07.21</t>
  </si>
  <si>
    <t>28.07.36</t>
  </si>
  <si>
    <r>
      <t>2020-21</t>
    </r>
    <r>
      <rPr>
        <vertAlign val="superscript"/>
        <sz val="8"/>
        <rFont val="Times New Roman"/>
        <family val="1"/>
      </rPr>
      <t>p</t>
    </r>
  </si>
  <si>
    <t xml:space="preserve">ii) Claims on resident sector exclude inter-bank claims                                                                                                           </t>
  </si>
  <si>
    <t>FDI (Net Inflow)</t>
  </si>
  <si>
    <r>
      <t>Source</t>
    </r>
    <r>
      <rPr>
        <sz val="8"/>
        <rFont val="Times New Roman"/>
        <family val="1"/>
      </rPr>
      <t xml:space="preserve">    </t>
    </r>
    <r>
      <rPr>
        <b/>
        <sz val="8"/>
        <rFont val="Times New Roman"/>
        <family val="1"/>
      </rPr>
      <t xml:space="preserve">: </t>
    </r>
    <r>
      <rPr>
        <sz val="8"/>
        <rFont val="Times New Roman"/>
        <family val="1"/>
      </rPr>
      <t xml:space="preserve">   Dhaka Stock Exchange Ltd (DSE)</t>
    </r>
  </si>
  <si>
    <t>Note:         1. DSE Broad Index has been introduced instead of General Index from August 2013</t>
  </si>
  <si>
    <t>Service inflows***</t>
  </si>
  <si>
    <t>Service outflows***</t>
  </si>
  <si>
    <t xml:space="preserve">       ii) CMT values are not adjusted.</t>
  </si>
  <si>
    <t xml:space="preserve">*** i) Based on banking channel data excluding goods procured in ports by carriers and goods acquired under merchanting </t>
  </si>
  <si>
    <t>15.04.24</t>
  </si>
  <si>
    <t>BD0928271156</t>
  </si>
  <si>
    <t>16.01.13</t>
  </si>
  <si>
    <t>16.01.28</t>
  </si>
  <si>
    <t>BD0928311150</t>
  </si>
  <si>
    <t>20.02.13</t>
  </si>
  <si>
    <t>20.02.28</t>
  </si>
  <si>
    <t>BD0928481201</t>
  </si>
  <si>
    <t>25.06.08</t>
  </si>
  <si>
    <t>25.06.28</t>
  </si>
  <si>
    <t>BD0928041203</t>
  </si>
  <si>
    <t>23.07.08</t>
  </si>
  <si>
    <t>23.08.28</t>
  </si>
  <si>
    <t>BD0932321203</t>
  </si>
  <si>
    <t>29.02.12</t>
  </si>
  <si>
    <t>29.02.32</t>
  </si>
  <si>
    <t>BD0932361209</t>
  </si>
  <si>
    <t>28.03.12</t>
  </si>
  <si>
    <t>28.03.32</t>
  </si>
  <si>
    <t>2.Weighted average rates of interest on deposits &amp; advances of 29 deposits taking Non Bank Financial Institutions (NBFIs)have been introduced from June 2013</t>
  </si>
  <si>
    <t xml:space="preserve">             Table-XXV</t>
  </si>
  <si>
    <t xml:space="preserve"> CENTRAL BANK </t>
  </si>
  <si>
    <t>11.08.21</t>
  </si>
  <si>
    <t>18.08.21</t>
  </si>
  <si>
    <t>BD0931481107</t>
  </si>
  <si>
    <t>25.07.21</t>
  </si>
  <si>
    <t>25.07.31</t>
  </si>
  <si>
    <t>i)Data have been valued using the concept of the "Own Funds at Book Value (OFBV)" ,which may differ from market value of stocks</t>
  </si>
  <si>
    <t>29.09.21</t>
  </si>
  <si>
    <t>BD0926541055</t>
  </si>
  <si>
    <t>15.09.21</t>
  </si>
  <si>
    <t>15.09.26</t>
  </si>
  <si>
    <t>4.00-6.00</t>
  </si>
  <si>
    <t xml:space="preserve">INVESTMENT UNDER </t>
  </si>
  <si>
    <t>NATIONAL SAVINGS SCHEMES</t>
  </si>
  <si>
    <t>Inv. on Post Office Savings Bank</t>
  </si>
  <si>
    <t>Investment on NRBs Bond</t>
  </si>
  <si>
    <t>Profit Payment</t>
  </si>
  <si>
    <t>5 years BD Sanchayapatra</t>
  </si>
  <si>
    <t>Paribar Sanchayapatra</t>
  </si>
  <si>
    <t>3 Month Profit bearing Sanchayapatra</t>
  </si>
  <si>
    <t>Total (1+2+3+4)</t>
  </si>
  <si>
    <t>General A/C</t>
  </si>
  <si>
    <t>Fixed A/C</t>
  </si>
  <si>
    <t>Total    (6+7)</t>
  </si>
  <si>
    <t>Wage Earner Development Bond</t>
  </si>
  <si>
    <t xml:space="preserve">US Dollar Investment Bond </t>
  </si>
  <si>
    <t>Note: *Other Investments includes postal life insurance, Bangladesh prizebond and bonus a/c.</t>
  </si>
  <si>
    <t>XXVIII</t>
  </si>
  <si>
    <t>Investment Under National Savings Schemes</t>
  </si>
  <si>
    <t>BD0931561106</t>
  </si>
  <si>
    <t>19.10.21</t>
  </si>
  <si>
    <t>19.10.31</t>
  </si>
  <si>
    <t>Scheduled Bank Branches</t>
  </si>
  <si>
    <t>Group Bank Branches</t>
  </si>
  <si>
    <t>State owned Banks</t>
  </si>
  <si>
    <t xml:space="preserve"> Spread   (67-66)</t>
  </si>
  <si>
    <t xml:space="preserve"> Spread   (70-69)</t>
  </si>
  <si>
    <t>b. Bangladesh Govt. Investment Sukuk</t>
  </si>
  <si>
    <t>BDS092501059</t>
  </si>
  <si>
    <t>Manufacturing</t>
  </si>
  <si>
    <t>Mining</t>
  </si>
  <si>
    <t>Electricity</t>
  </si>
  <si>
    <t xml:space="preserve">Investment on Sanchayapatra </t>
  </si>
  <si>
    <t>Pensioner Sanchayapatra</t>
  </si>
  <si>
    <t xml:space="preserve">US  Dollar Premium Bond </t>
  </si>
  <si>
    <t xml:space="preserve">Principal   Repayment </t>
  </si>
  <si>
    <t>Total Investment    (5+8+12+13)</t>
  </si>
  <si>
    <t>Outstanding Savings Position        (As on end period)</t>
  </si>
  <si>
    <t>Average Deposits  per Scheduled Bank  Branch     (in crore) </t>
  </si>
  <si>
    <t>Average Credit per Scheduled Bank  Branch    (in crore)</t>
  </si>
  <si>
    <t>Total Bank Branches       (56+57+58+59)</t>
  </si>
  <si>
    <t>Coupon Rate(%)</t>
  </si>
  <si>
    <t>Cut off Yeild(%)</t>
  </si>
  <si>
    <t>Coupon/   Renter Rate(%)</t>
  </si>
  <si>
    <t>Cut off Yeild/     Renter Rate (%)</t>
  </si>
  <si>
    <t>c. Other Treasury Bond</t>
  </si>
  <si>
    <t>29.12.20</t>
  </si>
  <si>
    <t>29.12.25</t>
  </si>
  <si>
    <t>10.06.21</t>
  </si>
  <si>
    <t>Other Invest-ments*</t>
  </si>
  <si>
    <t xml:space="preserve">  Qatar     Riyal</t>
  </si>
  <si>
    <t xml:space="preserve"> Swiss    Franc</t>
  </si>
  <si>
    <t>BD0926601057</t>
  </si>
  <si>
    <t>10.11.26</t>
  </si>
  <si>
    <t xml:space="preserve">   Total             (9+10+11)</t>
  </si>
  <si>
    <r>
      <rPr>
        <b/>
        <sz val="7"/>
        <color theme="1"/>
        <rFont val="Times New Roman"/>
        <family val="1"/>
      </rPr>
      <t>Net Investment</t>
    </r>
    <r>
      <rPr>
        <b/>
        <sz val="9"/>
        <color theme="1"/>
        <rFont val="Times New Roman"/>
        <family val="1"/>
      </rPr>
      <t xml:space="preserve">              </t>
    </r>
    <r>
      <rPr>
        <b/>
        <sz val="7"/>
        <color theme="1"/>
        <rFont val="Times New Roman"/>
        <family val="1"/>
      </rPr>
      <t>(14-15)</t>
    </r>
  </si>
  <si>
    <t xml:space="preserve"> Department of National Savings </t>
  </si>
  <si>
    <t xml:space="preserve"> Debt Management Department, Bangladesh Bank</t>
  </si>
  <si>
    <t>15.12.21</t>
  </si>
  <si>
    <t>22.12.21</t>
  </si>
  <si>
    <t xml:space="preserve">     ... =Not applicable</t>
  </si>
  <si>
    <t>(Base:2005-06=100</t>
  </si>
  <si>
    <t xml:space="preserve"> &amp; new base 2015-16=100)</t>
  </si>
  <si>
    <t>(a) Base: 2005-06</t>
  </si>
  <si>
    <t>(b) Base: 2015-16</t>
  </si>
  <si>
    <t>2075821</t>
  </si>
  <si>
    <t>2173075</t>
  </si>
  <si>
    <t>15.99</t>
  </si>
  <si>
    <t>2212623</t>
  </si>
  <si>
    <t>2289017</t>
  </si>
  <si>
    <t>11.97</t>
  </si>
  <si>
    <t>6.59</t>
  </si>
  <si>
    <t>16.18</t>
  </si>
  <si>
    <t>2374574</t>
  </si>
  <si>
    <t>2469533</t>
  </si>
  <si>
    <t>13.55</t>
  </si>
  <si>
    <t>7.32</t>
  </si>
  <si>
    <t>16.37</t>
  </si>
  <si>
    <t>2561736</t>
  </si>
  <si>
    <t>2666668</t>
  </si>
  <si>
    <t>11.83</t>
  </si>
  <si>
    <t>7.88</t>
  </si>
  <si>
    <t>16.56</t>
  </si>
  <si>
    <t>… Not Available</t>
  </si>
  <si>
    <t>CURRENT AND CONSTANT MARKET PRICE (Base:2015-16)</t>
  </si>
  <si>
    <t>Agricul-ture, Forestry &amp; Fishing</t>
  </si>
  <si>
    <t>Electri-city      Gas, Steam &amp; Air Con.</t>
  </si>
  <si>
    <t>Water Supply; Sewerage, Waste Management</t>
  </si>
  <si>
    <t xml:space="preserve">Transport &amp; Storage </t>
  </si>
  <si>
    <t>Accomodation &amp; Food Service</t>
  </si>
  <si>
    <t>Information &amp; Communication</t>
  </si>
  <si>
    <t>Finan-cial &amp; Insurance Activities</t>
  </si>
  <si>
    <t>Real Estate Activities</t>
  </si>
  <si>
    <t>Professional, Scientific &amp; Technical</t>
  </si>
  <si>
    <t>Administrative &amp; Support Service</t>
  </si>
  <si>
    <t>Human Health &amp;      Social Works</t>
  </si>
  <si>
    <t>Arts,entartainment &amp; Recreation</t>
  </si>
  <si>
    <t>Other Service activities</t>
  </si>
  <si>
    <t>Total GVA at Basic Price (1 to 19)</t>
  </si>
  <si>
    <t>Tax Less Subsidy</t>
  </si>
  <si>
    <t>GDP at  Market Price (20+21)</t>
  </si>
  <si>
    <t>Gross National Income (GNI) (22+23)</t>
  </si>
  <si>
    <t>(a) Current Market Price</t>
  </si>
  <si>
    <t>(b) Constant Market Price</t>
  </si>
  <si>
    <r>
      <t>Note :</t>
    </r>
    <r>
      <rPr>
        <sz val="8"/>
        <color indexed="8"/>
        <rFont val="Times New Roman"/>
        <family val="1"/>
      </rPr>
      <t xml:space="preserve"> </t>
    </r>
  </si>
  <si>
    <t>Figures within the parentheses indicate the percentage of total GDP.</t>
  </si>
  <si>
    <r>
      <rPr>
        <b/>
        <sz val="7.5"/>
        <rFont val="Times New Roman"/>
        <family val="1"/>
      </rPr>
      <t>Source:</t>
    </r>
    <r>
      <rPr>
        <sz val="7.5"/>
        <rFont val="Times New Roman"/>
        <family val="1"/>
      </rPr>
      <t xml:space="preserve"> Bangladesh Bureau of Statistics</t>
    </r>
  </si>
  <si>
    <t xml:space="preserve">                                   GROSS DOMESTIC PRODUCT OF BANGLADESH AT </t>
  </si>
  <si>
    <t>CURRENT AND CONSTANT MARKET PRICE (Base:2005-06)</t>
  </si>
  <si>
    <t>Mining &amp; Quarrying</t>
  </si>
  <si>
    <t>Electri-city   Gas &amp; Water Supply</t>
  </si>
  <si>
    <t>Education</t>
  </si>
  <si>
    <t>GDP at Producer Price  (1 to 15)</t>
  </si>
  <si>
    <t>GDP at  Market Price (16+17)</t>
  </si>
  <si>
    <r>
      <t>2020-21</t>
    </r>
    <r>
      <rPr>
        <vertAlign val="superscript"/>
        <sz val="7"/>
        <rFont val="Times New Roman"/>
        <family val="1"/>
      </rPr>
      <t>p</t>
    </r>
  </si>
  <si>
    <t>Figures within the parentheses indicate the percentage of  total GDP.</t>
  </si>
  <si>
    <r>
      <t>Source   :</t>
    </r>
    <r>
      <rPr>
        <sz val="7"/>
        <color indexed="8"/>
        <rFont val="Times New Roman"/>
        <family val="1"/>
      </rPr>
      <t xml:space="preserve"> Bangladesh Bureau of Statistics</t>
    </r>
  </si>
  <si>
    <t xml:space="preserve">                  TABLE IIG (Contd.)</t>
  </si>
  <si>
    <t xml:space="preserve">          TABLE IIG (Concld.)</t>
  </si>
  <si>
    <t xml:space="preserve">                          (Taka in crore)</t>
  </si>
  <si>
    <t xml:space="preserve">Period </t>
  </si>
  <si>
    <t>Cards</t>
  </si>
  <si>
    <t>Transactions</t>
  </si>
  <si>
    <t>Card Transactions</t>
  </si>
  <si>
    <t>No. of ATMs  (as on)</t>
  </si>
  <si>
    <t>No. of POS  (as on)</t>
  </si>
  <si>
    <t>Local Transactions  (Issuing)</t>
  </si>
  <si>
    <t xml:space="preserve">No. of Transactions </t>
  </si>
  <si>
    <t xml:space="preserve">                                          E-BANKING &amp;    E-COMMERCE STATISTICS                   </t>
  </si>
  <si>
    <t>Gross Domestic Product of Bangladesh at Current and Constant Market Price (Base:2015-16)</t>
  </si>
  <si>
    <t>Gross Domestic Product of Bangladesh at Current and Constant Market Price (Base:2005-06)</t>
  </si>
  <si>
    <t xml:space="preserve">  Specialised Banks</t>
  </si>
  <si>
    <t>Bank Alfalah</t>
  </si>
  <si>
    <t>BDS092601050</t>
  </si>
  <si>
    <t>30.12.21</t>
  </si>
  <si>
    <t>30.12.26</t>
  </si>
  <si>
    <t>26.01.22</t>
  </si>
  <si>
    <t>…=Not applicable</t>
  </si>
  <si>
    <t>BD0932691100</t>
  </si>
  <si>
    <t>19.01.22</t>
  </si>
  <si>
    <t>19.01.32</t>
  </si>
  <si>
    <t xml:space="preserve">       TABLE-XXVIII</t>
  </si>
  <si>
    <t xml:space="preserve">    Broad Money Liabilities</t>
  </si>
  <si>
    <t xml:space="preserve">CORPORATIONS SURVEY                        </t>
  </si>
  <si>
    <t xml:space="preserve">        DEPOSITORY</t>
  </si>
  <si>
    <t xml:space="preserve">             ... = Not available                                                    P = Provisional   </t>
  </si>
  <si>
    <r>
      <t>Source:</t>
    </r>
    <r>
      <rPr>
        <sz val="8"/>
        <color indexed="8"/>
        <rFont val="Times New Roman"/>
        <family val="1"/>
      </rPr>
      <t xml:space="preserve">  National Board of Revenue and Bangladesh Bureau of  Statistics</t>
    </r>
  </si>
  <si>
    <t xml:space="preserve">             </t>
  </si>
  <si>
    <t>09.02.22</t>
  </si>
  <si>
    <t>BD0927761058</t>
  </si>
  <si>
    <t>16.03.22</t>
  </si>
  <si>
    <t>16.03.27</t>
  </si>
  <si>
    <t>30.03.22</t>
  </si>
  <si>
    <t>BD0942781206</t>
  </si>
  <si>
    <t>30.03.42</t>
  </si>
  <si>
    <t>With effect from 29.07.20 </t>
  </si>
  <si>
    <t>With effect from 04.04.22 &amp; onwards</t>
  </si>
  <si>
    <r>
      <t>13.24</t>
    </r>
    <r>
      <rPr>
        <vertAlign val="superscript"/>
        <sz val="8"/>
        <color indexed="8"/>
        <rFont val="Times New Roman"/>
        <family val="1"/>
      </rPr>
      <t>A</t>
    </r>
  </si>
  <si>
    <r>
      <t>12.59</t>
    </r>
    <r>
      <rPr>
        <vertAlign val="superscript"/>
        <sz val="8"/>
        <rFont val="Times New Roman"/>
        <family val="1"/>
      </rPr>
      <t>B</t>
    </r>
  </si>
  <si>
    <r>
      <t>13.19</t>
    </r>
    <r>
      <rPr>
        <vertAlign val="superscript"/>
        <sz val="8"/>
        <rFont val="Times New Roman"/>
        <family val="1"/>
      </rPr>
      <t>C</t>
    </r>
  </si>
  <si>
    <r>
      <t>13.45</t>
    </r>
    <r>
      <rPr>
        <vertAlign val="superscript"/>
        <sz val="8"/>
        <rFont val="Times New Roman"/>
        <family val="1"/>
      </rPr>
      <t>D</t>
    </r>
  </si>
  <si>
    <r>
      <t>11.80</t>
    </r>
    <r>
      <rPr>
        <vertAlign val="superscript"/>
        <sz val="8"/>
        <rFont val="Times New Roman"/>
        <family val="1"/>
      </rPr>
      <t>E</t>
    </r>
  </si>
  <si>
    <t>A. including 0.84 %  social security premium (SSP) &amp; will be payable on completion of 3 years</t>
  </si>
  <si>
    <t>B. including 0.79 %  social security premium (SSP) &amp; will be payable on completion of 3 years</t>
  </si>
  <si>
    <t>C. including 0.99 %  social security premium (SSP) &amp; will be payable on completion of 5 years</t>
  </si>
  <si>
    <t>D. including 1.25 %  social security premium (SSP) &amp; will be payable on completion of 5 years</t>
  </si>
  <si>
    <t>E. including 0.80 %  social security premium (SSP) &amp; will be payable on completion of 5 years</t>
  </si>
  <si>
    <r>
      <t>11.28</t>
    </r>
    <r>
      <rPr>
        <vertAlign val="superscript"/>
        <sz val="8"/>
        <color indexed="8"/>
        <rFont val="Times New Roman"/>
        <family val="1"/>
      </rPr>
      <t>A</t>
    </r>
  </si>
  <si>
    <r>
      <t>6.00</t>
    </r>
    <r>
      <rPr>
        <vertAlign val="superscript"/>
        <sz val="8"/>
        <color indexed="8"/>
        <rFont val="Times New Roman"/>
        <family val="1"/>
      </rPr>
      <t>A</t>
    </r>
  </si>
  <si>
    <r>
      <t>11.04</t>
    </r>
    <r>
      <rPr>
        <vertAlign val="superscript"/>
        <sz val="8"/>
        <rFont val="Times New Roman"/>
        <family val="1"/>
      </rPr>
      <t>B</t>
    </r>
  </si>
  <si>
    <r>
      <t>11.28</t>
    </r>
    <r>
      <rPr>
        <vertAlign val="superscript"/>
        <sz val="8"/>
        <rFont val="Times New Roman"/>
        <family val="1"/>
      </rPr>
      <t>C</t>
    </r>
  </si>
  <si>
    <r>
      <t>11.76</t>
    </r>
    <r>
      <rPr>
        <vertAlign val="superscript"/>
        <sz val="8"/>
        <rFont val="Times New Roman"/>
        <family val="1"/>
      </rPr>
      <t>C</t>
    </r>
  </si>
  <si>
    <r>
      <t>11.52</t>
    </r>
    <r>
      <rPr>
        <vertAlign val="superscript"/>
        <sz val="8"/>
        <rFont val="Times New Roman"/>
        <family val="1"/>
      </rPr>
      <t>D</t>
    </r>
  </si>
  <si>
    <r>
      <t>12.00</t>
    </r>
    <r>
      <rPr>
        <vertAlign val="superscript"/>
        <sz val="8"/>
        <rFont val="Times New Roman"/>
        <family val="1"/>
      </rPr>
      <t>E</t>
    </r>
  </si>
  <si>
    <t>20.04.22</t>
  </si>
  <si>
    <t>BD0937821157</t>
  </si>
  <si>
    <t>27.04.22</t>
  </si>
  <si>
    <t>27.04.37</t>
  </si>
  <si>
    <t>20.04.27</t>
  </si>
  <si>
    <t xml:space="preserve">Additional Director  (Statistics)           </t>
  </si>
  <si>
    <t>BD0932851100</t>
  </si>
  <si>
    <t>25.05.22</t>
  </si>
  <si>
    <t>25.05.32</t>
  </si>
  <si>
    <t>BD0927841058</t>
  </si>
  <si>
    <t>18.05.22</t>
  </si>
  <si>
    <t>18.05.27</t>
  </si>
  <si>
    <t>Md. Nurul Islam                          Director (Statistics)</t>
  </si>
  <si>
    <t xml:space="preserve">Standard Bank </t>
  </si>
  <si>
    <t>Global Islami Bank</t>
  </si>
  <si>
    <t xml:space="preserve">v) </t>
  </si>
  <si>
    <t>w)</t>
  </si>
  <si>
    <t>Special Notice Deposit</t>
  </si>
  <si>
    <t>BDS092701051</t>
  </si>
  <si>
    <t xml:space="preserve">  &lt; 1.00 crore</t>
  </si>
  <si>
    <t xml:space="preserve"> 1.00 crore but  &lt; 25.00 crore</t>
  </si>
  <si>
    <t xml:space="preserve"> 25.00 crore but  &lt; 50.00 crore</t>
  </si>
  <si>
    <t>Advisor</t>
  </si>
  <si>
    <t xml:space="preserve">        Deputy Governor</t>
  </si>
  <si>
    <t>Bengal Comm. Bank</t>
  </si>
  <si>
    <t>White Middle               (Kutcha bales)            (Tk per 100 kg) </t>
  </si>
  <si>
    <t>Export of Tea                      (Average Quality)                      (Tk per kg)</t>
  </si>
  <si>
    <t>15.06.22</t>
  </si>
  <si>
    <t>BD0932891106</t>
  </si>
  <si>
    <t>22.06.22</t>
  </si>
  <si>
    <t>22.06.32</t>
  </si>
  <si>
    <t>BD0942901200</t>
  </si>
  <si>
    <t>29.06.22</t>
  </si>
  <si>
    <t>29.06.42</t>
  </si>
  <si>
    <t>BD0937901157</t>
  </si>
  <si>
    <t>29.06.37</t>
  </si>
  <si>
    <t>2022-23</t>
  </si>
  <si>
    <r>
      <t>2022-23</t>
    </r>
    <r>
      <rPr>
        <b/>
        <vertAlign val="superscript"/>
        <sz val="8"/>
        <rFont val="Times New Roman"/>
        <family val="1"/>
      </rPr>
      <t>P</t>
    </r>
  </si>
  <si>
    <t>BD0927021057</t>
  </si>
  <si>
    <t>13.07.22</t>
  </si>
  <si>
    <t>13.07.27</t>
  </si>
  <si>
    <t>20.07.22</t>
  </si>
  <si>
    <t>1.25-1.75</t>
  </si>
  <si>
    <t>3.25-3.50</t>
  </si>
  <si>
    <t>0.50-3.25</t>
  </si>
  <si>
    <t>2.00-2.50</t>
  </si>
  <si>
    <t>1.50-3.00</t>
  </si>
  <si>
    <t>0.50-2.00</t>
  </si>
  <si>
    <t>XXIX</t>
  </si>
  <si>
    <t>National Budget Statistics</t>
  </si>
  <si>
    <t xml:space="preserve">    NATIONAL</t>
  </si>
  <si>
    <t>BUDGET</t>
  </si>
  <si>
    <t xml:space="preserve">   ( Revised         Budget only)</t>
  </si>
  <si>
    <t>TABLE-XXIX</t>
  </si>
  <si>
    <t>Revenue and Foreign Grants</t>
  </si>
  <si>
    <t>Expenditure                                    Expenditure</t>
  </si>
  <si>
    <t>Overall Deficit (5-17)</t>
  </si>
  <si>
    <t>Financing</t>
  </si>
  <si>
    <t>Tax Revenue</t>
  </si>
  <si>
    <t>Non-Tax Revenue</t>
  </si>
  <si>
    <t>Revenue (1+2)</t>
  </si>
  <si>
    <t>Foreign Grants</t>
  </si>
  <si>
    <t>Total Revenue and Foreign Grants (3+4)</t>
  </si>
  <si>
    <t>Recurrent Expenditure</t>
  </si>
  <si>
    <t>Capital Expenditure</t>
  </si>
  <si>
    <t>Total Operating Expenditure    (6+7)</t>
  </si>
  <si>
    <t>ADP</t>
  </si>
  <si>
    <t>Non-ADP Special Projects</t>
  </si>
  <si>
    <t>Scheme</t>
  </si>
  <si>
    <t>Non-ADP FFW and Transfer</t>
  </si>
  <si>
    <t>Development Expenditure (9+10+11+12)</t>
  </si>
  <si>
    <t>Net Outlay for Food A/C Operation</t>
  </si>
  <si>
    <t>Loans &amp; Advances (Net)</t>
  </si>
  <si>
    <t>Others Expenditure</t>
  </si>
  <si>
    <t>Total Expenditure (8+13+14+15+16)</t>
  </si>
  <si>
    <t>Foreign Borrowing (Net)</t>
  </si>
  <si>
    <t>Domestic Borrowing</t>
  </si>
  <si>
    <t>Total Financing (19+20)</t>
  </si>
  <si>
    <t>Finance Division, Ministry of Finance</t>
  </si>
  <si>
    <t>P: Proposed Budget</t>
  </si>
  <si>
    <r>
      <t>2022-23</t>
    </r>
    <r>
      <rPr>
        <b/>
        <vertAlign val="superscript"/>
        <sz val="9"/>
        <color theme="1"/>
        <rFont val="Times New Roman"/>
        <family val="1"/>
      </rPr>
      <t>P</t>
    </r>
  </si>
  <si>
    <t>10.08.22</t>
  </si>
  <si>
    <t>17.08.22</t>
  </si>
  <si>
    <t>4.50-6.50</t>
  </si>
  <si>
    <t>BD0932111109</t>
  </si>
  <si>
    <t>21.09.22</t>
  </si>
  <si>
    <t>21.09.32</t>
  </si>
  <si>
    <t>28.09.22</t>
  </si>
  <si>
    <t>BD0927151151</t>
  </si>
  <si>
    <t>17.10.12</t>
  </si>
  <si>
    <t>17.10.27</t>
  </si>
  <si>
    <t xml:space="preserve">ii)  Deposit Money Banks (DMBs) comprise 61 Scheduled Banks &amp; BSBL </t>
  </si>
  <si>
    <t xml:space="preserve">    In Taka    A/C</t>
  </si>
  <si>
    <t>12.10.22</t>
  </si>
  <si>
    <t>26.10.22</t>
  </si>
  <si>
    <t>Rest of the indicators are applicable for all scheduled banks only.</t>
  </si>
  <si>
    <t>Electronic Fund Transfers (Outward)*</t>
  </si>
  <si>
    <t>MICR Clearing*</t>
  </si>
  <si>
    <t>Total*</t>
  </si>
  <si>
    <r>
      <t>Source:</t>
    </r>
    <r>
      <rPr>
        <sz val="8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Statistics Department, Bangladesh Bank</t>
    </r>
  </si>
  <si>
    <t>November,2018 and also includes Bangladesh Samabaya Bank Ltd and Bangladesh Bank from December, 2018.</t>
  </si>
  <si>
    <t>BD0927181059</t>
  </si>
  <si>
    <t>16.11.22</t>
  </si>
  <si>
    <t>16.11.27</t>
  </si>
  <si>
    <t>Glass       Sheets</t>
  </si>
  <si>
    <t>BD0932231105</t>
  </si>
  <si>
    <t>21.12.22</t>
  </si>
  <si>
    <t>21.12.32</t>
  </si>
  <si>
    <t>28.12.22</t>
  </si>
  <si>
    <t>BD0942241201</t>
  </si>
  <si>
    <t>28.12.42</t>
  </si>
  <si>
    <t>SPTB BKB</t>
  </si>
  <si>
    <t>29.11.22</t>
  </si>
  <si>
    <t>29.11.25</t>
  </si>
  <si>
    <t>BD0928261058</t>
  </si>
  <si>
    <t>11.01.23</t>
  </si>
  <si>
    <t>11.01.28</t>
  </si>
  <si>
    <t>25.01.23</t>
  </si>
  <si>
    <t>BD0943281206</t>
  </si>
  <si>
    <t>25.01.43</t>
  </si>
  <si>
    <t xml:space="preserve">Assistant Director            </t>
  </si>
  <si>
    <t>1.25-4.25</t>
  </si>
  <si>
    <t>Cash Reserve Require-ment</t>
  </si>
  <si>
    <t>08.02.23</t>
  </si>
  <si>
    <t>15.02.23</t>
  </si>
  <si>
    <t>Cow Hides Raw                             (Tk per piece)</t>
  </si>
  <si>
    <t>5.50-6.00</t>
  </si>
  <si>
    <t>BD0933351100</t>
  </si>
  <si>
    <t>15.03.23</t>
  </si>
  <si>
    <t>15.03.33</t>
  </si>
  <si>
    <t>BD0925331029</t>
  </si>
  <si>
    <t>05.03.23</t>
  </si>
  <si>
    <t>05.03.25</t>
  </si>
  <si>
    <t>09.03.23</t>
  </si>
  <si>
    <t>Assistant Director</t>
  </si>
  <si>
    <t>0.05-1.50</t>
  </si>
  <si>
    <t>1.03-2.00</t>
  </si>
  <si>
    <t>05.04.23</t>
  </si>
  <si>
    <t>BD0928381054</t>
  </si>
  <si>
    <t>12.04.23</t>
  </si>
  <si>
    <t>12.04.28</t>
  </si>
  <si>
    <t>24.04.23</t>
  </si>
  <si>
    <t>P: Provisional</t>
  </si>
  <si>
    <t>1.Total credit to government (net) by the banking system equals to total claims on government (gross) excluding government</t>
  </si>
  <si>
    <t>BD0925411029</t>
  </si>
  <si>
    <t>03.05.23</t>
  </si>
  <si>
    <t>03.05.25</t>
  </si>
  <si>
    <t>10.05.23</t>
  </si>
  <si>
    <t>Point- to- Point (Base: 2021-22=100)</t>
  </si>
  <si>
    <t>12- Month Average (Base: 2021-22=100)</t>
  </si>
  <si>
    <t>Total Industries</t>
  </si>
  <si>
    <t>3.Rate of inflation (Base: 2005-06) data discontinued from April 2023 due to dropping of BBS data</t>
  </si>
  <si>
    <t xml:space="preserve">  TABLE-VIA</t>
  </si>
  <si>
    <t xml:space="preserve">Food Products &amp; Matches        </t>
  </si>
  <si>
    <t>ii) BCIC: Paper,  Fertilizers &amp; Glass sheet</t>
  </si>
  <si>
    <t xml:space="preserve">AVERAGE PRICES OF SELECTED COMMODITIES                 </t>
  </si>
  <si>
    <t>Bangla white A  (Pucca  bales)  (Tk per 182.25 kg)</t>
  </si>
  <si>
    <t>3. Bangladesh Bureau of Statistics</t>
  </si>
  <si>
    <t>2. Department of Agricultural Marketing</t>
  </si>
  <si>
    <t>4. Bangladesh Tea Board</t>
  </si>
  <si>
    <t>(Other than jute goods)</t>
  </si>
  <si>
    <t xml:space="preserve">PRODUCTION OF MAJOR INDUSTRIAL COMMODITIES </t>
  </si>
  <si>
    <t xml:space="preserve">                                                                     CONSUMER PRICE INDEX &amp; </t>
  </si>
  <si>
    <t xml:space="preserve"> INFLATION RATE IN BANGLADESH (Base Index 2021-22=100)                   TABLE-VIII</t>
  </si>
  <si>
    <t>Alcoholic, Beverage, Tobacco</t>
  </si>
  <si>
    <t>Housing, Water, Electricity, Gas</t>
  </si>
  <si>
    <t>Furnishings, Household Equipment</t>
  </si>
  <si>
    <t xml:space="preserve">Health </t>
  </si>
  <si>
    <t xml:space="preserve">Transportation </t>
  </si>
  <si>
    <t>Communication</t>
  </si>
  <si>
    <t>Recreation &amp; Cultural</t>
  </si>
  <si>
    <t>Restaurants and Hotels</t>
  </si>
  <si>
    <t>…=Not Available</t>
  </si>
  <si>
    <t>INFLATION RATE IN BANGLADESH (Base Index:2005-06=100)</t>
  </si>
  <si>
    <t>VIA</t>
  </si>
  <si>
    <t>VIB</t>
  </si>
  <si>
    <t>Consumer Price Index &amp; Inflation Rate in Bangladesh(Base Index: 2005-06=100)</t>
  </si>
  <si>
    <t xml:space="preserve">Consumer Price Index &amp; Inflation Rate in Bangladesh (Base Index 2021-22=100) </t>
  </si>
  <si>
    <t>iii) Food Products = Atta, Maida &amp; Suji</t>
  </si>
  <si>
    <t xml:space="preserve">i) BBS: Cotton Yarn, Cotton Cloth, Cigarettes, Oil Products,     </t>
  </si>
  <si>
    <t xml:space="preserve">             TABLE-VIB</t>
  </si>
  <si>
    <r>
      <t xml:space="preserve">Source : </t>
    </r>
    <r>
      <rPr>
        <sz val="7"/>
        <rFont val="Times New Roman"/>
        <family val="1"/>
      </rPr>
      <t>Dhaka Stock Exchange Ltd (DSE)</t>
    </r>
  </si>
  <si>
    <r>
      <t xml:space="preserve">Note    : </t>
    </r>
    <r>
      <rPr>
        <sz val="7"/>
        <rFont val="Times New Roman"/>
        <family val="1"/>
      </rPr>
      <t xml:space="preserve">Miscellaneous includes IT-Sector, Tannery, Ceramic, Travel &amp; Corporate bond </t>
    </r>
  </si>
  <si>
    <t>07.06.23</t>
  </si>
  <si>
    <t>BD0928461054</t>
  </si>
  <si>
    <t>14.06.23</t>
  </si>
  <si>
    <t>14.06.28</t>
  </si>
  <si>
    <t>Foreign Trade   (Million US $)</t>
  </si>
  <si>
    <t xml:space="preserve"> Foreign Exchange  Reserves           </t>
  </si>
  <si>
    <t>(Million US $)</t>
  </si>
  <si>
    <t xml:space="preserve">Foreign Exchange Reserves (as per BPM6 ) </t>
  </si>
  <si>
    <t>Provisional Data</t>
  </si>
  <si>
    <t>BD0925011027</t>
  </si>
  <si>
    <t>05.07.23</t>
  </si>
  <si>
    <t>05.07.25</t>
  </si>
  <si>
    <t>12.07.23</t>
  </si>
  <si>
    <t>19.07.23</t>
  </si>
  <si>
    <r>
      <t>2023-24</t>
    </r>
    <r>
      <rPr>
        <b/>
        <vertAlign val="superscript"/>
        <sz val="8"/>
        <rFont val="Times New Roman"/>
        <family val="1"/>
      </rPr>
      <t>P</t>
    </r>
  </si>
  <si>
    <t>2023-24</t>
  </si>
  <si>
    <t>02.08.23</t>
  </si>
  <si>
    <t>BD0928061052</t>
  </si>
  <si>
    <t>09.08.23</t>
  </si>
  <si>
    <t>BD0933071104</t>
  </si>
  <si>
    <t>16.08.23</t>
  </si>
  <si>
    <t>16.08.33</t>
  </si>
  <si>
    <r>
      <t>2023-24</t>
    </r>
    <r>
      <rPr>
        <b/>
        <vertAlign val="superscript"/>
        <sz val="8.5"/>
        <color theme="1"/>
        <rFont val="Times New Roman"/>
        <family val="1"/>
      </rPr>
      <t>P</t>
    </r>
  </si>
  <si>
    <r>
      <t>2023-24</t>
    </r>
    <r>
      <rPr>
        <b/>
        <vertAlign val="superscript"/>
        <sz val="9"/>
        <color theme="1"/>
        <rFont val="Times New Roman"/>
        <family val="1"/>
      </rPr>
      <t>P</t>
    </r>
  </si>
  <si>
    <t>Electri-city,  Gas and Water Supply</t>
  </si>
  <si>
    <t>Industry</t>
  </si>
  <si>
    <t>Whole-sale     &amp; Retail Trade, Repair</t>
  </si>
  <si>
    <t xml:space="preserve">Real Estate,Professional &amp;  Administrative  </t>
  </si>
  <si>
    <t>Public Administration, Health &amp; Education</t>
  </si>
  <si>
    <t>Arts, Recreation &amp;Other Service activities</t>
  </si>
  <si>
    <t>GVA at Basic Price</t>
  </si>
  <si>
    <t>GDP at Current Price</t>
  </si>
  <si>
    <t>Growth Rate</t>
  </si>
  <si>
    <t>6=(2+..+5)</t>
  </si>
  <si>
    <t>Q1</t>
  </si>
  <si>
    <t>Q2</t>
  </si>
  <si>
    <t>Q3</t>
  </si>
  <si>
    <t>Q4</t>
  </si>
  <si>
    <t>IXD</t>
  </si>
  <si>
    <t xml:space="preserve">QUARTERLY GROSS DOMESTIC PRODUCT </t>
  </si>
  <si>
    <t xml:space="preserve">            (Taka in crore)</t>
  </si>
  <si>
    <t xml:space="preserve">Quarterly Gross Domestic Product Of Bangladesh  (Base:2015-16)   </t>
  </si>
  <si>
    <t>TABLE-IXD</t>
  </si>
  <si>
    <t>GDP at Constant Price</t>
  </si>
  <si>
    <t>BD0925091029</t>
  </si>
  <si>
    <t>07.09.23</t>
  </si>
  <si>
    <t>07.09.25</t>
  </si>
  <si>
    <t>BD0928101056</t>
  </si>
  <si>
    <t>13.09.23</t>
  </si>
  <si>
    <t>09.08.28</t>
  </si>
  <si>
    <t>13.09.28</t>
  </si>
  <si>
    <t>R=Revised</t>
  </si>
  <si>
    <t>Index of Industrial Production</t>
  </si>
  <si>
    <t>Index of  Manufacturing, Mining &amp;  Electricity</t>
  </si>
  <si>
    <t>11.10.23</t>
  </si>
  <si>
    <t>25.10.23</t>
  </si>
  <si>
    <t>Mobile Financial Services (MFS)</t>
  </si>
  <si>
    <t>No. of MFS Agents (as on)</t>
  </si>
  <si>
    <t>MFS Transactions</t>
  </si>
  <si>
    <t>No. of MFS Subscribers (as on)</t>
  </si>
  <si>
    <t>BD0925171029</t>
  </si>
  <si>
    <t>08.11.23</t>
  </si>
  <si>
    <t>08.11.25</t>
  </si>
  <si>
    <t>BD0928181058</t>
  </si>
  <si>
    <t>15.11.23</t>
  </si>
  <si>
    <t>15.11.28</t>
  </si>
  <si>
    <t>29.11.23</t>
  </si>
  <si>
    <t>3.75-4.00</t>
  </si>
  <si>
    <t>1.50-1.75</t>
  </si>
  <si>
    <t>1.50-2.00</t>
  </si>
  <si>
    <t>1.50-2.25</t>
  </si>
  <si>
    <t>1.50-2.50</t>
  </si>
  <si>
    <t>1.50-2.75</t>
  </si>
  <si>
    <t>2.50-3.15</t>
  </si>
  <si>
    <t>2.00-7.00</t>
  </si>
  <si>
    <t>2.50-7.10</t>
  </si>
  <si>
    <t>3.00-7.20</t>
  </si>
  <si>
    <t>2.50-5.50</t>
  </si>
  <si>
    <t>5.00-7.00</t>
  </si>
  <si>
    <t>3.00-7.00</t>
  </si>
  <si>
    <t>3.00-7.50</t>
  </si>
  <si>
    <t>0.05-3.00</t>
  </si>
  <si>
    <t>1.25-3.50</t>
  </si>
  <si>
    <t>1.50-4.00</t>
  </si>
  <si>
    <t>1.75-4.50</t>
  </si>
  <si>
    <t>3.00-5.00</t>
  </si>
  <si>
    <t>Note:  Rate of inflation (Base: 2005-06) data discontinued from April 2023 due to dropping of BBS data</t>
  </si>
  <si>
    <r>
      <t>Source</t>
    </r>
    <r>
      <rPr>
        <sz val="7"/>
        <color indexed="8"/>
        <rFont val="Times New Roman"/>
        <family val="1"/>
      </rPr>
      <t>: Bangladesh Bureau of Statistics (BBS)</t>
    </r>
  </si>
  <si>
    <t>06.12.23</t>
  </si>
  <si>
    <t>20.12.23</t>
  </si>
  <si>
    <t>BD0928221052</t>
  </si>
  <si>
    <t>13.12.23</t>
  </si>
  <si>
    <t>13.12.28</t>
  </si>
  <si>
    <t xml:space="preserve">Source  :  Department of Off-site Supervision, Bangladesh Bank                                                                                                                                  </t>
  </si>
  <si>
    <t>With effect from 14.01.24 &amp; onwards</t>
  </si>
  <si>
    <t>4.25-4.75</t>
  </si>
  <si>
    <t>8.50-9.00</t>
  </si>
  <si>
    <t xml:space="preserve">Director  (Statistics)           </t>
  </si>
  <si>
    <t>Email: nurul.islam130@bb.org.bd</t>
  </si>
  <si>
    <t>Lead Editor</t>
  </si>
  <si>
    <t>Editor</t>
  </si>
  <si>
    <t>Associate Editors</t>
  </si>
  <si>
    <t>BD0926251028</t>
  </si>
  <si>
    <t>03.01.24</t>
  </si>
  <si>
    <t>03.01.26</t>
  </si>
  <si>
    <t>17.01.24</t>
  </si>
  <si>
    <t>24.01.24</t>
  </si>
  <si>
    <t>Jute Manufactures</t>
  </si>
  <si>
    <t>Leather and Leather Manufactures</t>
  </si>
  <si>
    <t>Fish, Shrimp &amp; Prawns</t>
  </si>
  <si>
    <t xml:space="preserve">Ready made Garments    </t>
  </si>
  <si>
    <t xml:space="preserve">   Milk &amp;      Cream</t>
  </si>
  <si>
    <t>POL (Refined)</t>
  </si>
  <si>
    <t>Plastic &amp; Rubber articles</t>
  </si>
  <si>
    <t>Chemicals</t>
  </si>
  <si>
    <t>Dyeing,  Tanning etc</t>
  </si>
  <si>
    <t>Raw Cotton</t>
  </si>
  <si>
    <t>Iron,Steel and other base metals</t>
  </si>
  <si>
    <t>1. Import data are on C&amp;F/CIF basis upto June 2014 and FOB basis from July 2014 &amp; onwards</t>
  </si>
  <si>
    <t>2. EPZ import was included from BEPZA until 2020-21 and EPZ import payment was included by commodity wise from the Banking channel from 2021-22 &amp; onwards.</t>
  </si>
  <si>
    <t xml:space="preserve">STATISTICS </t>
  </si>
  <si>
    <t>1) Export other than EPZ: Statistics Department, Bangladesh Bank  </t>
  </si>
  <si>
    <t>2) Export of EPZ from 2009-10 to 2019-20: Bangladesh Export Processing Zone Authority (BEPZA) and  2020-21 to 2022-23: Statistics Department, Bangladesh Bank  </t>
  </si>
  <si>
    <t>1) Export of EPZ from 2020-21 to 2022-23 are included by commodity-wise.</t>
  </si>
  <si>
    <t>07.02.24</t>
  </si>
  <si>
    <t>BD0934311103</t>
  </si>
  <si>
    <t>22.02.24</t>
  </si>
  <si>
    <t>22.02.34</t>
  </si>
  <si>
    <t>14.02.24</t>
  </si>
  <si>
    <r>
      <t xml:space="preserve">       </t>
    </r>
    <r>
      <rPr>
        <b/>
        <sz val="5.5"/>
        <rFont val="Times New Roman"/>
        <family val="1"/>
      </rPr>
      <t>Note  :</t>
    </r>
    <r>
      <rPr>
        <sz val="5.5"/>
        <rFont val="Times New Roman"/>
        <family val="1"/>
      </rPr>
      <t xml:space="preserve">  </t>
    </r>
  </si>
  <si>
    <t>4.50-6.00</t>
  </si>
  <si>
    <t>3.25-7.00</t>
  </si>
  <si>
    <t>5.00-6.00</t>
  </si>
  <si>
    <t>3.50-7.00</t>
  </si>
  <si>
    <t>Transportation, Accomodation and Food</t>
  </si>
  <si>
    <t>Agriculture, Forestry &amp; Fishing</t>
  </si>
  <si>
    <t>13=(7+..+12)</t>
  </si>
  <si>
    <t>14=(1+6+13)</t>
  </si>
  <si>
    <t>16=(14+15)</t>
  </si>
  <si>
    <t>23=(19+..+22)</t>
  </si>
  <si>
    <t>30=(24+..+29)</t>
  </si>
  <si>
    <t>31=(18+23+30)</t>
  </si>
  <si>
    <t>33=(31+32)</t>
  </si>
  <si>
    <r>
      <t>2023-24</t>
    </r>
    <r>
      <rPr>
        <b/>
        <vertAlign val="superscript"/>
        <sz val="8"/>
        <rFont val="Times New Roman"/>
        <family val="1"/>
      </rPr>
      <t>p</t>
    </r>
  </si>
  <si>
    <t>OF BANGLADESH  (Base:2015-16)                              TABLE-IXC  (Contd.)</t>
  </si>
  <si>
    <t>OF BANGLADESH (Base:2015-16)                                    TABLE-IXC (Concld.)</t>
  </si>
  <si>
    <t>Dr. Md. Habibur Rahman</t>
  </si>
  <si>
    <t>BGSPB-IFIC</t>
  </si>
  <si>
    <t>04.01.24</t>
  </si>
  <si>
    <t>04.01.32</t>
  </si>
  <si>
    <t>Policy rate</t>
  </si>
  <si>
    <t>BGSPB(Sonali)</t>
  </si>
  <si>
    <t>04.01.33</t>
  </si>
  <si>
    <t>BGSPB(Janata)</t>
  </si>
  <si>
    <t>15.01.24</t>
  </si>
  <si>
    <t>15.01.33</t>
  </si>
  <si>
    <t>BGSPB(Prime)</t>
  </si>
  <si>
    <t>08.02.24</t>
  </si>
  <si>
    <t>08.02.33</t>
  </si>
  <si>
    <t>BGSPB(Meghna)</t>
  </si>
  <si>
    <t>11.02.24</t>
  </si>
  <si>
    <t>11.02.33</t>
  </si>
  <si>
    <t>BGSPB(NCC)</t>
  </si>
  <si>
    <t>BGSPB(Trust)</t>
  </si>
  <si>
    <t>BGSPB(One)</t>
  </si>
  <si>
    <t>BGSPB(NRB)</t>
  </si>
  <si>
    <t>12.02.24</t>
  </si>
  <si>
    <t>12.02.33</t>
  </si>
  <si>
    <t>BGSPB(Madhumoti)</t>
  </si>
  <si>
    <t>BGSPB(Midland)</t>
  </si>
  <si>
    <t>BGSPB(City)</t>
  </si>
  <si>
    <t>24.01.34</t>
  </si>
  <si>
    <t>BGSPB(Pubali)</t>
  </si>
  <si>
    <t>BGSPB(Eastern)</t>
  </si>
  <si>
    <t>29.01.24</t>
  </si>
  <si>
    <t>08.02.34</t>
  </si>
  <si>
    <t>BGSPB(UCB)</t>
  </si>
  <si>
    <t>BGSPB(Rupali)</t>
  </si>
  <si>
    <t>12.02.34</t>
  </si>
  <si>
    <t>BGSPB(MTB)</t>
  </si>
  <si>
    <t>BGSPB(BDBL)</t>
  </si>
  <si>
    <t>BGSPB(Dhaka)</t>
  </si>
  <si>
    <t>08.02.32</t>
  </si>
  <si>
    <t>BGSPB(DBBL)</t>
  </si>
  <si>
    <t>11.02.32</t>
  </si>
  <si>
    <t>BGSPB(Brac)</t>
  </si>
  <si>
    <t>BGSPB(AB)</t>
  </si>
  <si>
    <t>BGSPB(BCB)</t>
  </si>
  <si>
    <t>BGSPB(Jamuna)</t>
  </si>
  <si>
    <t>12.02.32</t>
  </si>
  <si>
    <t>BGSPB(Community)</t>
  </si>
  <si>
    <t>Agrani</t>
  </si>
  <si>
    <t>18.02.24</t>
  </si>
  <si>
    <t>18.02.33</t>
  </si>
  <si>
    <t>UCB</t>
  </si>
  <si>
    <t>18.02.34</t>
  </si>
  <si>
    <t>NRBC</t>
  </si>
  <si>
    <t>Dhaka</t>
  </si>
  <si>
    <t>City</t>
  </si>
  <si>
    <t>IBBL</t>
  </si>
  <si>
    <t>17.01.34</t>
  </si>
  <si>
    <t>Al-Arafah</t>
  </si>
  <si>
    <t>Shahjalal Islami Bank</t>
  </si>
  <si>
    <t>Exim</t>
  </si>
  <si>
    <t>Social Islami Bank</t>
  </si>
  <si>
    <t>ISIN/BOND NAME</t>
  </si>
  <si>
    <t>06.03.24</t>
  </si>
  <si>
    <t>BD0939371151</t>
  </si>
  <si>
    <t>27.03.24</t>
  </si>
  <si>
    <t>27.03.39</t>
  </si>
  <si>
    <t>6.50-9.00</t>
  </si>
  <si>
    <t>6.50-7.25</t>
  </si>
  <si>
    <t>4.50-9.50</t>
  </si>
  <si>
    <t xml:space="preserve">Source  : </t>
  </si>
  <si>
    <t>3.13-4.50</t>
  </si>
  <si>
    <t>3.63-4.63</t>
  </si>
  <si>
    <t>4.50-5.00</t>
  </si>
  <si>
    <t>2.00-5.00</t>
  </si>
  <si>
    <t>4.88-5.00</t>
  </si>
  <si>
    <t>4.65-4.90</t>
  </si>
  <si>
    <t>7.00-9.25</t>
  </si>
  <si>
    <t>8.75-9.25</t>
  </si>
  <si>
    <t>6.25-10.75</t>
  </si>
  <si>
    <t>5.50-9.50</t>
  </si>
  <si>
    <t>2.75-10.00</t>
  </si>
  <si>
    <t>0.30-6.00</t>
  </si>
  <si>
    <t>BD0926381023</t>
  </si>
  <si>
    <t>03.04.24</t>
  </si>
  <si>
    <t>03.04.26</t>
  </si>
  <si>
    <t>BD0929401059</t>
  </si>
  <si>
    <t>15.04.29</t>
  </si>
  <si>
    <t>BD0934401102</t>
  </si>
  <si>
    <t>17.04.24</t>
  </si>
  <si>
    <t>17.04.34</t>
  </si>
  <si>
    <t>24.04.24</t>
  </si>
  <si>
    <t>….</t>
  </si>
  <si>
    <t>GROSS DOMESTIC PRODUCT OF BANGLADESH AT</t>
  </si>
  <si>
    <t>BD0926421027</t>
  </si>
  <si>
    <t>08.05.24</t>
  </si>
  <si>
    <t>08.05.26</t>
  </si>
  <si>
    <t>23.05.24</t>
  </si>
  <si>
    <t>BD0929431056</t>
  </si>
  <si>
    <t>25.05.24</t>
  </si>
  <si>
    <t>25.05.29</t>
  </si>
  <si>
    <t>9.00-9.50</t>
  </si>
  <si>
    <r>
      <t>2024-25</t>
    </r>
    <r>
      <rPr>
        <vertAlign val="superscript"/>
        <sz val="8.5"/>
        <color theme="1"/>
        <rFont val="Times New Roman"/>
        <family val="1"/>
      </rPr>
      <t>P</t>
    </r>
  </si>
  <si>
    <r>
      <t>2024-25</t>
    </r>
    <r>
      <rPr>
        <vertAlign val="superscript"/>
        <sz val="8"/>
        <color theme="1"/>
        <rFont val="Times New Roman"/>
        <family val="1"/>
      </rPr>
      <t>P</t>
    </r>
  </si>
  <si>
    <t>6.50-7.50</t>
  </si>
  <si>
    <t>7.75-9.00</t>
  </si>
  <si>
    <t>9.00-10.50</t>
  </si>
  <si>
    <t>8.13-9.25</t>
  </si>
  <si>
    <t>9.75-10.25</t>
  </si>
  <si>
    <t>8.25-9.50</t>
  </si>
  <si>
    <t>12.55-13.55</t>
  </si>
  <si>
    <t xml:space="preserve">             Cards      Transactions                                                                                                                                                             </t>
  </si>
  <si>
    <t xml:space="preserve"> Usage at  ATMs       &amp; CRM</t>
  </si>
  <si>
    <t>Internet  Banking Transactions</t>
  </si>
  <si>
    <t>15.04.32</t>
  </si>
  <si>
    <t>09.04.24</t>
  </si>
  <si>
    <t>23.04.24</t>
  </si>
  <si>
    <t>BGSPB-Sonali</t>
  </si>
  <si>
    <t>BGSPB-Janata</t>
  </si>
  <si>
    <t>BGSPB-Agrani</t>
  </si>
  <si>
    <t>BGSPB-City</t>
  </si>
  <si>
    <t>BGSPB-BIFFL</t>
  </si>
  <si>
    <t>BGSPB-Dhaka</t>
  </si>
  <si>
    <t>BGSPB-BRAC</t>
  </si>
  <si>
    <t>BGSPB-PRIME</t>
  </si>
  <si>
    <t>09.04.32</t>
  </si>
  <si>
    <t>15.04.33</t>
  </si>
  <si>
    <t>BGSPB-Trust</t>
  </si>
  <si>
    <t>BGSPB-UCBL</t>
  </si>
  <si>
    <t>BGSPB-BankAsia</t>
  </si>
  <si>
    <t>BGSPB-Pubali</t>
  </si>
  <si>
    <t>BGSPB-NCCBL</t>
  </si>
  <si>
    <t>BGSPB-ONEBank</t>
  </si>
  <si>
    <t>BGSPB-Modhumoti</t>
  </si>
  <si>
    <t>BGSPB-Rupali</t>
  </si>
  <si>
    <t>BGSPB-MBL</t>
  </si>
  <si>
    <t>25.04.24</t>
  </si>
  <si>
    <t>Sabinco</t>
  </si>
  <si>
    <t>24.04.34</t>
  </si>
  <si>
    <t>25.04.34</t>
  </si>
  <si>
    <t>Islami Bank</t>
  </si>
  <si>
    <t>23.05.34</t>
  </si>
  <si>
    <t>BGSPB-AB</t>
  </si>
  <si>
    <t>BGSPB-Eastern</t>
  </si>
  <si>
    <t>BGSPB-Meghna</t>
  </si>
  <si>
    <t>BGSPB-Midland</t>
  </si>
  <si>
    <t>BGSPB-IDCOL</t>
  </si>
  <si>
    <t xml:space="preserve">     INDEX NUMBER OF ORDINARY SHARE PRICES, TURN OVER, ISSUED CAPITAL &amp; </t>
  </si>
  <si>
    <t>Citizens Bank</t>
  </si>
  <si>
    <t>12.00-14.00</t>
  </si>
  <si>
    <t>13.00-15.00</t>
  </si>
  <si>
    <t>11.00-13.00</t>
  </si>
  <si>
    <t>11.50-13.50</t>
  </si>
  <si>
    <t>12.50-14.50</t>
  </si>
  <si>
    <t>12.75-14.75</t>
  </si>
  <si>
    <t>6.00-14.00</t>
  </si>
  <si>
    <t>9.50-11.50</t>
  </si>
  <si>
    <t>11.55-12.55</t>
  </si>
  <si>
    <t>13.50-14.50</t>
  </si>
  <si>
    <t>8.38-9.63</t>
  </si>
  <si>
    <t>14.00-16.00</t>
  </si>
  <si>
    <t>11.55-13.55</t>
  </si>
  <si>
    <t>10.50-12.50</t>
  </si>
  <si>
    <t>10.50-11.50</t>
  </si>
  <si>
    <t>2.00-3.90</t>
  </si>
  <si>
    <t>13.50-15.50</t>
  </si>
  <si>
    <t>3.00-4.00</t>
  </si>
  <si>
    <t>14.00-15.00</t>
  </si>
  <si>
    <t>2.25-3.00</t>
  </si>
  <si>
    <t>2.75-4.00</t>
  </si>
  <si>
    <t>3.00-8.50</t>
  </si>
  <si>
    <t>6.00-11.00</t>
  </si>
  <si>
    <t>7.50-9.50</t>
  </si>
  <si>
    <t>5.00-14.50</t>
  </si>
  <si>
    <t>12.90-14.90</t>
  </si>
  <si>
    <t>7.50-8.00</t>
  </si>
  <si>
    <t>10.00-12.00</t>
  </si>
  <si>
    <r>
      <t>2023-24</t>
    </r>
    <r>
      <rPr>
        <b/>
        <vertAlign val="superscript"/>
        <sz val="7.5"/>
        <color theme="1"/>
        <rFont val="Times New Roman"/>
        <family val="1"/>
      </rPr>
      <t>P</t>
    </r>
  </si>
  <si>
    <t>BD0926461023</t>
  </si>
  <si>
    <t>05.06.24</t>
  </si>
  <si>
    <t>05.06.26</t>
  </si>
  <si>
    <t>BD0934481104</t>
  </si>
  <si>
    <t>20.06.24</t>
  </si>
  <si>
    <t>20.06.34</t>
  </si>
  <si>
    <t xml:space="preserve">                                                                                    BANK WISE ANNOUNCED INTEREST RATE STRUCTURE </t>
  </si>
  <si>
    <t>BD0928241159</t>
  </si>
  <si>
    <t>26.12.28</t>
  </si>
  <si>
    <t>27.06.24</t>
  </si>
  <si>
    <t>27.06.34</t>
  </si>
  <si>
    <t>27.06.33</t>
  </si>
  <si>
    <t>SPTB-BKB</t>
  </si>
  <si>
    <t>BGSPB-NRBC</t>
  </si>
  <si>
    <t>Al-Arafah Islami</t>
  </si>
  <si>
    <t>20.06.33</t>
  </si>
  <si>
    <t>SPTP BKB</t>
  </si>
  <si>
    <t>06.06.24</t>
  </si>
  <si>
    <t>06.06.34</t>
  </si>
  <si>
    <t>PROFIT RATE STRUCTURE OF THE ISLAMIC BANKS, 2023</t>
  </si>
  <si>
    <r>
      <t>2023-24</t>
    </r>
    <r>
      <rPr>
        <vertAlign val="superscript"/>
        <sz val="8"/>
        <color indexed="8"/>
        <rFont val="Times New Roman"/>
        <family val="1"/>
      </rPr>
      <t>P</t>
    </r>
  </si>
  <si>
    <t>BDS092901051</t>
  </si>
  <si>
    <t>06.06.29</t>
  </si>
  <si>
    <t>Email: fatema.fazrin@bb.org.bd</t>
  </si>
  <si>
    <t xml:space="preserve">Fatema Fazrin         </t>
  </si>
  <si>
    <t xml:space="preserve"> Statistics Department, Bangladesh Bank and EPB</t>
  </si>
  <si>
    <t>3) The Import(f.o.b) has been adjusted for freight, goods procured in ports etc.</t>
  </si>
  <si>
    <t>2) The Export (f.o.b) has been adjusted for EPZ to Bangladesh, CMT(cutting, making and trimming) exports etc.</t>
  </si>
  <si>
    <t>Profit Rate Structure of  the Islamic Banks, 2023</t>
  </si>
  <si>
    <r>
      <t>2024-25</t>
    </r>
    <r>
      <rPr>
        <b/>
        <vertAlign val="superscript"/>
        <sz val="8"/>
        <rFont val="Times New Roman"/>
        <family val="1"/>
      </rPr>
      <t>P</t>
    </r>
  </si>
  <si>
    <t>2024-25</t>
  </si>
  <si>
    <t>03.07.24</t>
  </si>
  <si>
    <t>28.07.24</t>
  </si>
  <si>
    <t>BD0944051202</t>
  </si>
  <si>
    <t>28.07.44</t>
  </si>
  <si>
    <t>… = not available</t>
  </si>
  <si>
    <t>3.50-4.50</t>
  </si>
  <si>
    <t>4.00-5.00</t>
  </si>
  <si>
    <t>7.25-10.00</t>
  </si>
  <si>
    <t>7.50-9.75</t>
  </si>
  <si>
    <t>7.50-10.67</t>
  </si>
  <si>
    <t>10.25-10.50</t>
  </si>
  <si>
    <t>8.50-10.50</t>
  </si>
  <si>
    <t>2.50-5.00</t>
  </si>
  <si>
    <t>9.00-11.00</t>
  </si>
  <si>
    <t>8.50-11.00</t>
  </si>
  <si>
    <t>0.50-6.00</t>
  </si>
  <si>
    <t>5.00-10.50</t>
  </si>
  <si>
    <t>7.00-11.00</t>
  </si>
  <si>
    <t>2.00-9.50</t>
  </si>
  <si>
    <t>6.00-12.00</t>
  </si>
  <si>
    <t>5.50-10.00</t>
  </si>
  <si>
    <t>7.50-11.00</t>
  </si>
  <si>
    <t>2.00-3.00</t>
  </si>
  <si>
    <t>4.50-7.25</t>
  </si>
  <si>
    <t>5.75-8.00</t>
  </si>
  <si>
    <t>6.00-8.50</t>
  </si>
  <si>
    <t>0.30-6.50</t>
  </si>
  <si>
    <t>4.00-13.00</t>
  </si>
  <si>
    <t>4.50-12.00</t>
  </si>
  <si>
    <t>9.00-13.00</t>
  </si>
  <si>
    <t>12.00-13.00</t>
  </si>
  <si>
    <t>12.50-15.00</t>
  </si>
  <si>
    <t>14.50-16.50</t>
  </si>
  <si>
    <t>13.00-16.00</t>
  </si>
  <si>
    <t>14.00-17.00</t>
  </si>
  <si>
    <t>12.50-15.50</t>
  </si>
  <si>
    <t>14.75-16.00</t>
  </si>
  <si>
    <t>13.75-15.50</t>
  </si>
  <si>
    <t>14.25-15.50</t>
  </si>
  <si>
    <t>13.25-14.50</t>
  </si>
  <si>
    <t>14.50-16.00</t>
  </si>
  <si>
    <t>9.90-14.50</t>
  </si>
  <si>
    <t>8.90-14.50</t>
  </si>
  <si>
    <t>14.00-14.50</t>
  </si>
  <si>
    <t>8.00-10.00</t>
  </si>
  <si>
    <t>5.50-6.50</t>
  </si>
  <si>
    <t>1.50-8.50</t>
  </si>
  <si>
    <t>4.25-9.00</t>
  </si>
  <si>
    <t>9.00-13.50</t>
  </si>
  <si>
    <r>
      <t>2024-25</t>
    </r>
    <r>
      <rPr>
        <b/>
        <vertAlign val="superscript"/>
        <sz val="9"/>
        <color theme="1"/>
        <rFont val="Times New Roman"/>
        <family val="1"/>
      </rPr>
      <t>P</t>
    </r>
  </si>
  <si>
    <t>BD0926061021</t>
  </si>
  <si>
    <t>07.08.24</t>
  </si>
  <si>
    <t>07.08.26</t>
  </si>
  <si>
    <t>14.08.24</t>
  </si>
  <si>
    <t>29.08.24</t>
  </si>
  <si>
    <t>29.08.34</t>
  </si>
  <si>
    <t>STPB BKB</t>
  </si>
  <si>
    <r>
      <t>2024-25</t>
    </r>
    <r>
      <rPr>
        <b/>
        <vertAlign val="superscript"/>
        <sz val="8.5"/>
        <color theme="1"/>
        <rFont val="Times New Roman"/>
        <family val="1"/>
      </rPr>
      <t>P</t>
    </r>
  </si>
  <si>
    <t>5.95-9.00</t>
  </si>
  <si>
    <t>3.75-10.75</t>
  </si>
  <si>
    <t>4.00-11.50</t>
  </si>
  <si>
    <t>4.50-10.50</t>
  </si>
  <si>
    <t>2.00-7.50</t>
  </si>
  <si>
    <t>12.00-13.46</t>
  </si>
  <si>
    <t>2.50-3.50</t>
  </si>
  <si>
    <t>9.00-9.75</t>
  </si>
  <si>
    <t>9.50-10.25</t>
  </si>
  <si>
    <t>9.75-10.75</t>
  </si>
  <si>
    <t>5.00-9.00</t>
  </si>
  <si>
    <t>12.75-13.00</t>
  </si>
  <si>
    <t>11.55-12.50</t>
  </si>
  <si>
    <t>13.00-14.00</t>
  </si>
  <si>
    <t>10.50-15.00</t>
  </si>
  <si>
    <t>8.00-13.50</t>
  </si>
  <si>
    <t>11.00-14.00</t>
  </si>
  <si>
    <t>4.00-14.00</t>
  </si>
  <si>
    <t>5.00-15.00</t>
  </si>
  <si>
    <t>12.55-14.55</t>
  </si>
  <si>
    <t>4.00-14.99</t>
  </si>
  <si>
    <t>9.75-11.25</t>
  </si>
  <si>
    <t>9.00-13.85</t>
  </si>
  <si>
    <r>
      <t>2024-25</t>
    </r>
    <r>
      <rPr>
        <b/>
        <vertAlign val="superscript"/>
        <sz val="7.5"/>
        <color theme="1"/>
        <rFont val="Times New Roman"/>
        <family val="1"/>
      </rPr>
      <t>P</t>
    </r>
  </si>
  <si>
    <t>04.09.24</t>
  </si>
  <si>
    <t>11.09.24</t>
  </si>
  <si>
    <t>3.75-11.00</t>
  </si>
  <si>
    <t>5.75-10.75</t>
  </si>
  <si>
    <t>5.75-11.00</t>
  </si>
  <si>
    <t>5.75-11.25</t>
  </si>
  <si>
    <t>5.50-8.00</t>
  </si>
  <si>
    <t>7.75-8.75</t>
  </si>
  <si>
    <t>8.00-8.50</t>
  </si>
  <si>
    <t>12.00-14.50</t>
  </si>
  <si>
    <t>6.00-10.00</t>
  </si>
  <si>
    <t>1300-16.00</t>
  </si>
  <si>
    <t>5.00-16.50</t>
  </si>
  <si>
    <t>8.99-10.99</t>
  </si>
  <si>
    <t xml:space="preserve">1) NBR revises and provides the export shipment data to Bangladesh Bank and EPB by adjusting multiple entries for July, 2022 to March, 2024.  </t>
  </si>
  <si>
    <t>BD0926141021</t>
  </si>
  <si>
    <t>02.10.24</t>
  </si>
  <si>
    <t>02.10.26</t>
  </si>
  <si>
    <t>BD0927141038</t>
  </si>
  <si>
    <t>02.10.27</t>
  </si>
  <si>
    <t>BD0929151050</t>
  </si>
  <si>
    <t>09.10.24</t>
  </si>
  <si>
    <t>09.10.29</t>
  </si>
  <si>
    <t>16.10.24</t>
  </si>
  <si>
    <t>30.10.24</t>
  </si>
  <si>
    <t>11.12.24</t>
  </si>
  <si>
    <t>BGSPB-Bank Asia</t>
  </si>
  <si>
    <t>BGSPB-Brac</t>
  </si>
  <si>
    <t>29.10.24</t>
  </si>
  <si>
    <t>29.10.33</t>
  </si>
  <si>
    <t>Meghna Bank</t>
  </si>
  <si>
    <t>Jamuna Bank</t>
  </si>
  <si>
    <t>One Bank</t>
  </si>
  <si>
    <t>Dhaka Bank</t>
  </si>
  <si>
    <t>Prime Bank</t>
  </si>
  <si>
    <t>Janata Bank</t>
  </si>
  <si>
    <t>Trust Bank</t>
  </si>
  <si>
    <t>UCB Bank</t>
  </si>
  <si>
    <t>Mercantile Bank</t>
  </si>
  <si>
    <t>NCC Bank</t>
  </si>
  <si>
    <t>Community Bank</t>
  </si>
  <si>
    <t>30.10.33</t>
  </si>
  <si>
    <t>30.10.34</t>
  </si>
  <si>
    <t>1.75-2.00</t>
  </si>
  <si>
    <t>2.13-9.50</t>
  </si>
  <si>
    <t>6.25-9.75</t>
  </si>
  <si>
    <t>2.88-10.00</t>
  </si>
  <si>
    <t>6.00-11.50</t>
  </si>
  <si>
    <t>8.13-8.88</t>
  </si>
  <si>
    <t>8.38-8.88</t>
  </si>
  <si>
    <t>0.25-6.00</t>
  </si>
  <si>
    <t>10.00-14.50</t>
  </si>
  <si>
    <t>13.25-15.25</t>
  </si>
  <si>
    <t>13.25-15.00</t>
  </si>
  <si>
    <t>12.28-14.75</t>
  </si>
  <si>
    <t>11.00-14.55</t>
  </si>
  <si>
    <t>7.50-15.00</t>
  </si>
  <si>
    <t>9.00-15.00</t>
  </si>
  <si>
    <t>11.03-14.55</t>
  </si>
  <si>
    <t>9.00-13.55</t>
  </si>
  <si>
    <t>iii) For Reinvested Earnings, outflows means Loss</t>
  </si>
  <si>
    <t>iv) Data has been revised as per BPM6 Guidelines from 2019 and onwards</t>
  </si>
  <si>
    <t xml:space="preserve">Export Data collected from EPB upto June, 2022.  </t>
  </si>
  <si>
    <t xml:space="preserve">1.Export: National Board of Revenue ,Compiled by Statistics Department ,Bangladesh Bank from July, 2022 and onwards. </t>
  </si>
  <si>
    <t>3. Accounts and Budgeting Department, Bangladesh Bank for foreign exchange reserves.</t>
  </si>
  <si>
    <t>2. Statistics Department, Bangladesh Bank for import data.</t>
  </si>
  <si>
    <t>Exports (fob)</t>
  </si>
  <si>
    <t>1.Including export from EPZ to Bangladesh. 2. Export Data revised by NBR from July, 2022 to June 2024.</t>
  </si>
  <si>
    <t>3.  Export data are shipment based &amp; Import data are on C&amp;F/CIF basis upto June 2014 and fob basis from July 2014 &amp; onwards.</t>
  </si>
  <si>
    <t xml:space="preserve">4. Weighted average exchange rate represents the inter-bank exchange rate. </t>
  </si>
  <si>
    <t>5. IMF Reserve Position amount is included in Foreign Exchange Reserve from April ,2018 &amp; onward.</t>
  </si>
  <si>
    <t>6. Foreign Exchange Reserves represents Total International Reserves of the country.</t>
  </si>
  <si>
    <t>13.11.24</t>
  </si>
  <si>
    <t>BD0926191026</t>
  </si>
  <si>
    <t>06.11.24</t>
  </si>
  <si>
    <t>06.11.26</t>
  </si>
  <si>
    <t>20.11.24</t>
  </si>
  <si>
    <t>BGSPB-The City</t>
  </si>
  <si>
    <t>BGSPB-Dutch Bangla</t>
  </si>
  <si>
    <t>BGSPB-Argani</t>
  </si>
  <si>
    <t>BGSPB-Sabinco</t>
  </si>
  <si>
    <t>03.11.24</t>
  </si>
  <si>
    <t>03.11.33</t>
  </si>
  <si>
    <t>03.11.34</t>
  </si>
  <si>
    <t>7.25-10.88</t>
  </si>
  <si>
    <t>7.50-11.50</t>
  </si>
  <si>
    <t>8.25-10.00</t>
  </si>
  <si>
    <t>5.25-11.00</t>
  </si>
  <si>
    <t>6.75-10.50</t>
  </si>
  <si>
    <t>7.25-10.25</t>
  </si>
  <si>
    <t>5.50-11.50</t>
  </si>
  <si>
    <t>11.00-15.00</t>
  </si>
  <si>
    <t>12.50-16.50</t>
  </si>
  <si>
    <t>13.50-16.50</t>
  </si>
  <si>
    <t>13.50-16.00</t>
  </si>
  <si>
    <t>13.00-15.50</t>
  </si>
  <si>
    <t>8.00-13.95</t>
  </si>
  <si>
    <t>9.00-14.95</t>
  </si>
  <si>
    <t>7.00-13.95</t>
  </si>
  <si>
    <t>9.00-16.00</t>
  </si>
  <si>
    <t>9.00-14.00</t>
  </si>
  <si>
    <r>
      <t>2024-25</t>
    </r>
    <r>
      <rPr>
        <vertAlign val="superscript"/>
        <sz val="8"/>
        <rFont val="Times New Roman"/>
        <family val="1"/>
      </rPr>
      <t>P</t>
    </r>
  </si>
  <si>
    <t>BD0927231037</t>
  </si>
  <si>
    <t>04.12.24</t>
  </si>
  <si>
    <t>04.12.27</t>
  </si>
  <si>
    <t>BD0929241059</t>
  </si>
  <si>
    <t>11.12.29</t>
  </si>
  <si>
    <t>18.12.24</t>
  </si>
  <si>
    <t>26.12.24</t>
  </si>
  <si>
    <t>Mohammed Rabiul Islam                            Additional Director (Statistics)</t>
  </si>
  <si>
    <t xml:space="preserve">Zulfia Abedin                                  Joint Director      </t>
  </si>
  <si>
    <t>Deputy Director</t>
  </si>
  <si>
    <t xml:space="preserve">Amin Bin Hasib     </t>
  </si>
  <si>
    <t>Email: mrabiul.islam@bb.org.bd</t>
  </si>
  <si>
    <t xml:space="preserve">Deputy Director            </t>
  </si>
  <si>
    <t>Email: zulfia.abedin@bb.org.bd</t>
  </si>
  <si>
    <t>Email: aminbin.hasib@bb.org.bd</t>
  </si>
  <si>
    <t>4.50-9.75</t>
  </si>
  <si>
    <t>1.00-7.50</t>
  </si>
  <si>
    <t>7.50-10.00</t>
  </si>
  <si>
    <t>9.50-10.75</t>
  </si>
  <si>
    <t>0.75-5.00</t>
  </si>
  <si>
    <t>4.00-12.25</t>
  </si>
  <si>
    <t>6.00-8.00</t>
  </si>
  <si>
    <t>10.15-12.15</t>
  </si>
  <si>
    <t>Sharmin Nahar                            Additional Director (Statistics)</t>
  </si>
  <si>
    <t>Email: sharmin.nahar@bb.org.bd</t>
  </si>
  <si>
    <t>BD0927271025</t>
  </si>
  <si>
    <t>08.01.25</t>
  </si>
  <si>
    <t>08.01.27</t>
  </si>
  <si>
    <t>BD0928271032</t>
  </si>
  <si>
    <t>08.01.28</t>
  </si>
  <si>
    <t>BD0935291106</t>
  </si>
  <si>
    <t>22.01.25</t>
  </si>
  <si>
    <t>22.01.35</t>
  </si>
  <si>
    <t>29.01.25</t>
  </si>
  <si>
    <t>Financial &amp; Insurance Activities</t>
  </si>
  <si>
    <t xml:space="preserve">     Broad        Money     (M3)      </t>
  </si>
  <si>
    <t xml:space="preserve">    Broad            Money         (M2)       (9+14)</t>
  </si>
  <si>
    <t xml:space="preserve">    Narrow         Money      (M1) (5+8+12)</t>
  </si>
  <si>
    <t xml:space="preserve">      End            of       Period</t>
  </si>
  <si>
    <t xml:space="preserve">  Time     Deposits</t>
  </si>
  <si>
    <t xml:space="preserve">  Demand Deposits</t>
  </si>
  <si>
    <r>
      <t xml:space="preserve">Note: </t>
    </r>
    <r>
      <rPr>
        <sz val="8"/>
        <rFont val="Times New Roman"/>
        <family val="1"/>
      </rPr>
      <t>Rate of inflation (Base: 2021-22) has been revised due to revision of BBS data.</t>
    </r>
  </si>
  <si>
    <t>10.75-12.88</t>
  </si>
  <si>
    <t>10.00-13.00</t>
  </si>
  <si>
    <t>11.75-14.00</t>
  </si>
  <si>
    <t>11.00-13.25</t>
  </si>
  <si>
    <t>13.75-15.75</t>
  </si>
  <si>
    <t>14.25-16.00</t>
  </si>
  <si>
    <t>13.75-16.00</t>
  </si>
  <si>
    <t>8.25-8.75</t>
  </si>
  <si>
    <t>8.75-9.00</t>
  </si>
  <si>
    <t>1.00-9.90</t>
  </si>
  <si>
    <t>3.00-10.00</t>
  </si>
  <si>
    <t>2.00-3.75</t>
  </si>
  <si>
    <t>2.80-3.05</t>
  </si>
  <si>
    <t>3.55-3.80</t>
  </si>
  <si>
    <t>4.55-4.80</t>
  </si>
  <si>
    <t>5.30-5.55</t>
  </si>
  <si>
    <t>5.55-5.80</t>
  </si>
  <si>
    <t>11.00-12.00</t>
  </si>
  <si>
    <t>4.25-8.88</t>
  </si>
  <si>
    <t>11.50-12.50</t>
  </si>
  <si>
    <t>8.45-9.00</t>
  </si>
  <si>
    <t>8.88-9.13</t>
  </si>
  <si>
    <t>8.88-9.25</t>
  </si>
  <si>
    <t>5.00-11.75</t>
  </si>
  <si>
    <t>6.00-11.99</t>
  </si>
  <si>
    <t>1.03-3.00</t>
  </si>
  <si>
    <t xml:space="preserve">  Currency     Outside      Banks        (3-4)</t>
  </si>
  <si>
    <t xml:space="preserve">  From    Banks</t>
  </si>
  <si>
    <t xml:space="preserve">  From       Govern-  ment</t>
  </si>
  <si>
    <t xml:space="preserve">   From    Other Financial Institutions</t>
  </si>
  <si>
    <t>BD0927311029</t>
  </si>
  <si>
    <t>05.02.25</t>
  </si>
  <si>
    <t>05.02.27</t>
  </si>
  <si>
    <t>BD0930321056</t>
  </si>
  <si>
    <t>12.02.25</t>
  </si>
  <si>
    <t>12.02.30</t>
  </si>
  <si>
    <t>19.02.25</t>
  </si>
  <si>
    <t>26.02.25</t>
  </si>
  <si>
    <t>Data Of BD(Govt) Treasury Bond updated  as on 28 February, 2025</t>
  </si>
  <si>
    <t xml:space="preserve"> Data of Bangladesh Govt. Investment Sukuk and other Treasury bond updated  as on 28 February, 2025</t>
  </si>
  <si>
    <t xml:space="preserve">    Foreign         Exchange   Reserves  </t>
  </si>
  <si>
    <t>Outstanding Credit 
(as on)</t>
  </si>
  <si>
    <r>
      <t>July</t>
    </r>
    <r>
      <rPr>
        <vertAlign val="superscript"/>
        <sz val="8"/>
        <rFont val="Times New Roman"/>
        <family val="1"/>
      </rPr>
      <t>R</t>
    </r>
  </si>
  <si>
    <r>
      <t>August</t>
    </r>
    <r>
      <rPr>
        <vertAlign val="superscript"/>
        <sz val="8"/>
        <rFont val="Times New Roman"/>
        <family val="1"/>
      </rPr>
      <t>R</t>
    </r>
  </si>
  <si>
    <r>
      <t>September</t>
    </r>
    <r>
      <rPr>
        <vertAlign val="superscript"/>
        <sz val="8"/>
        <rFont val="Times New Roman"/>
        <family val="1"/>
      </rPr>
      <t>R</t>
    </r>
  </si>
  <si>
    <r>
      <t>October</t>
    </r>
    <r>
      <rPr>
        <vertAlign val="superscript"/>
        <sz val="8"/>
        <rFont val="Times New Roman"/>
        <family val="1"/>
      </rPr>
      <t>R</t>
    </r>
  </si>
  <si>
    <r>
      <t>November</t>
    </r>
    <r>
      <rPr>
        <vertAlign val="superscript"/>
        <sz val="8"/>
        <rFont val="Times New Roman"/>
        <family val="1"/>
      </rPr>
      <t>R</t>
    </r>
  </si>
  <si>
    <t xml:space="preserve">                E-BANKING &amp; E-COMMERCE STATISTICS                   </t>
  </si>
  <si>
    <r>
      <t>January</t>
    </r>
    <r>
      <rPr>
        <vertAlign val="superscript"/>
        <sz val="8"/>
        <rFont val="Times New Roman"/>
        <family val="1"/>
      </rPr>
      <t>R</t>
    </r>
  </si>
  <si>
    <t>Dr. Muhammad Amir Hossain</t>
  </si>
  <si>
    <t xml:space="preserve">Sifat Sharfin      </t>
  </si>
  <si>
    <t>Email: sifat.sharfin@bb.org.bd</t>
  </si>
  <si>
    <t>March 2025</t>
  </si>
  <si>
    <t xml:space="preserve"> IN BANGLADESH (EXCEPT ISLAMIC BANKS), February 2025</t>
  </si>
  <si>
    <t>IN BANGLADESH (EXCEPT ISLAMIC BANKS), February 2025</t>
  </si>
  <si>
    <t>IN BANGLADESH(EXCEPT ISLAMIC BANKS), February 2025</t>
  </si>
  <si>
    <t>0.27-2.36</t>
  </si>
  <si>
    <t>3.00-4.50</t>
  </si>
  <si>
    <t>2.00-6.00</t>
  </si>
  <si>
    <t>0.63-2.76</t>
  </si>
  <si>
    <t>4.25-4.50</t>
  </si>
  <si>
    <t>4.50-6.75</t>
  </si>
  <si>
    <t>3.00-8.00</t>
  </si>
  <si>
    <t>2.83-10.29</t>
  </si>
  <si>
    <t>6.00-9.50</t>
  </si>
  <si>
    <t>8.50-9.50</t>
  </si>
  <si>
    <t>9.50-11.00</t>
  </si>
  <si>
    <t>0.20-6.80</t>
  </si>
  <si>
    <t>1.88-11.13</t>
  </si>
  <si>
    <t>4.07-10.09</t>
  </si>
  <si>
    <t>9.00-10.00</t>
  </si>
  <si>
    <t>7.00-11.25</t>
  </si>
  <si>
    <t>1.50-11.25</t>
  </si>
  <si>
    <t>3.96-10.27</t>
  </si>
  <si>
    <t>10.00-10.25</t>
  </si>
  <si>
    <t>12.00-12.50</t>
  </si>
  <si>
    <t>7.00-11.50</t>
  </si>
  <si>
    <t>1.75-10.13</t>
  </si>
  <si>
    <t>4.63-8.90</t>
  </si>
  <si>
    <t>6.86-11.52</t>
  </si>
  <si>
    <t>4.63-8.66</t>
  </si>
  <si>
    <t>6.96-11.52</t>
  </si>
  <si>
    <t xml:space="preserve"> 12.00-15.00</t>
  </si>
  <si>
    <t>11.00-13.50</t>
  </si>
  <si>
    <t>14.50-14.75</t>
  </si>
  <si>
    <t>7.22-14.50</t>
  </si>
  <si>
    <t>10.25-12.25</t>
  </si>
  <si>
    <t>13.00-15.25</t>
  </si>
  <si>
    <t>Bank-wise Announced Interest Rate Structure in Bangladesh (Except Islamic Banks), February 2025</t>
  </si>
</sst>
</file>

<file path=xl/styles.xml><?xml version="1.0" encoding="utf-8"?>
<styleSheet xmlns="http://schemas.openxmlformats.org/spreadsheetml/2006/main">
  <numFmts count="20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\(0.00\)"/>
    <numFmt numFmtId="168" formatCode="0.00;[Red]0.00"/>
    <numFmt numFmtId="169" formatCode="00000"/>
    <numFmt numFmtId="170" formatCode="\(0\)"/>
    <numFmt numFmtId="171" formatCode="dd/mm/yyyy;@"/>
    <numFmt numFmtId="172" formatCode="B1mmm/yy"/>
    <numFmt numFmtId="173" formatCode="0.0000000000000_);\(0.0000000000000\)"/>
    <numFmt numFmtId="174" formatCode="0.000000000000_);\(0.000000000000\)"/>
    <numFmt numFmtId="175" formatCode="0.00000000000"/>
    <numFmt numFmtId="176" formatCode="0E+00"/>
    <numFmt numFmtId="177" formatCode="0.00000"/>
    <numFmt numFmtId="178" formatCode="0.0000000000000"/>
    <numFmt numFmtId="179" formatCode="_(* #,##0.0000_);_(* \(#,##0.0000\);_(* &quot;-&quot;??_);_(@_)"/>
    <numFmt numFmtId="180" formatCode="_-* #,##0.00_-;\-* #,##0.00_-;_-* &quot;-&quot;??_-;_-@_-"/>
    <numFmt numFmtId="181" formatCode="#,##0.0000"/>
    <numFmt numFmtId="182" formatCode="d/mm/yyyy;@"/>
  </numFmts>
  <fonts count="20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Arial"/>
      <family val="2"/>
    </font>
    <font>
      <sz val="9"/>
      <name val="Arial"/>
      <family val="2"/>
    </font>
    <font>
      <sz val="8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name val="Times New Roman"/>
      <family val="1"/>
    </font>
    <font>
      <b/>
      <sz val="10"/>
      <color indexed="18"/>
      <name val="Times New Roman"/>
      <family val="1"/>
    </font>
    <font>
      <b/>
      <sz val="8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6.5"/>
      <color indexed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b/>
      <sz val="7"/>
      <name val="Times New Roman"/>
      <family val="1"/>
    </font>
    <font>
      <vertAlign val="subscript"/>
      <sz val="7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7.5"/>
      <name val="Times New Roman"/>
      <family val="1"/>
    </font>
    <font>
      <b/>
      <sz val="7.5"/>
      <name val="Times New Roman"/>
      <family val="1"/>
    </font>
    <font>
      <sz val="7.5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Arial"/>
      <family val="2"/>
    </font>
    <font>
      <b/>
      <sz val="8"/>
      <color indexed="18"/>
      <name val="Times New Roman"/>
      <family val="1"/>
    </font>
    <font>
      <sz val="8"/>
      <color indexed="18"/>
      <name val="Times New Roman"/>
      <family val="1"/>
    </font>
    <font>
      <b/>
      <sz val="11"/>
      <name val="Times New Roman"/>
      <family val="1"/>
    </font>
    <font>
      <sz val="8.5"/>
      <name val="Times New Roman"/>
      <family val="1"/>
    </font>
    <font>
      <b/>
      <sz val="6"/>
      <name val="Times New Roman"/>
      <family val="1"/>
    </font>
    <font>
      <vertAlign val="superscript"/>
      <sz val="6.5"/>
      <color indexed="8"/>
      <name val="Times New Roman"/>
      <family val="1"/>
    </font>
    <font>
      <b/>
      <sz val="7.5"/>
      <name val="Arial Narrow"/>
      <family val="2"/>
    </font>
    <font>
      <b/>
      <sz val="12"/>
      <color indexed="8"/>
      <name val="Calibri"/>
      <family val="2"/>
    </font>
    <font>
      <sz val="8.5"/>
      <color indexed="8"/>
      <name val="Times New Roman"/>
      <family val="1"/>
    </font>
    <font>
      <sz val="8"/>
      <name val="Arial"/>
      <family val="2"/>
    </font>
    <font>
      <sz val="9"/>
      <color indexed="8"/>
      <name val="Arial Narrow"/>
      <family val="2"/>
    </font>
    <font>
      <vertAlign val="superscript"/>
      <sz val="9"/>
      <color indexed="8"/>
      <name val="Times New Roman"/>
      <family val="1"/>
    </font>
    <font>
      <sz val="5"/>
      <color indexed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6"/>
      <color indexed="8"/>
      <name val="Times New Roman"/>
      <family val="1"/>
    </font>
    <font>
      <sz val="5"/>
      <name val="Times New Roman"/>
      <family val="1"/>
    </font>
    <font>
      <b/>
      <sz val="16"/>
      <name val="Arial"/>
      <family val="2"/>
    </font>
    <font>
      <sz val="11"/>
      <name val="Arial"/>
      <family val="2"/>
    </font>
    <font>
      <sz val="52"/>
      <name val="Arial"/>
      <family val="2"/>
    </font>
    <font>
      <sz val="7"/>
      <name val="Arial"/>
      <family val="2"/>
    </font>
    <font>
      <b/>
      <sz val="7.5"/>
      <color indexed="8"/>
      <name val="Times New Roman"/>
      <family val="1"/>
    </font>
    <font>
      <b/>
      <sz val="20"/>
      <name val="Times New Roman"/>
      <family val="1"/>
    </font>
    <font>
      <sz val="16"/>
      <name val="Arial"/>
      <family val="2"/>
    </font>
    <font>
      <sz val="22"/>
      <name val="Times New Roman"/>
      <family val="1"/>
    </font>
    <font>
      <b/>
      <sz val="10"/>
      <name val="Arial"/>
      <family val="2"/>
    </font>
    <font>
      <b/>
      <sz val="18"/>
      <name val="Times New Roman"/>
      <family val="1"/>
    </font>
    <font>
      <sz val="8"/>
      <color indexed="8"/>
      <name val="Arial Narrow"/>
      <family val="2"/>
    </font>
    <font>
      <sz val="7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7.5"/>
      <color indexed="8"/>
      <name val="Arial Narrow"/>
      <family val="2"/>
    </font>
    <font>
      <b/>
      <sz val="10.5"/>
      <color indexed="8"/>
      <name val="Arial Narrow"/>
      <family val="2"/>
    </font>
    <font>
      <b/>
      <sz val="6.5"/>
      <name val="Arial Narrow"/>
      <family val="2"/>
    </font>
    <font>
      <sz val="6.5"/>
      <name val="Arial Narrow"/>
      <family val="2"/>
    </font>
    <font>
      <b/>
      <sz val="8"/>
      <color indexed="8"/>
      <name val="Arial Narrow"/>
      <family val="2"/>
    </font>
    <font>
      <sz val="5.5"/>
      <name val="Times New Roman"/>
      <family val="1"/>
    </font>
    <font>
      <b/>
      <sz val="5.5"/>
      <name val="Times New Roman"/>
      <family val="1"/>
    </font>
    <font>
      <sz val="7"/>
      <color indexed="8"/>
      <name val="Arial Narrow"/>
      <family val="2"/>
    </font>
    <font>
      <b/>
      <vertAlign val="superscript"/>
      <sz val="9"/>
      <color indexed="8"/>
      <name val="Times New Roman"/>
      <family val="1"/>
    </font>
    <font>
      <b/>
      <sz val="8.5"/>
      <color indexed="8"/>
      <name val="Arial Narrow"/>
      <family val="2"/>
    </font>
    <font>
      <b/>
      <vertAlign val="superscript"/>
      <sz val="8.5"/>
      <color indexed="8"/>
      <name val="Arial Narrow"/>
      <family val="2"/>
    </font>
    <font>
      <b/>
      <sz val="8.25"/>
      <color indexed="8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u/>
      <sz val="8"/>
      <color rgb="FF800080"/>
      <name val="Calibri"/>
      <family val="2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u/>
      <sz val="8"/>
      <color rgb="FF0000FF"/>
      <name val="Calibri"/>
      <family val="2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7"/>
      <color rgb="FF000000"/>
      <name val="Times New Roman"/>
      <family val="1"/>
    </font>
    <font>
      <sz val="8"/>
      <color theme="1"/>
      <name val="Times New Roman"/>
      <family val="1"/>
    </font>
    <font>
      <sz val="11"/>
      <name val="Calibri"/>
      <family val="2"/>
      <scheme val="minor"/>
    </font>
    <font>
      <b/>
      <sz val="16"/>
      <color theme="0"/>
      <name val="Arial"/>
      <family val="2"/>
    </font>
    <font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rgb="FFFF0000"/>
      <name val="Times New Roman"/>
      <family val="1"/>
    </font>
    <font>
      <sz val="6.25"/>
      <color rgb="FFFF0000"/>
      <name val="Arial Narrow"/>
      <family val="2"/>
    </font>
    <font>
      <sz val="6"/>
      <color rgb="FFFF0000"/>
      <name val="Arial Narrow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6.5"/>
      <color theme="1"/>
      <name val="Times New Roman"/>
      <family val="1"/>
    </font>
    <font>
      <sz val="6"/>
      <color theme="1"/>
      <name val="Times New Roman"/>
      <family val="1"/>
    </font>
    <font>
      <sz val="7.5"/>
      <color theme="1"/>
      <name val="Times New Roman"/>
      <family val="1"/>
    </font>
    <font>
      <b/>
      <sz val="7"/>
      <color theme="1"/>
      <name val="Arial Narrow"/>
      <family val="2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sz val="8"/>
      <color rgb="FF000066"/>
      <name val="Times New Roman"/>
      <family val="1"/>
    </font>
    <font>
      <b/>
      <sz val="7.5"/>
      <color theme="1"/>
      <name val="Times New Roman"/>
      <family val="1"/>
    </font>
    <font>
      <b/>
      <sz val="52"/>
      <color theme="0"/>
      <name val="Arial"/>
      <family val="2"/>
    </font>
    <font>
      <b/>
      <sz val="36"/>
      <color theme="0"/>
      <name val="Arial Narrow"/>
      <family val="2"/>
    </font>
    <font>
      <sz val="6"/>
      <color rgb="FF000000"/>
      <name val="Times New Roman"/>
      <family val="1"/>
    </font>
    <font>
      <sz val="8.5"/>
      <color theme="1"/>
      <name val="Times New Roman"/>
      <family val="1"/>
    </font>
    <font>
      <b/>
      <sz val="12"/>
      <color indexed="18"/>
      <name val="Times New Roman"/>
      <family val="1"/>
    </font>
    <font>
      <sz val="12"/>
      <color indexed="18"/>
      <name val="Times New Roman"/>
      <family val="1"/>
    </font>
    <font>
      <sz val="11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vertAlign val="superscript"/>
      <sz val="8"/>
      <color indexed="8"/>
      <name val="Arial Narrow"/>
      <family val="2"/>
    </font>
    <font>
      <b/>
      <sz val="14"/>
      <name val="Sylfaen"/>
      <family val="1"/>
    </font>
    <font>
      <sz val="10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sz val="14"/>
      <name val="Sylfaen"/>
      <family val="1"/>
    </font>
    <font>
      <b/>
      <sz val="18"/>
      <name val="Arial"/>
      <family val="2"/>
    </font>
    <font>
      <sz val="16"/>
      <name val="Sylfaen"/>
      <family val="1"/>
    </font>
    <font>
      <b/>
      <sz val="16"/>
      <name val="Sylfaen"/>
      <family val="1"/>
    </font>
    <font>
      <b/>
      <sz val="13"/>
      <name val="Sylfaen"/>
      <family val="1"/>
    </font>
    <font>
      <sz val="13"/>
      <name val="Sylfaen"/>
      <family val="1"/>
    </font>
    <font>
      <sz val="18"/>
      <name val="Sylfaen"/>
      <family val="1"/>
    </font>
    <font>
      <b/>
      <sz val="18"/>
      <name val="Sylfae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6"/>
      <color indexed="8"/>
      <name val="Calibri"/>
      <family val="2"/>
      <scheme val="minor"/>
    </font>
    <font>
      <b/>
      <sz val="8.5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8"/>
      <color theme="1" tint="0.14999847407452621"/>
      <name val="Times New Roman"/>
      <family val="1"/>
    </font>
    <font>
      <u/>
      <sz val="10"/>
      <color rgb="FF0000FF"/>
      <name val="Arial"/>
      <family val="2"/>
    </font>
    <font>
      <b/>
      <sz val="10"/>
      <color indexed="8"/>
      <name val="Arial Narrow"/>
      <family val="2"/>
    </font>
    <font>
      <sz val="12"/>
      <color theme="1"/>
      <name val="Times New Roman"/>
      <family val="1"/>
    </font>
    <font>
      <b/>
      <sz val="6.5"/>
      <color theme="1"/>
      <name val="Arial Narrow"/>
      <family val="2"/>
    </font>
    <font>
      <vertAlign val="superscript"/>
      <sz val="8"/>
      <color indexed="8"/>
      <name val="Times New Roman"/>
      <family val="1"/>
    </font>
    <font>
      <sz val="8"/>
      <name val="Arial"/>
      <family val="1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</font>
    <font>
      <b/>
      <sz val="8.5"/>
      <color theme="1"/>
      <name val="Times New Roman"/>
      <family val="1"/>
    </font>
    <font>
      <b/>
      <vertAlign val="superscript"/>
      <sz val="8.5"/>
      <color theme="1"/>
      <name val="Times New Roman"/>
      <family val="1"/>
    </font>
    <font>
      <b/>
      <sz val="7"/>
      <color theme="1"/>
      <name val="Times New Roman"/>
      <family val="1"/>
    </font>
    <font>
      <b/>
      <sz val="6.5"/>
      <color theme="1"/>
      <name val="Times New Roman"/>
      <family val="1"/>
    </font>
    <font>
      <vertAlign val="superscript"/>
      <sz val="7"/>
      <name val="Times New Roman"/>
      <family val="1"/>
    </font>
    <font>
      <sz val="10"/>
      <color rgb="FFFF0000"/>
      <name val="Times New Roman"/>
      <family val="1"/>
    </font>
    <font>
      <b/>
      <sz val="5.5"/>
      <color theme="1"/>
      <name val="Arial Narrow"/>
      <family val="2"/>
    </font>
    <font>
      <sz val="5.5"/>
      <color theme="1"/>
      <name val="Times New Roman"/>
      <family val="1"/>
    </font>
    <font>
      <sz val="6"/>
      <name val="Arial"/>
      <family val="2"/>
    </font>
    <font>
      <b/>
      <i/>
      <sz val="16"/>
      <name val="Sylfaen"/>
      <family val="1"/>
    </font>
    <font>
      <b/>
      <sz val="14"/>
      <color rgb="FF000007"/>
      <name val="Sylfaen"/>
      <family val="1"/>
    </font>
    <font>
      <sz val="14"/>
      <name val="Arial"/>
      <family val="2"/>
    </font>
    <font>
      <b/>
      <sz val="7.75"/>
      <color theme="1"/>
      <name val="Times New Roman"/>
      <family val="1"/>
    </font>
    <font>
      <sz val="7.75"/>
      <color theme="1"/>
      <name val="Times New Roman"/>
      <family val="1"/>
    </font>
    <font>
      <b/>
      <sz val="13.5"/>
      <color theme="1"/>
      <name val="Times New Roman"/>
      <family val="1"/>
    </font>
    <font>
      <sz val="5"/>
      <name val="Arial"/>
      <family val="2"/>
    </font>
    <font>
      <sz val="11"/>
      <color theme="1"/>
      <name val="Calibri"/>
      <family val="2"/>
    </font>
    <font>
      <sz val="5.5"/>
      <name val="Arial"/>
      <family val="2"/>
    </font>
    <font>
      <b/>
      <sz val="11.5"/>
      <name val="Times New Roman"/>
      <family val="1"/>
    </font>
    <font>
      <sz val="9.5"/>
      <name val="Times New Roman"/>
      <family val="1"/>
    </font>
    <font>
      <sz val="9.5"/>
      <name val="Arial"/>
      <family val="2"/>
    </font>
    <font>
      <vertAlign val="superscript"/>
      <sz val="8"/>
      <color theme="1"/>
      <name val="Times New Roman"/>
      <family val="1"/>
    </font>
    <font>
      <vertAlign val="superscript"/>
      <sz val="8.5"/>
      <color theme="1"/>
      <name val="Times New Roman"/>
      <family val="1"/>
    </font>
    <font>
      <b/>
      <vertAlign val="superscript"/>
      <sz val="7.5"/>
      <color theme="1"/>
      <name val="Times New Roman"/>
      <family val="1"/>
    </font>
    <font>
      <sz val="7.25"/>
      <name val="Times New Roman"/>
      <family val="1"/>
    </font>
    <font>
      <sz val="10"/>
      <color indexed="8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7D7D7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76">
    <xf numFmtId="0" fontId="0" fillId="0" borderId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" fillId="0" borderId="0"/>
    <xf numFmtId="0" fontId="172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" fillId="0" borderId="0"/>
    <xf numFmtId="180" fontId="3" fillId="0" borderId="0" applyFont="0" applyFill="0" applyBorder="0" applyAlignment="0" applyProtection="0"/>
    <xf numFmtId="0" fontId="174" fillId="0" borderId="0"/>
    <xf numFmtId="0" fontId="1" fillId="0" borderId="0"/>
    <xf numFmtId="0" fontId="1" fillId="0" borderId="0"/>
    <xf numFmtId="0" fontId="7" fillId="0" borderId="0"/>
    <xf numFmtId="0" fontId="175" fillId="0" borderId="0"/>
    <xf numFmtId="0" fontId="173" fillId="0" borderId="0"/>
    <xf numFmtId="0" fontId="1" fillId="0" borderId="0"/>
    <xf numFmtId="0" fontId="175" fillId="0" borderId="0"/>
    <xf numFmtId="0" fontId="173" fillId="0" borderId="0"/>
    <xf numFmtId="0" fontId="1" fillId="0" borderId="0"/>
    <xf numFmtId="0" fontId="175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92" fillId="0" borderId="0"/>
    <xf numFmtId="0" fontId="192" fillId="0" borderId="0"/>
    <xf numFmtId="0" fontId="192" fillId="0" borderId="0"/>
    <xf numFmtId="180" fontId="3" fillId="0" borderId="0" applyFill="0" applyBorder="0" applyAlignment="0" applyProtection="0"/>
    <xf numFmtId="0" fontId="201" fillId="0" borderId="0">
      <alignment vertical="top"/>
    </xf>
    <xf numFmtId="0" fontId="201" fillId="0" borderId="0">
      <alignment vertical="top"/>
    </xf>
    <xf numFmtId="0" fontId="201" fillId="0" borderId="0">
      <alignment vertical="top"/>
    </xf>
    <xf numFmtId="0" fontId="201" fillId="0" borderId="0">
      <alignment vertical="top"/>
    </xf>
    <xf numFmtId="0" fontId="90" fillId="0" borderId="0"/>
  </cellStyleXfs>
  <cellXfs count="2585">
    <xf numFmtId="0" fontId="0" fillId="0" borderId="0" xfId="0"/>
    <xf numFmtId="0" fontId="5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2" fontId="14" fillId="0" borderId="0" xfId="0" applyNumberFormat="1" applyFont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Border="1"/>
    <xf numFmtId="0" fontId="13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23" fillId="0" borderId="0" xfId="0" applyFont="1"/>
    <xf numFmtId="0" fontId="25" fillId="0" borderId="0" xfId="0" applyFont="1"/>
    <xf numFmtId="2" fontId="13" fillId="0" borderId="0" xfId="0" applyNumberFormat="1" applyFont="1" applyBorder="1" applyAlignment="1">
      <alignment horizontal="center" wrapText="1"/>
    </xf>
    <xf numFmtId="2" fontId="13" fillId="0" borderId="0" xfId="0" applyNumberFormat="1" applyFont="1" applyFill="1" applyBorder="1" applyAlignment="1">
      <alignment horizontal="center" wrapText="1"/>
    </xf>
    <xf numFmtId="2" fontId="15" fillId="0" borderId="0" xfId="0" applyNumberFormat="1" applyFont="1" applyBorder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wrapText="1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0" fontId="26" fillId="0" borderId="0" xfId="0" applyFont="1"/>
    <xf numFmtId="0" fontId="14" fillId="0" borderId="0" xfId="0" applyFont="1"/>
    <xf numFmtId="0" fontId="19" fillId="0" borderId="0" xfId="0" applyFont="1" applyBorder="1" applyAlignment="1">
      <alignment wrapText="1"/>
    </xf>
    <xf numFmtId="0" fontId="32" fillId="0" borderId="0" xfId="0" applyFont="1"/>
    <xf numFmtId="0" fontId="32" fillId="0" borderId="0" xfId="0" applyFont="1" applyBorder="1"/>
    <xf numFmtId="0" fontId="15" fillId="0" borderId="0" xfId="0" applyFont="1" applyBorder="1" applyAlignment="1">
      <alignment horizontal="right"/>
    </xf>
    <xf numFmtId="0" fontId="33" fillId="0" borderId="0" xfId="0" applyFont="1" applyAlignment="1"/>
    <xf numFmtId="0" fontId="33" fillId="0" borderId="0" xfId="0" applyFont="1"/>
    <xf numFmtId="164" fontId="15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3" fillId="0" borderId="0" xfId="0" applyFont="1" applyBorder="1"/>
    <xf numFmtId="0" fontId="13" fillId="0" borderId="0" xfId="0" applyFont="1" applyBorder="1"/>
    <xf numFmtId="0" fontId="15" fillId="0" borderId="0" xfId="0" applyFont="1" applyAlignment="1">
      <alignment horizontal="right" wrapText="1"/>
    </xf>
    <xf numFmtId="0" fontId="23" fillId="0" borderId="2" xfId="0" applyFont="1" applyBorder="1" applyAlignment="1">
      <alignment horizontal="center"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23" fillId="0" borderId="0" xfId="0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9" fontId="15" fillId="0" borderId="0" xfId="0" applyNumberFormat="1" applyFont="1"/>
    <xf numFmtId="0" fontId="30" fillId="0" borderId="0" xfId="0" applyFont="1" applyBorder="1" applyAlignment="1">
      <alignment wrapText="1"/>
    </xf>
    <xf numFmtId="0" fontId="17" fillId="0" borderId="0" xfId="0" applyFont="1" applyBorder="1"/>
    <xf numFmtId="0" fontId="14" fillId="0" borderId="0" xfId="0" applyFont="1" applyBorder="1" applyAlignment="1"/>
    <xf numFmtId="16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29" fillId="0" borderId="0" xfId="0" applyFont="1" applyBorder="1"/>
    <xf numFmtId="0" fontId="30" fillId="0" borderId="0" xfId="0" applyFont="1" applyBorder="1" applyAlignment="1"/>
    <xf numFmtId="0" fontId="28" fillId="0" borderId="0" xfId="0" applyFont="1" applyBorder="1" applyAlignment="1"/>
    <xf numFmtId="0" fontId="16" fillId="0" borderId="0" xfId="0" applyFont="1" applyBorder="1"/>
    <xf numFmtId="0" fontId="13" fillId="0" borderId="0" xfId="0" applyFont="1" applyBorder="1" applyAlignment="1">
      <alignment horizontal="left"/>
    </xf>
    <xf numFmtId="0" fontId="19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0" fontId="7" fillId="0" borderId="0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8" fillId="0" borderId="0" xfId="0" applyFont="1" applyBorder="1" applyAlignment="1">
      <alignment wrapText="1"/>
    </xf>
    <xf numFmtId="0" fontId="28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37" fillId="0" borderId="0" xfId="0" applyFont="1"/>
    <xf numFmtId="0" fontId="17" fillId="0" borderId="0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vertical="center"/>
    </xf>
    <xf numFmtId="0" fontId="38" fillId="0" borderId="0" xfId="0" applyFont="1"/>
    <xf numFmtId="0" fontId="14" fillId="0" borderId="0" xfId="0" applyFont="1" applyAlignment="1">
      <alignment horizontal="center"/>
    </xf>
    <xf numFmtId="0" fontId="13" fillId="0" borderId="2" xfId="0" applyFont="1" applyBorder="1" applyAlignment="1">
      <alignment wrapText="1"/>
    </xf>
    <xf numFmtId="2" fontId="15" fillId="0" borderId="0" xfId="0" applyNumberFormat="1" applyFont="1"/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49" fontId="2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  <xf numFmtId="49" fontId="14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23" fillId="0" borderId="0" xfId="0" applyFont="1" applyAlignment="1">
      <alignment vertical="center"/>
    </xf>
    <xf numFmtId="49" fontId="14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42" fillId="0" borderId="0" xfId="0" applyFont="1"/>
    <xf numFmtId="0" fontId="29" fillId="0" borderId="0" xfId="0" applyFont="1" applyAlignment="1">
      <alignment wrapText="1"/>
    </xf>
    <xf numFmtId="0" fontId="9" fillId="0" borderId="0" xfId="0" applyFont="1" applyAlignment="1">
      <alignment vertical="center"/>
    </xf>
    <xf numFmtId="2" fontId="19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  <xf numFmtId="2" fontId="18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0" fontId="44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17" fillId="0" borderId="0" xfId="0" applyFont="1" applyBorder="1" applyAlignment="1"/>
    <xf numFmtId="0" fontId="19" fillId="0" borderId="0" xfId="0" applyFont="1" applyBorder="1" applyAlignment="1">
      <alignment horizontal="center" vertical="top" wrapText="1"/>
    </xf>
    <xf numFmtId="0" fontId="13" fillId="0" borderId="0" xfId="0" applyFont="1" applyAlignment="1"/>
    <xf numFmtId="0" fontId="31" fillId="0" borderId="0" xfId="0" applyFont="1" applyBorder="1"/>
    <xf numFmtId="0" fontId="13" fillId="0" borderId="1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28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/>
    </xf>
    <xf numFmtId="0" fontId="21" fillId="0" borderId="0" xfId="0" applyFont="1" applyAlignment="1">
      <alignment horizontal="right" vertical="center" wrapText="1" indent="1"/>
    </xf>
    <xf numFmtId="0" fontId="29" fillId="0" borderId="0" xfId="0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Border="1"/>
    <xf numFmtId="0" fontId="28" fillId="0" borderId="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9" fontId="33" fillId="0" borderId="0" xfId="0" applyNumberFormat="1" applyFont="1" applyBorder="1" applyAlignment="1">
      <alignment wrapText="1"/>
    </xf>
    <xf numFmtId="0" fontId="2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horizontal="center" wrapText="1"/>
    </xf>
    <xf numFmtId="2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2" fontId="2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Border="1"/>
    <xf numFmtId="1" fontId="16" fillId="0" borderId="0" xfId="0" applyNumberFormat="1" applyFont="1" applyBorder="1" applyAlignment="1">
      <alignment horizontal="center" wrapText="1"/>
    </xf>
    <xf numFmtId="2" fontId="15" fillId="0" borderId="0" xfId="0" applyNumberFormat="1" applyFont="1" applyBorder="1" applyAlignment="1">
      <alignment horizontal="left"/>
    </xf>
    <xf numFmtId="0" fontId="21" fillId="0" borderId="0" xfId="196" applyFont="1" applyAlignment="1">
      <alignment wrapText="1"/>
    </xf>
    <xf numFmtId="0" fontId="21" fillId="0" borderId="0" xfId="196" applyFont="1" applyAlignment="1">
      <alignment horizontal="right"/>
    </xf>
    <xf numFmtId="0" fontId="51" fillId="0" borderId="0" xfId="0" applyFont="1"/>
    <xf numFmtId="0" fontId="52" fillId="0" borderId="0" xfId="0" applyFont="1"/>
    <xf numFmtId="0" fontId="40" fillId="0" borderId="0" xfId="0" applyFont="1" applyBorder="1" applyAlignment="1">
      <alignment horizontal="left" wrapText="1"/>
    </xf>
    <xf numFmtId="0" fontId="15" fillId="0" borderId="0" xfId="196" applyFont="1" applyBorder="1" applyAlignment="1">
      <alignment horizontal="left"/>
    </xf>
    <xf numFmtId="0" fontId="40" fillId="0" borderId="0" xfId="0" applyFont="1" applyBorder="1" applyAlignment="1">
      <alignment horizontal="center" wrapText="1"/>
    </xf>
    <xf numFmtId="2" fontId="40" fillId="0" borderId="0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right" wrapText="1"/>
    </xf>
    <xf numFmtId="0" fontId="38" fillId="0" borderId="0" xfId="0" applyFont="1" applyBorder="1"/>
    <xf numFmtId="2" fontId="13" fillId="0" borderId="0" xfId="0" applyNumberFormat="1" applyFont="1" applyBorder="1" applyAlignment="1">
      <alignment horizontal="center"/>
    </xf>
    <xf numFmtId="0" fontId="20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2" fontId="15" fillId="0" borderId="0" xfId="0" applyNumberFormat="1" applyFont="1" applyBorder="1"/>
    <xf numFmtId="0" fontId="26" fillId="0" borderId="0" xfId="0" applyFont="1" applyFill="1" applyBorder="1" applyAlignment="1">
      <alignment wrapText="1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/>
    <xf numFmtId="0" fontId="21" fillId="0" borderId="0" xfId="0" applyFont="1" applyFill="1" applyBorder="1" applyAlignment="1">
      <alignment wrapText="1"/>
    </xf>
    <xf numFmtId="0" fontId="32" fillId="0" borderId="0" xfId="0" applyFont="1" applyFill="1"/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Fill="1"/>
    <xf numFmtId="0" fontId="29" fillId="0" borderId="0" xfId="0" applyFont="1" applyFill="1" applyBorder="1"/>
    <xf numFmtId="0" fontId="2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3" fillId="0" borderId="0" xfId="0" applyFont="1" applyFill="1" applyBorder="1" applyAlignment="1"/>
    <xf numFmtId="0" fontId="14" fillId="0" borderId="0" xfId="0" applyFont="1" applyFill="1" applyBorder="1"/>
    <xf numFmtId="164" fontId="15" fillId="0" borderId="0" xfId="0" applyNumberFormat="1" applyFont="1" applyFill="1"/>
    <xf numFmtId="2" fontId="15" fillId="0" borderId="0" xfId="0" applyNumberFormat="1" applyFont="1" applyBorder="1" applyAlignment="1"/>
    <xf numFmtId="0" fontId="29" fillId="0" borderId="0" xfId="0" applyFont="1" applyAlignment="1">
      <alignment vertical="center" wrapText="1"/>
    </xf>
    <xf numFmtId="2" fontId="7" fillId="0" borderId="0" xfId="0" applyNumberFormat="1" applyFont="1" applyBorder="1" applyAlignment="1">
      <alignment horizontal="center"/>
    </xf>
    <xf numFmtId="0" fontId="22" fillId="0" borderId="0" xfId="0" applyFont="1" applyAlignment="1">
      <alignment wrapText="1"/>
    </xf>
    <xf numFmtId="0" fontId="16" fillId="0" borderId="0" xfId="0" applyFont="1" applyAlignment="1">
      <alignment horizontal="left" vertical="justify" wrapText="1"/>
    </xf>
    <xf numFmtId="0" fontId="16" fillId="0" borderId="0" xfId="0" applyFont="1" applyAlignment="1">
      <alignment vertical="justify" wrapText="1"/>
    </xf>
    <xf numFmtId="0" fontId="7" fillId="0" borderId="0" xfId="0" applyFont="1" applyAlignment="1">
      <alignment vertical="justify"/>
    </xf>
    <xf numFmtId="0" fontId="16" fillId="0" borderId="0" xfId="0" applyFont="1" applyFill="1" applyAlignment="1">
      <alignment vertical="justify" wrapText="1"/>
    </xf>
    <xf numFmtId="0" fontId="0" fillId="0" borderId="0" xfId="0" applyFill="1"/>
    <xf numFmtId="0" fontId="0" fillId="0" borderId="0" xfId="0" applyFill="1" applyBorder="1"/>
    <xf numFmtId="0" fontId="29" fillId="0" borderId="0" xfId="0" applyFont="1" applyAlignment="1"/>
    <xf numFmtId="0" fontId="7" fillId="0" borderId="0" xfId="0" applyFont="1" applyAlignment="1"/>
    <xf numFmtId="0" fontId="58" fillId="0" borderId="0" xfId="0" applyFont="1" applyAlignment="1"/>
    <xf numFmtId="0" fontId="23" fillId="0" borderId="0" xfId="0" applyFont="1" applyFill="1"/>
    <xf numFmtId="0" fontId="23" fillId="0" borderId="0" xfId="0" applyFont="1" applyFill="1" applyBorder="1"/>
    <xf numFmtId="0" fontId="57" fillId="0" borderId="0" xfId="0" applyFont="1" applyAlignment="1"/>
    <xf numFmtId="0" fontId="4" fillId="0" borderId="0" xfId="173" applyAlignment="1" applyProtection="1"/>
    <xf numFmtId="0" fontId="0" fillId="2" borderId="0" xfId="0" applyFill="1"/>
    <xf numFmtId="0" fontId="0" fillId="2" borderId="0" xfId="0" applyFill="1" applyBorder="1"/>
    <xf numFmtId="0" fontId="30" fillId="0" borderId="0" xfId="0" applyFont="1" applyBorder="1" applyAlignment="1">
      <alignment horizontal="left"/>
    </xf>
    <xf numFmtId="0" fontId="0" fillId="0" borderId="0" xfId="0" applyBorder="1"/>
    <xf numFmtId="0" fontId="19" fillId="0" borderId="2" xfId="0" applyFont="1" applyBorder="1" applyAlignment="1">
      <alignment vertical="center" wrapText="1"/>
    </xf>
    <xf numFmtId="0" fontId="59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center"/>
    </xf>
    <xf numFmtId="0" fontId="18" fillId="0" borderId="0" xfId="0" applyFont="1" applyBorder="1" applyAlignment="1">
      <alignment wrapText="1"/>
    </xf>
    <xf numFmtId="0" fontId="60" fillId="0" borderId="0" xfId="0" applyFont="1"/>
    <xf numFmtId="0" fontId="56" fillId="0" borderId="0" xfId="0" applyFont="1" applyBorder="1" applyAlignment="1">
      <alignment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19" fillId="0" borderId="0" xfId="0" applyFont="1" applyAlignment="1"/>
    <xf numFmtId="0" fontId="18" fillId="0" borderId="0" xfId="0" applyFont="1" applyBorder="1"/>
    <xf numFmtId="0" fontId="26" fillId="0" borderId="0" xfId="0" applyFont="1" applyBorder="1" applyAlignment="1">
      <alignment horizontal="left"/>
    </xf>
    <xf numFmtId="0" fontId="60" fillId="0" borderId="0" xfId="0" applyFont="1" applyAlignment="1">
      <alignment vertical="center"/>
    </xf>
    <xf numFmtId="0" fontId="15" fillId="0" borderId="0" xfId="0" applyFont="1" applyFill="1" applyBorder="1" applyAlignment="1">
      <alignment horizontal="right"/>
    </xf>
    <xf numFmtId="2" fontId="110" fillId="0" borderId="0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14" fillId="0" borderId="0" xfId="0" applyFont="1" applyFill="1"/>
    <xf numFmtId="0" fontId="52" fillId="0" borderId="0" xfId="0" applyFont="1" applyBorder="1"/>
    <xf numFmtId="164" fontId="15" fillId="0" borderId="0" xfId="0" applyNumberFormat="1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2" fontId="15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wrapText="1"/>
    </xf>
    <xf numFmtId="0" fontId="64" fillId="0" borderId="0" xfId="0" applyFont="1"/>
    <xf numFmtId="0" fontId="23" fillId="0" borderId="0" xfId="196" applyFont="1" applyFill="1" applyBorder="1" applyAlignment="1">
      <alignment horizontal="left"/>
    </xf>
    <xf numFmtId="0" fontId="15" fillId="0" borderId="0" xfId="196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5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2" fontId="13" fillId="0" borderId="0" xfId="0" applyNumberFormat="1" applyFont="1" applyBorder="1" applyAlignment="1">
      <alignment horizontal="left" wrapText="1"/>
    </xf>
    <xf numFmtId="2" fontId="1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37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33" fillId="0" borderId="0" xfId="0" applyFont="1" applyFill="1"/>
    <xf numFmtId="0" fontId="15" fillId="0" borderId="0" xfId="0" applyFont="1" applyFill="1" applyAlignment="1"/>
    <xf numFmtId="0" fontId="33" fillId="0" borderId="0" xfId="0" applyFont="1" applyFill="1" applyAlignment="1">
      <alignment vertical="center"/>
    </xf>
    <xf numFmtId="0" fontId="60" fillId="0" borderId="0" xfId="0" applyFont="1" applyFill="1"/>
    <xf numFmtId="0" fontId="60" fillId="0" borderId="0" xfId="0" applyFont="1" applyFill="1" applyAlignment="1"/>
    <xf numFmtId="0" fontId="33" fillId="0" borderId="0" xfId="0" applyFont="1" applyFill="1" applyAlignment="1"/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/>
    <xf numFmtId="0" fontId="56" fillId="0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left" wrapText="1"/>
    </xf>
    <xf numFmtId="0" fontId="38" fillId="0" borderId="0" xfId="0" applyFont="1" applyFill="1"/>
    <xf numFmtId="0" fontId="38" fillId="0" borderId="0" xfId="0" applyFont="1" applyFill="1" applyAlignment="1"/>
    <xf numFmtId="0" fontId="38" fillId="0" borderId="0" xfId="0" applyFont="1" applyFill="1" applyBorder="1"/>
    <xf numFmtId="0" fontId="38" fillId="0" borderId="0" xfId="0" applyFont="1" applyFill="1" applyBorder="1" applyAlignment="1"/>
    <xf numFmtId="0" fontId="33" fillId="0" borderId="0" xfId="0" applyFont="1" applyFill="1" applyBorder="1"/>
    <xf numFmtId="0" fontId="14" fillId="0" borderId="0" xfId="0" applyFont="1" applyFill="1" applyBorder="1" applyAlignment="1">
      <alignment horizontal="right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/>
    <xf numFmtId="0" fontId="33" fillId="0" borderId="0" xfId="0" applyFont="1" applyFill="1" applyAlignment="1">
      <alignment horizontal="center"/>
    </xf>
    <xf numFmtId="2" fontId="33" fillId="0" borderId="0" xfId="0" applyNumberFormat="1" applyFont="1" applyFill="1" applyAlignment="1">
      <alignment horizontal="center"/>
    </xf>
    <xf numFmtId="164" fontId="15" fillId="34" borderId="0" xfId="0" applyNumberFormat="1" applyFont="1" applyFill="1" applyBorder="1" applyAlignment="1">
      <alignment horizontal="left" vertical="center" wrapText="1"/>
    </xf>
    <xf numFmtId="164" fontId="15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 wrapText="1"/>
    </xf>
    <xf numFmtId="1" fontId="15" fillId="34" borderId="0" xfId="0" applyNumberFormat="1" applyFont="1" applyFill="1" applyBorder="1" applyAlignment="1">
      <alignment horizontal="center" vertical="center" wrapText="1"/>
    </xf>
    <xf numFmtId="2" fontId="15" fillId="34" borderId="0" xfId="0" applyNumberFormat="1" applyFont="1" applyFill="1" applyAlignment="1">
      <alignment horizontal="center" vertical="center"/>
    </xf>
    <xf numFmtId="164" fontId="15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/>
    </xf>
    <xf numFmtId="1" fontId="15" fillId="34" borderId="0" xfId="0" applyNumberFormat="1" applyFont="1" applyFill="1" applyBorder="1" applyAlignment="1">
      <alignment horizontal="center" vertical="center"/>
    </xf>
    <xf numFmtId="164" fontId="15" fillId="34" borderId="0" xfId="0" applyNumberFormat="1" applyFont="1" applyFill="1" applyBorder="1" applyAlignment="1">
      <alignment horizontal="left" wrapText="1"/>
    </xf>
    <xf numFmtId="0" fontId="15" fillId="34" borderId="0" xfId="0" applyFont="1" applyFill="1" applyBorder="1" applyAlignment="1">
      <alignment horizontal="center"/>
    </xf>
    <xf numFmtId="164" fontId="15" fillId="34" borderId="0" xfId="0" applyNumberFormat="1" applyFont="1" applyFill="1" applyBorder="1" applyAlignment="1">
      <alignment horizontal="center" wrapText="1"/>
    </xf>
    <xf numFmtId="2" fontId="15" fillId="34" borderId="0" xfId="0" applyNumberFormat="1" applyFont="1" applyFill="1" applyBorder="1" applyAlignment="1">
      <alignment horizontal="center"/>
    </xf>
    <xf numFmtId="1" fontId="15" fillId="34" borderId="0" xfId="0" applyNumberFormat="1" applyFont="1" applyFill="1" applyBorder="1" applyAlignment="1">
      <alignment horizontal="center"/>
    </xf>
    <xf numFmtId="2" fontId="15" fillId="34" borderId="0" xfId="0" applyNumberFormat="1" applyFont="1" applyFill="1" applyAlignment="1">
      <alignment horizontal="center"/>
    </xf>
    <xf numFmtId="2" fontId="23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/>
    <xf numFmtId="0" fontId="15" fillId="34" borderId="0" xfId="0" applyFont="1" applyFill="1" applyBorder="1" applyAlignment="1">
      <alignment horizontal="right"/>
    </xf>
    <xf numFmtId="0" fontId="23" fillId="34" borderId="0" xfId="0" applyFont="1" applyFill="1" applyBorder="1"/>
    <xf numFmtId="0" fontId="23" fillId="34" borderId="0" xfId="0" applyFont="1" applyFill="1" applyBorder="1" applyAlignment="1">
      <alignment horizontal="right"/>
    </xf>
    <xf numFmtId="0" fontId="15" fillId="34" borderId="0" xfId="0" applyFont="1" applyFill="1" applyBorder="1" applyAlignment="1">
      <alignment horizontal="justify" wrapText="1"/>
    </xf>
    <xf numFmtId="0" fontId="15" fillId="34" borderId="0" xfId="0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 wrapText="1"/>
    </xf>
    <xf numFmtId="0" fontId="13" fillId="34" borderId="0" xfId="0" applyFont="1" applyFill="1" applyBorder="1" applyAlignment="1">
      <alignment horizontal="right" wrapText="1"/>
    </xf>
    <xf numFmtId="0" fontId="15" fillId="34" borderId="0" xfId="0" applyFont="1" applyFill="1" applyBorder="1" applyAlignment="1">
      <alignment horizontal="left"/>
    </xf>
    <xf numFmtId="0" fontId="15" fillId="34" borderId="0" xfId="0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wrapText="1"/>
    </xf>
    <xf numFmtId="0" fontId="23" fillId="34" borderId="0" xfId="196" applyFont="1" applyFill="1" applyBorder="1" applyAlignment="1">
      <alignment horizontal="left"/>
    </xf>
    <xf numFmtId="0" fontId="15" fillId="34" borderId="0" xfId="196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/>
    </xf>
    <xf numFmtId="1" fontId="13" fillId="34" borderId="0" xfId="0" applyNumberFormat="1" applyFont="1" applyFill="1" applyBorder="1" applyAlignment="1">
      <alignment horizontal="left" wrapText="1"/>
    </xf>
    <xf numFmtId="1" fontId="13" fillId="34" borderId="0" xfId="0" applyNumberFormat="1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wrapText="1"/>
    </xf>
    <xf numFmtId="0" fontId="15" fillId="34" borderId="0" xfId="0" applyFont="1" applyFill="1" applyBorder="1" applyAlignment="1">
      <alignment horizontal="left" vertical="center" wrapText="1"/>
    </xf>
    <xf numFmtId="0" fontId="15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right" vertical="center" wrapText="1"/>
    </xf>
    <xf numFmtId="0" fontId="15" fillId="34" borderId="0" xfId="0" applyFont="1" applyFill="1" applyBorder="1" applyAlignment="1">
      <alignment vertical="center"/>
    </xf>
    <xf numFmtId="0" fontId="16" fillId="34" borderId="0" xfId="0" applyFont="1" applyFill="1" applyBorder="1" applyAlignment="1">
      <alignment horizontal="center" wrapText="1"/>
    </xf>
    <xf numFmtId="2" fontId="16" fillId="34" borderId="0" xfId="0" applyNumberFormat="1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left" wrapText="1"/>
    </xf>
    <xf numFmtId="0" fontId="29" fillId="34" borderId="0" xfId="0" applyFont="1" applyFill="1" applyBorder="1"/>
    <xf numFmtId="0" fontId="29" fillId="34" borderId="0" xfId="0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 wrapText="1"/>
    </xf>
    <xf numFmtId="1" fontId="16" fillId="34" borderId="0" xfId="0" applyNumberFormat="1" applyFont="1" applyFill="1" applyBorder="1" applyAlignment="1">
      <alignment horizontal="center" wrapText="1"/>
    </xf>
    <xf numFmtId="2" fontId="13" fillId="34" borderId="0" xfId="0" applyNumberFormat="1" applyFont="1" applyFill="1" applyBorder="1" applyAlignment="1">
      <alignment horizontal="left" wrapText="1"/>
    </xf>
    <xf numFmtId="2" fontId="110" fillId="0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Border="1" applyAlignment="1">
      <alignment horizontal="center" vertical="center"/>
    </xf>
    <xf numFmtId="2" fontId="23" fillId="34" borderId="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2" fontId="13" fillId="34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wrapText="1"/>
    </xf>
    <xf numFmtId="0" fontId="16" fillId="0" borderId="6" xfId="0" applyFont="1" applyBorder="1" applyAlignment="1">
      <alignment vertical="justify" wrapText="1"/>
    </xf>
    <xf numFmtId="0" fontId="13" fillId="0" borderId="0" xfId="0" applyFont="1" applyFill="1" applyBorder="1" applyAlignment="1">
      <alignment horizontal="left" vertical="top" wrapText="1"/>
    </xf>
    <xf numFmtId="164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13" fillId="0" borderId="0" xfId="0" applyFont="1" applyFill="1" applyBorder="1" applyAlignment="1">
      <alignment horizontal="left"/>
    </xf>
    <xf numFmtId="0" fontId="30" fillId="0" borderId="0" xfId="0" applyFont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11" fillId="0" borderId="0" xfId="0" applyFont="1" applyFill="1" applyBorder="1"/>
    <xf numFmtId="0" fontId="63" fillId="0" borderId="0" xfId="0" applyFont="1" applyFill="1" applyBorder="1"/>
    <xf numFmtId="0" fontId="112" fillId="0" borderId="0" xfId="0" applyFont="1" applyFill="1" applyBorder="1" applyAlignment="1">
      <alignment vertical="center" textRotation="180"/>
    </xf>
    <xf numFmtId="0" fontId="23" fillId="34" borderId="0" xfId="0" applyFont="1" applyFill="1" applyBorder="1" applyAlignment="1">
      <alignment vertical="center"/>
    </xf>
    <xf numFmtId="0" fontId="23" fillId="34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2" fontId="110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68" fillId="2" borderId="0" xfId="0" applyFont="1" applyFill="1" applyBorder="1"/>
    <xf numFmtId="0" fontId="68" fillId="0" borderId="0" xfId="0" applyFont="1" applyFill="1" applyBorder="1" applyAlignment="1"/>
    <xf numFmtId="172" fontId="68" fillId="0" borderId="0" xfId="0" applyNumberFormat="1" applyFont="1" applyFill="1" applyBorder="1" applyAlignment="1"/>
    <xf numFmtId="49" fontId="68" fillId="0" borderId="0" xfId="0" applyNumberFormat="1" applyFont="1" applyFill="1" applyBorder="1" applyAlignment="1"/>
    <xf numFmtId="0" fontId="68" fillId="2" borderId="0" xfId="0" applyFont="1" applyFill="1" applyBorder="1" applyAlignment="1"/>
    <xf numFmtId="2" fontId="110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/>
    </xf>
    <xf numFmtId="1" fontId="13" fillId="0" borderId="0" xfId="0" applyNumberFormat="1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vertical="justify"/>
    </xf>
    <xf numFmtId="2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2" fontId="16" fillId="34" borderId="0" xfId="0" applyNumberFormat="1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right" vertical="center" wrapText="1"/>
    </xf>
    <xf numFmtId="2" fontId="29" fillId="34" borderId="0" xfId="0" applyNumberFormat="1" applyFont="1" applyFill="1" applyBorder="1" applyAlignment="1">
      <alignment horizontal="center" vertical="center"/>
    </xf>
    <xf numFmtId="0" fontId="29" fillId="34" borderId="0" xfId="0" applyFont="1" applyFill="1"/>
    <xf numFmtId="0" fontId="61" fillId="0" borderId="0" xfId="0" applyFont="1" applyFill="1" applyBorder="1" applyAlignment="1">
      <alignment vertical="center" textRotation="180"/>
    </xf>
    <xf numFmtId="0" fontId="67" fillId="0" borderId="0" xfId="0" applyFont="1" applyFill="1" applyBorder="1" applyAlignment="1">
      <alignment vertical="center" textRotation="180"/>
    </xf>
    <xf numFmtId="0" fontId="15" fillId="34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164" fontId="13" fillId="0" borderId="0" xfId="0" applyNumberFormat="1" applyFont="1" applyFill="1" applyBorder="1" applyAlignment="1">
      <alignment horizont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1" fontId="13" fillId="34" borderId="0" xfId="0" applyNumberFormat="1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vertical="center" wrapText="1"/>
    </xf>
    <xf numFmtId="0" fontId="113" fillId="0" borderId="0" xfId="0" applyFont="1" applyFill="1" applyBorder="1"/>
    <xf numFmtId="0" fontId="115" fillId="0" borderId="0" xfId="0" applyFont="1" applyFill="1" applyBorder="1" applyAlignment="1">
      <alignment horizontal="left" vertical="center" wrapText="1"/>
    </xf>
    <xf numFmtId="0" fontId="114" fillId="0" borderId="0" xfId="0" applyFont="1" applyFill="1" applyBorder="1" applyAlignment="1">
      <alignment horizontal="left"/>
    </xf>
    <xf numFmtId="0" fontId="116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vertical="center"/>
    </xf>
    <xf numFmtId="0" fontId="117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horizontal="center" vertical="center"/>
    </xf>
    <xf numFmtId="0" fontId="113" fillId="0" borderId="0" xfId="0" applyFont="1" applyBorder="1"/>
    <xf numFmtId="0" fontId="72" fillId="34" borderId="0" xfId="0" applyFont="1" applyFill="1" applyAlignment="1">
      <alignment horizontal="center" vertical="center"/>
    </xf>
    <xf numFmtId="0" fontId="72" fillId="34" borderId="0" xfId="0" applyFont="1" applyFill="1" applyBorder="1" applyAlignment="1">
      <alignment vertical="center"/>
    </xf>
    <xf numFmtId="0" fontId="74" fillId="34" borderId="0" xfId="0" applyFont="1" applyFill="1" applyBorder="1" applyAlignment="1">
      <alignment horizontal="left" vertical="center" wrapText="1"/>
    </xf>
    <xf numFmtId="0" fontId="74" fillId="0" borderId="0" xfId="0" applyFont="1" applyFill="1" applyBorder="1" applyAlignment="1">
      <alignment horizontal="left" vertical="top" wrapText="1"/>
    </xf>
    <xf numFmtId="0" fontId="54" fillId="34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75" fillId="34" borderId="0" xfId="0" applyFont="1" applyFill="1" applyBorder="1" applyAlignment="1">
      <alignment horizontal="left" vertical="top" wrapText="1"/>
    </xf>
    <xf numFmtId="0" fontId="75" fillId="0" borderId="0" xfId="0" applyFont="1" applyFill="1" applyBorder="1" applyAlignment="1">
      <alignment horizontal="left" vertical="top" wrapText="1"/>
    </xf>
    <xf numFmtId="0" fontId="76" fillId="34" borderId="0" xfId="0" applyFont="1" applyFill="1" applyAlignment="1">
      <alignment horizontal="left"/>
    </xf>
    <xf numFmtId="0" fontId="73" fillId="0" borderId="0" xfId="0" applyFont="1" applyAlignment="1">
      <alignment horizontal="left"/>
    </xf>
    <xf numFmtId="0" fontId="29" fillId="0" borderId="0" xfId="0" applyFont="1" applyFill="1" applyAlignment="1">
      <alignment horizontal="center"/>
    </xf>
    <xf numFmtId="0" fontId="72" fillId="0" borderId="0" xfId="0" applyFont="1" applyFill="1" applyAlignment="1">
      <alignment horizontal="center" vertical="center"/>
    </xf>
    <xf numFmtId="0" fontId="76" fillId="0" borderId="0" xfId="0" applyFont="1" applyFill="1" applyAlignment="1">
      <alignment horizontal="left"/>
    </xf>
    <xf numFmtId="0" fontId="54" fillId="34" borderId="0" xfId="0" applyFont="1" applyFill="1" applyBorder="1" applyAlignment="1">
      <alignment horizontal="left" vertical="justify" wrapText="1"/>
    </xf>
    <xf numFmtId="2" fontId="16" fillId="34" borderId="0" xfId="0" applyNumberFormat="1" applyFont="1" applyFill="1" applyBorder="1" applyAlignment="1">
      <alignment horizontal="center" vertical="justify" wrapText="1"/>
    </xf>
    <xf numFmtId="0" fontId="74" fillId="34" borderId="0" xfId="0" applyFont="1" applyFill="1" applyBorder="1" applyAlignment="1">
      <alignment horizontal="left" vertical="justify" wrapText="1"/>
    </xf>
    <xf numFmtId="2" fontId="29" fillId="34" borderId="0" xfId="0" applyNumberFormat="1" applyFont="1" applyFill="1" applyAlignment="1">
      <alignment horizontal="center" vertical="justify"/>
    </xf>
    <xf numFmtId="0" fontId="54" fillId="34" borderId="6" xfId="0" applyFont="1" applyFill="1" applyBorder="1" applyAlignment="1">
      <alignment horizontal="left" vertical="center" wrapText="1"/>
    </xf>
    <xf numFmtId="0" fontId="79" fillId="0" borderId="0" xfId="0" applyFont="1" applyAlignment="1">
      <alignment vertical="center"/>
    </xf>
    <xf numFmtId="0" fontId="79" fillId="0" borderId="0" xfId="0" applyFont="1" applyFill="1"/>
    <xf numFmtId="49" fontId="26" fillId="0" borderId="0" xfId="0" applyNumberFormat="1" applyFont="1" applyFill="1" applyBorder="1" applyAlignment="1">
      <alignment vertical="center" wrapText="1"/>
    </xf>
    <xf numFmtId="0" fontId="8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2" fontId="15" fillId="0" borderId="0" xfId="0" applyNumberFormat="1" applyFont="1" applyFill="1" applyAlignment="1">
      <alignment horizontal="center"/>
    </xf>
    <xf numFmtId="0" fontId="7" fillId="0" borderId="0" xfId="0" applyFont="1" applyFill="1"/>
    <xf numFmtId="0" fontId="39" fillId="0" borderId="0" xfId="0" applyFont="1" applyBorder="1" applyAlignment="1">
      <alignment wrapText="1"/>
    </xf>
    <xf numFmtId="0" fontId="13" fillId="34" borderId="0" xfId="0" applyFont="1" applyFill="1" applyAlignment="1">
      <alignment vertical="center"/>
    </xf>
    <xf numFmtId="168" fontId="13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118" fillId="34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/>
    <xf numFmtId="0" fontId="34" fillId="0" borderId="0" xfId="0" applyFont="1" applyFill="1" applyBorder="1" applyAlignment="1">
      <alignment horizontal="right" wrapText="1"/>
    </xf>
    <xf numFmtId="2" fontId="118" fillId="34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 applyBorder="1" applyAlignment="1">
      <alignment horizontal="center" vertical="center"/>
    </xf>
    <xf numFmtId="0" fontId="110" fillId="0" borderId="0" xfId="0" applyFont="1" applyFill="1" applyBorder="1" applyAlignment="1">
      <alignment horizontal="center" vertical="center"/>
    </xf>
    <xf numFmtId="0" fontId="82" fillId="0" borderId="0" xfId="0" applyFont="1" applyBorder="1"/>
    <xf numFmtId="0" fontId="83" fillId="0" borderId="0" xfId="0" applyFont="1" applyBorder="1" applyAlignment="1">
      <alignment wrapText="1"/>
    </xf>
    <xf numFmtId="0" fontId="82" fillId="0" borderId="0" xfId="0" applyFont="1" applyBorder="1" applyAlignment="1"/>
    <xf numFmtId="0" fontId="83" fillId="0" borderId="0" xfId="0" applyFont="1" applyBorder="1" applyAlignment="1">
      <alignment horizontal="left" wrapText="1"/>
    </xf>
    <xf numFmtId="49" fontId="83" fillId="0" borderId="0" xfId="0" applyNumberFormat="1" applyFont="1" applyBorder="1" applyAlignment="1">
      <alignment horizontal="left" wrapText="1"/>
    </xf>
    <xf numFmtId="164" fontId="82" fillId="0" borderId="0" xfId="0" applyNumberFormat="1" applyFont="1" applyBorder="1" applyAlignment="1">
      <alignment horizontal="left" wrapText="1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 wrapText="1"/>
    </xf>
    <xf numFmtId="0" fontId="83" fillId="0" borderId="0" xfId="0" applyFont="1" applyBorder="1" applyAlignment="1">
      <alignment horizontal="center"/>
    </xf>
    <xf numFmtId="0" fontId="82" fillId="0" borderId="0" xfId="0" applyFont="1"/>
    <xf numFmtId="164" fontId="82" fillId="0" borderId="0" xfId="0" applyNumberFormat="1" applyFont="1" applyBorder="1" applyAlignment="1">
      <alignment horizontal="center"/>
    </xf>
    <xf numFmtId="0" fontId="82" fillId="0" borderId="0" xfId="0" applyFont="1" applyAlignment="1"/>
    <xf numFmtId="0" fontId="15" fillId="35" borderId="0" xfId="0" applyFont="1" applyFill="1" applyBorder="1"/>
    <xf numFmtId="164" fontId="118" fillId="34" borderId="0" xfId="0" applyNumberFormat="1" applyFont="1" applyFill="1" applyBorder="1" applyAlignment="1">
      <alignment horizontal="center" vertical="center" wrapText="1"/>
    </xf>
    <xf numFmtId="164" fontId="118" fillId="0" borderId="0" xfId="0" applyNumberFormat="1" applyFont="1" applyFill="1" applyBorder="1" applyAlignment="1">
      <alignment horizontal="center" wrapText="1"/>
    </xf>
    <xf numFmtId="164" fontId="118" fillId="34" borderId="0" xfId="0" applyNumberFormat="1" applyFont="1" applyFill="1" applyBorder="1" applyAlignment="1">
      <alignment horizontal="center" wrapText="1"/>
    </xf>
    <xf numFmtId="164" fontId="110" fillId="34" borderId="0" xfId="0" applyNumberFormat="1" applyFont="1" applyFill="1" applyBorder="1" applyAlignment="1">
      <alignment horizontal="center" vertical="center" wrapText="1"/>
    </xf>
    <xf numFmtId="164" fontId="110" fillId="34" borderId="0" xfId="0" applyNumberFormat="1" applyFont="1" applyFill="1" applyBorder="1" applyAlignment="1">
      <alignment horizontal="center" vertical="center"/>
    </xf>
    <xf numFmtId="164" fontId="118" fillId="0" borderId="0" xfId="0" applyNumberFormat="1" applyFont="1" applyFill="1" applyBorder="1" applyAlignment="1">
      <alignment horizontal="center" vertical="center" wrapText="1"/>
    </xf>
    <xf numFmtId="0" fontId="118" fillId="0" borderId="0" xfId="0" applyFont="1" applyFill="1" applyBorder="1" applyAlignment="1">
      <alignment horizontal="center" wrapText="1"/>
    </xf>
    <xf numFmtId="0" fontId="118" fillId="0" borderId="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49" fontId="15" fillId="0" borderId="0" xfId="0" applyNumberFormat="1" applyFont="1" applyFill="1"/>
    <xf numFmtId="0" fontId="29" fillId="0" borderId="2" xfId="0" quotePrefix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6" fillId="0" borderId="0" xfId="0" applyFont="1" applyFill="1" applyAlignment="1">
      <alignment wrapText="1"/>
    </xf>
    <xf numFmtId="0" fontId="14" fillId="0" borderId="0" xfId="0" applyFont="1" applyFill="1" applyAlignment="1">
      <alignment vertical="center"/>
    </xf>
    <xf numFmtId="164" fontId="110" fillId="0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2" fontId="15" fillId="34" borderId="6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/>
    <xf numFmtId="2" fontId="17" fillId="34" borderId="0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vertical="justify" wrapText="1"/>
    </xf>
    <xf numFmtId="2" fontId="15" fillId="0" borderId="0" xfId="0" quotePrefix="1" applyNumberFormat="1" applyFont="1" applyFill="1" applyBorder="1" applyAlignment="1">
      <alignment horizontal="center" vertical="center" wrapText="1"/>
    </xf>
    <xf numFmtId="2" fontId="15" fillId="34" borderId="0" xfId="0" quotePrefix="1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/>
    <xf numFmtId="1" fontId="23" fillId="34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left" wrapText="1"/>
    </xf>
    <xf numFmtId="1" fontId="13" fillId="0" borderId="0" xfId="0" applyNumberFormat="1" applyFont="1" applyFill="1" applyBorder="1" applyAlignment="1">
      <alignment horizontal="right" wrapText="1"/>
    </xf>
    <xf numFmtId="164" fontId="118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 vertical="center"/>
    </xf>
    <xf numFmtId="164" fontId="15" fillId="34" borderId="0" xfId="0" applyNumberFormat="1" applyFont="1" applyFill="1" applyAlignment="1">
      <alignment horizontal="center" vertical="center"/>
    </xf>
    <xf numFmtId="0" fontId="15" fillId="34" borderId="0" xfId="0" applyFont="1" applyFill="1" applyAlignment="1">
      <alignment horizontal="center" vertical="center"/>
    </xf>
    <xf numFmtId="0" fontId="29" fillId="0" borderId="0" xfId="0" applyFont="1" applyBorder="1" applyAlignment="1">
      <alignment wrapText="1"/>
    </xf>
    <xf numFmtId="0" fontId="118" fillId="34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1" fontId="16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18" fillId="0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left" wrapText="1"/>
    </xf>
    <xf numFmtId="164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justify" wrapText="1"/>
    </xf>
    <xf numFmtId="2" fontId="1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Fill="1" applyAlignment="1">
      <alignment horizontal="center"/>
    </xf>
    <xf numFmtId="164" fontId="118" fillId="34" borderId="0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31" fillId="0" borderId="0" xfId="0" applyFont="1" applyFill="1"/>
    <xf numFmtId="0" fontId="30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center" wrapText="1"/>
    </xf>
    <xf numFmtId="0" fontId="30" fillId="0" borderId="0" xfId="0" applyFont="1" applyFill="1" applyAlignment="1">
      <alignment wrapText="1"/>
    </xf>
    <xf numFmtId="0" fontId="13" fillId="0" borderId="0" xfId="0" applyFont="1" applyFill="1"/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0" fontId="2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1" fillId="0" borderId="2" xfId="0" applyFont="1" applyFill="1" applyBorder="1" applyAlignment="1">
      <alignment horizontal="center" vertical="center" wrapText="1"/>
    </xf>
    <xf numFmtId="0" fontId="84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3" fillId="0" borderId="2" xfId="0" applyFont="1" applyFill="1" applyBorder="1" applyAlignment="1">
      <alignment horizontal="center"/>
    </xf>
    <xf numFmtId="0" fontId="8" fillId="0" borderId="0" xfId="0" applyFont="1" applyFill="1"/>
    <xf numFmtId="164" fontId="7" fillId="0" borderId="0" xfId="0" applyNumberFormat="1" applyFont="1" applyFill="1"/>
    <xf numFmtId="0" fontId="34" fillId="0" borderId="0" xfId="0" applyFont="1" applyFill="1" applyBorder="1" applyAlignment="1"/>
    <xf numFmtId="0" fontId="34" fillId="0" borderId="0" xfId="0" applyFont="1" applyFill="1" applyBorder="1" applyAlignment="1">
      <alignment horizontal="left"/>
    </xf>
    <xf numFmtId="164" fontId="14" fillId="0" borderId="0" xfId="0" applyNumberFormat="1" applyFont="1" applyFill="1" applyBorder="1" applyAlignment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2" fontId="23" fillId="0" borderId="0" xfId="0" applyNumberFormat="1" applyFont="1" applyFill="1" applyBorder="1"/>
    <xf numFmtId="2" fontId="38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left" vertical="center"/>
    </xf>
    <xf numFmtId="2" fontId="110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34" borderId="0" xfId="0" applyFont="1" applyFill="1" applyBorder="1" applyAlignment="1">
      <alignment horizontal="right" vertical="center"/>
    </xf>
    <xf numFmtId="2" fontId="39" fillId="34" borderId="0" xfId="0" applyNumberFormat="1" applyFont="1" applyFill="1" applyBorder="1" applyAlignment="1">
      <alignment horizontal="center" vertical="center"/>
    </xf>
    <xf numFmtId="2" fontId="120" fillId="34" borderId="0" xfId="0" applyNumberFormat="1" applyFont="1" applyFill="1" applyBorder="1" applyAlignment="1">
      <alignment horizontal="center" vertical="center" wrapText="1"/>
    </xf>
    <xf numFmtId="2" fontId="119" fillId="0" borderId="0" xfId="0" applyNumberFormat="1" applyFont="1" applyFill="1" applyBorder="1" applyAlignment="1">
      <alignment horizontal="center" vertical="center" wrapText="1"/>
    </xf>
    <xf numFmtId="164" fontId="119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164" fontId="119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>
      <alignment vertical="center"/>
    </xf>
    <xf numFmtId="0" fontId="13" fillId="34" borderId="0" xfId="0" applyFont="1" applyFill="1" applyBorder="1" applyAlignment="1">
      <alignment horizontal="right" vertical="center"/>
    </xf>
    <xf numFmtId="2" fontId="118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vertical="center"/>
    </xf>
    <xf numFmtId="0" fontId="40" fillId="34" borderId="0" xfId="0" applyFont="1" applyFill="1" applyBorder="1" applyAlignment="1">
      <alignment horizontal="left" vertical="center"/>
    </xf>
    <xf numFmtId="0" fontId="65" fillId="34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29" fillId="34" borderId="0" xfId="0" applyFont="1" applyFill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horizontal="left"/>
    </xf>
    <xf numFmtId="0" fontId="34" fillId="0" borderId="0" xfId="0" applyFont="1" applyBorder="1" applyAlignment="1">
      <alignment vertical="top" wrapText="1"/>
    </xf>
    <xf numFmtId="0" fontId="121" fillId="0" borderId="0" xfId="0" applyFont="1" applyFill="1" applyBorder="1" applyAlignment="1">
      <alignment vertical="center"/>
    </xf>
    <xf numFmtId="0" fontId="121" fillId="0" borderId="0" xfId="0" applyFont="1" applyFill="1" applyBorder="1" applyAlignment="1">
      <alignment vertical="center" wrapText="1"/>
    </xf>
    <xf numFmtId="0" fontId="121" fillId="0" borderId="0" xfId="0" applyFont="1" applyFill="1" applyAlignment="1">
      <alignment vertical="center"/>
    </xf>
    <xf numFmtId="0" fontId="125" fillId="0" borderId="2" xfId="0" applyFont="1" applyFill="1" applyBorder="1" applyAlignment="1">
      <alignment horizontal="center" vertical="center" wrapText="1"/>
    </xf>
    <xf numFmtId="0" fontId="126" fillId="0" borderId="2" xfId="0" applyFont="1" applyFill="1" applyBorder="1" applyAlignment="1">
      <alignment horizontal="center" vertical="center" wrapText="1"/>
    </xf>
    <xf numFmtId="0" fontId="110" fillId="0" borderId="0" xfId="0" applyFont="1" applyFill="1"/>
    <xf numFmtId="0" fontId="120" fillId="0" borderId="0" xfId="0" applyFont="1" applyFill="1"/>
    <xf numFmtId="0" fontId="13" fillId="0" borderId="0" xfId="0" applyFont="1" applyFill="1" applyAlignment="1">
      <alignment vertical="center"/>
    </xf>
    <xf numFmtId="168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2" fontId="47" fillId="0" borderId="0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left" vertical="center"/>
    </xf>
    <xf numFmtId="0" fontId="15" fillId="34" borderId="0" xfId="136" applyNumberFormat="1" applyFont="1" applyFill="1" applyBorder="1" applyAlignment="1">
      <alignment horizontal="center" vertical="center"/>
    </xf>
    <xf numFmtId="2" fontId="47" fillId="34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Alignment="1"/>
    <xf numFmtId="164" fontId="15" fillId="0" borderId="0" xfId="0" applyNumberFormat="1" applyFont="1" applyFill="1" applyBorder="1" applyAlignment="1"/>
    <xf numFmtId="0" fontId="110" fillId="0" borderId="0" xfId="0" applyFont="1" applyFill="1" applyBorder="1" applyAlignment="1">
      <alignment horizontal="center"/>
    </xf>
    <xf numFmtId="0" fontId="15" fillId="34" borderId="0" xfId="0" applyFont="1" applyFill="1" applyBorder="1" applyAlignment="1"/>
    <xf numFmtId="0" fontId="120" fillId="0" borderId="0" xfId="0" applyFont="1" applyFill="1" applyBorder="1" applyAlignment="1">
      <alignment horizontal="center"/>
    </xf>
    <xf numFmtId="164" fontId="120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167" fontId="15" fillId="34" borderId="6" xfId="0" applyNumberFormat="1" applyFont="1" applyFill="1" applyBorder="1" applyAlignment="1">
      <alignment horizontal="center" vertical="center"/>
    </xf>
    <xf numFmtId="49" fontId="15" fillId="34" borderId="0" xfId="0" applyNumberFormat="1" applyFont="1" applyFill="1" applyBorder="1" applyAlignment="1">
      <alignment horizontal="center" vertical="center"/>
    </xf>
    <xf numFmtId="0" fontId="15" fillId="34" borderId="0" xfId="0" applyNumberFormat="1" applyFont="1" applyFill="1" applyBorder="1" applyAlignment="1">
      <alignment horizontal="center" vertical="center"/>
    </xf>
    <xf numFmtId="170" fontId="15" fillId="34" borderId="0" xfId="0" applyNumberFormat="1" applyFont="1" applyFill="1" applyBorder="1" applyAlignment="1">
      <alignment horizontal="center" vertical="center"/>
    </xf>
    <xf numFmtId="170" fontId="15" fillId="34" borderId="6" xfId="0" applyNumberFormat="1" applyFont="1" applyFill="1" applyBorder="1" applyAlignment="1">
      <alignment horizontal="center" vertical="center"/>
    </xf>
    <xf numFmtId="49" fontId="15" fillId="34" borderId="6" xfId="0" applyNumberFormat="1" applyFont="1" applyFill="1" applyBorder="1" applyAlignment="1">
      <alignment horizontal="center" vertical="center"/>
    </xf>
    <xf numFmtId="0" fontId="123" fillId="0" borderId="0" xfId="0" applyFont="1" applyFill="1" applyBorder="1" applyAlignment="1">
      <alignment vertical="center"/>
    </xf>
    <xf numFmtId="2" fontId="127" fillId="0" borderId="0" xfId="198" applyNumberFormat="1" applyFont="1" applyFill="1" applyBorder="1" applyAlignment="1">
      <alignment horizontal="center"/>
    </xf>
    <xf numFmtId="0" fontId="15" fillId="34" borderId="0" xfId="196" applyFont="1" applyFill="1" applyBorder="1" applyAlignment="1">
      <alignment horizontal="left" vertical="center"/>
    </xf>
    <xf numFmtId="2" fontId="13" fillId="34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wrapText="1"/>
    </xf>
    <xf numFmtId="0" fontId="109" fillId="0" borderId="0" xfId="0" applyFont="1" applyBorder="1"/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131" fillId="0" borderId="0" xfId="0" applyFont="1" applyBorder="1"/>
    <xf numFmtId="0" fontId="132" fillId="0" borderId="0" xfId="0" applyFont="1" applyFill="1" applyBorder="1" applyAlignment="1">
      <alignment horizontal="left" wrapText="1"/>
    </xf>
    <xf numFmtId="173" fontId="7" fillId="0" borderId="0" xfId="0" applyNumberFormat="1" applyFont="1" applyBorder="1"/>
    <xf numFmtId="2" fontId="0" fillId="0" borderId="0" xfId="0" applyNumberFormat="1"/>
    <xf numFmtId="0" fontId="23" fillId="34" borderId="0" xfId="196" applyFont="1" applyFill="1" applyBorder="1" applyAlignment="1">
      <alignment horizontal="left" vertical="center"/>
    </xf>
    <xf numFmtId="165" fontId="15" fillId="0" borderId="0" xfId="0" applyNumberFormat="1" applyFont="1"/>
    <xf numFmtId="167" fontId="15" fillId="34" borderId="0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top"/>
    </xf>
    <xf numFmtId="0" fontId="13" fillId="0" borderId="0" xfId="0" applyFont="1" applyBorder="1" applyAlignment="1">
      <alignment horizontal="right" vertical="center" wrapText="1"/>
    </xf>
    <xf numFmtId="1" fontId="14" fillId="0" borderId="0" xfId="0" applyNumberFormat="1" applyFont="1"/>
    <xf numFmtId="0" fontId="17" fillId="34" borderId="0" xfId="0" applyFont="1" applyFill="1" applyBorder="1" applyAlignment="1">
      <alignment horizontal="left" vertical="center"/>
    </xf>
    <xf numFmtId="2" fontId="119" fillId="34" borderId="0" xfId="0" applyNumberFormat="1" applyFont="1" applyFill="1" applyBorder="1" applyAlignment="1">
      <alignment horizontal="center" vertical="center" wrapText="1"/>
    </xf>
    <xf numFmtId="2" fontId="120" fillId="0" borderId="0" xfId="0" applyNumberFormat="1" applyFont="1" applyFill="1" applyBorder="1" applyAlignment="1">
      <alignment horizontal="center" vertical="center" wrapText="1"/>
    </xf>
    <xf numFmtId="1" fontId="119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/>
    <xf numFmtId="0" fontId="79" fillId="0" borderId="0" xfId="0" applyFont="1" applyAlignment="1">
      <alignment horizontal="left"/>
    </xf>
    <xf numFmtId="0" fontId="23" fillId="34" borderId="0" xfId="136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2" fontId="25" fillId="0" borderId="0" xfId="0" applyNumberFormat="1" applyFont="1"/>
    <xf numFmtId="2" fontId="15" fillId="0" borderId="0" xfId="0" applyNumberFormat="1" applyFont="1" applyAlignment="1">
      <alignment horizontal="right"/>
    </xf>
    <xf numFmtId="0" fontId="26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top" wrapText="1"/>
    </xf>
    <xf numFmtId="0" fontId="18" fillId="0" borderId="0" xfId="0" applyFont="1" applyAlignment="1"/>
    <xf numFmtId="0" fontId="33" fillId="0" borderId="0" xfId="0" applyFont="1" applyBorder="1" applyAlignment="1">
      <alignment horizontal="left"/>
    </xf>
    <xf numFmtId="164" fontId="15" fillId="34" borderId="0" xfId="0" applyNumberFormat="1" applyFont="1" applyFill="1" applyAlignment="1">
      <alignment horizontal="center"/>
    </xf>
    <xf numFmtId="164" fontId="13" fillId="34" borderId="0" xfId="0" applyNumberFormat="1" applyFont="1" applyFill="1" applyBorder="1" applyAlignment="1">
      <alignment horizontal="center" wrapText="1"/>
    </xf>
    <xf numFmtId="1" fontId="13" fillId="0" borderId="0" xfId="0" applyNumberFormat="1" applyFont="1" applyBorder="1" applyAlignment="1">
      <alignment horizontal="left" wrapText="1"/>
    </xf>
    <xf numFmtId="1" fontId="13" fillId="0" borderId="0" xfId="0" applyNumberFormat="1" applyFont="1" applyBorder="1" applyAlignment="1">
      <alignment horizontal="right" wrapText="1"/>
    </xf>
    <xf numFmtId="1" fontId="1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horizontal="center" vertical="center" wrapText="1"/>
    </xf>
    <xf numFmtId="1" fontId="47" fillId="34" borderId="0" xfId="0" applyNumberFormat="1" applyFont="1" applyFill="1" applyBorder="1" applyAlignment="1">
      <alignment horizontal="center" vertical="center"/>
    </xf>
    <xf numFmtId="0" fontId="25" fillId="0" borderId="0" xfId="202" applyFont="1" applyAlignment="1"/>
    <xf numFmtId="0" fontId="82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2" fontId="14" fillId="0" borderId="0" xfId="0" applyNumberFormat="1" applyFont="1" applyBorder="1" applyAlignment="1"/>
    <xf numFmtId="2" fontId="14" fillId="0" borderId="0" xfId="0" applyNumberFormat="1" applyFont="1" applyFill="1" applyBorder="1" applyAlignment="1"/>
    <xf numFmtId="0" fontId="15" fillId="0" borderId="0" xfId="0" applyFont="1" applyFill="1" applyBorder="1" applyAlignment="1">
      <alignment wrapText="1"/>
    </xf>
    <xf numFmtId="0" fontId="13" fillId="34" borderId="0" xfId="0" applyFont="1" applyFill="1" applyBorder="1"/>
    <xf numFmtId="0" fontId="13" fillId="34" borderId="0" xfId="0" applyFont="1" applyFill="1" applyBorder="1" applyAlignment="1">
      <alignment horizontal="right"/>
    </xf>
    <xf numFmtId="0" fontId="29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2" fontId="138" fillId="0" borderId="0" xfId="0" applyNumberFormat="1" applyFont="1" applyBorder="1" applyAlignment="1">
      <alignment wrapText="1"/>
    </xf>
    <xf numFmtId="0" fontId="139" fillId="0" borderId="0" xfId="0" applyFont="1" applyBorder="1" applyAlignment="1">
      <alignment wrapText="1"/>
    </xf>
    <xf numFmtId="2" fontId="140" fillId="0" borderId="0" xfId="0" applyNumberFormat="1" applyFont="1" applyBorder="1"/>
    <xf numFmtId="2" fontId="32" fillId="0" borderId="0" xfId="0" applyNumberFormat="1" applyFont="1" applyBorder="1"/>
    <xf numFmtId="0" fontId="140" fillId="0" borderId="0" xfId="0" applyFont="1" applyBorder="1"/>
    <xf numFmtId="0" fontId="147" fillId="2" borderId="0" xfId="0" applyFont="1" applyFill="1" applyBorder="1"/>
    <xf numFmtId="0" fontId="148" fillId="0" borderId="0" xfId="0" applyFont="1" applyBorder="1" applyAlignment="1">
      <alignment wrapText="1"/>
    </xf>
    <xf numFmtId="0" fontId="149" fillId="0" borderId="10" xfId="0" applyFont="1" applyBorder="1" applyAlignment="1">
      <alignment vertical="top" wrapText="1"/>
    </xf>
    <xf numFmtId="0" fontId="148" fillId="0" borderId="0" xfId="0" applyFont="1" applyBorder="1"/>
    <xf numFmtId="0" fontId="148" fillId="2" borderId="10" xfId="0" applyFont="1" applyFill="1" applyBorder="1"/>
    <xf numFmtId="0" fontId="148" fillId="2" borderId="0" xfId="0" applyFont="1" applyFill="1" applyBorder="1"/>
    <xf numFmtId="0" fontId="148" fillId="2" borderId="11" xfId="0" applyFont="1" applyFill="1" applyBorder="1"/>
    <xf numFmtId="0" fontId="148" fillId="0" borderId="10" xfId="0" applyFont="1" applyBorder="1" applyAlignment="1">
      <alignment wrapText="1"/>
    </xf>
    <xf numFmtId="0" fontId="151" fillId="2" borderId="10" xfId="0" applyFont="1" applyFill="1" applyBorder="1"/>
    <xf numFmtId="0" fontId="70" fillId="2" borderId="0" xfId="0" applyFont="1" applyFill="1" applyBorder="1"/>
    <xf numFmtId="0" fontId="70" fillId="2" borderId="11" xfId="0" applyFont="1" applyFill="1" applyBorder="1"/>
    <xf numFmtId="0" fontId="152" fillId="2" borderId="0" xfId="0" applyFont="1" applyFill="1" applyBorder="1"/>
    <xf numFmtId="0" fontId="153" fillId="0" borderId="0" xfId="0" applyFont="1" applyBorder="1" applyAlignment="1">
      <alignment horizontal="center"/>
    </xf>
    <xf numFmtId="0" fontId="156" fillId="0" borderId="7" xfId="0" applyFont="1" applyFill="1" applyBorder="1"/>
    <xf numFmtId="0" fontId="156" fillId="0" borderId="8" xfId="0" applyFont="1" applyFill="1" applyBorder="1"/>
    <xf numFmtId="0" fontId="156" fillId="0" borderId="9" xfId="0" applyFont="1" applyFill="1" applyBorder="1"/>
    <xf numFmtId="0" fontId="157" fillId="2" borderId="10" xfId="0" applyFont="1" applyFill="1" applyBorder="1"/>
    <xf numFmtId="0" fontId="157" fillId="2" borderId="0" xfId="0" applyFont="1" applyFill="1" applyBorder="1"/>
    <xf numFmtId="0" fontId="157" fillId="2" borderId="11" xfId="0" applyFont="1" applyFill="1" applyBorder="1"/>
    <xf numFmtId="0" fontId="156" fillId="2" borderId="10" xfId="0" applyFont="1" applyFill="1" applyBorder="1"/>
    <xf numFmtId="0" fontId="156" fillId="2" borderId="0" xfId="0" applyFont="1" applyFill="1" applyBorder="1"/>
    <xf numFmtId="0" fontId="156" fillId="2" borderId="11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2" fontId="38" fillId="0" borderId="0" xfId="0" applyNumberFormat="1" applyFont="1" applyBorder="1" applyAlignment="1">
      <alignment horizontal="center" wrapText="1"/>
    </xf>
    <xf numFmtId="2" fontId="38" fillId="34" borderId="0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vertical="justify" wrapText="1"/>
    </xf>
    <xf numFmtId="0" fontId="29" fillId="0" borderId="2" xfId="0" applyFont="1" applyFill="1" applyBorder="1" applyAlignment="1">
      <alignment horizontal="center" vertical="top" wrapText="1"/>
    </xf>
    <xf numFmtId="0" fontId="33" fillId="0" borderId="0" xfId="0" applyFont="1" applyBorder="1" applyAlignment="1"/>
    <xf numFmtId="0" fontId="19" fillId="0" borderId="0" xfId="0" applyFont="1" applyBorder="1" applyAlignment="1"/>
    <xf numFmtId="0" fontId="15" fillId="34" borderId="0" xfId="0" applyFont="1" applyFill="1"/>
    <xf numFmtId="0" fontId="124" fillId="0" borderId="0" xfId="232" applyFont="1" applyBorder="1"/>
    <xf numFmtId="0" fontId="124" fillId="0" borderId="0" xfId="232" applyFont="1"/>
    <xf numFmtId="0" fontId="158" fillId="0" borderId="0" xfId="0" applyFont="1" applyBorder="1" applyAlignment="1">
      <alignment wrapText="1"/>
    </xf>
    <xf numFmtId="0" fontId="159" fillId="0" borderId="0" xfId="0" applyFont="1"/>
    <xf numFmtId="0" fontId="160" fillId="0" borderId="0" xfId="0" applyFont="1" applyAlignment="1">
      <alignment horizontal="left"/>
    </xf>
    <xf numFmtId="0" fontId="124" fillId="0" borderId="0" xfId="0" applyFont="1" applyFill="1" applyBorder="1"/>
    <xf numFmtId="0" fontId="161" fillId="0" borderId="0" xfId="0" applyFont="1" applyBorder="1" applyAlignment="1">
      <alignment wrapText="1"/>
    </xf>
    <xf numFmtId="0" fontId="47" fillId="0" borderId="0" xfId="0" applyFont="1" applyAlignment="1"/>
    <xf numFmtId="0" fontId="162" fillId="0" borderId="0" xfId="232" applyFont="1" applyAlignment="1"/>
    <xf numFmtId="0" fontId="123" fillId="0" borderId="2" xfId="0" applyFont="1" applyBorder="1" applyAlignment="1">
      <alignment horizontal="center" vertical="center" wrapText="1"/>
    </xf>
    <xf numFmtId="0" fontId="162" fillId="0" borderId="0" xfId="0" applyFont="1"/>
    <xf numFmtId="0" fontId="162" fillId="0" borderId="0" xfId="232" applyFont="1"/>
    <xf numFmtId="0" fontId="110" fillId="0" borderId="0" xfId="0" applyFont="1"/>
    <xf numFmtId="0" fontId="124" fillId="0" borderId="0" xfId="0" applyFont="1"/>
    <xf numFmtId="2" fontId="38" fillId="0" borderId="6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/>
    </xf>
    <xf numFmtId="2" fontId="38" fillId="34" borderId="0" xfId="0" applyNumberFormat="1" applyFont="1" applyFill="1" applyBorder="1" applyAlignment="1">
      <alignment horizontal="center" vertical="center" wrapText="1"/>
    </xf>
    <xf numFmtId="0" fontId="159" fillId="0" borderId="0" xfId="0" applyFont="1" applyFill="1" applyBorder="1"/>
    <xf numFmtId="0" fontId="38" fillId="0" borderId="0" xfId="0" applyFont="1" applyBorder="1" applyAlignment="1"/>
    <xf numFmtId="0" fontId="13" fillId="34" borderId="0" xfId="0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/>
    </xf>
    <xf numFmtId="0" fontId="162" fillId="0" borderId="0" xfId="0" applyFont="1" applyAlignment="1"/>
    <xf numFmtId="164" fontId="131" fillId="0" borderId="0" xfId="0" applyNumberFormat="1" applyFont="1" applyBorder="1"/>
    <xf numFmtId="0" fontId="15" fillId="0" borderId="0" xfId="136" applyNumberFormat="1" applyFont="1" applyFill="1" applyBorder="1" applyAlignment="1">
      <alignment horizontal="center"/>
    </xf>
    <xf numFmtId="2" fontId="15" fillId="0" borderId="0" xfId="136" applyNumberFormat="1" applyFont="1" applyFill="1" applyBorder="1" applyAlignment="1">
      <alignment horizontal="center"/>
    </xf>
    <xf numFmtId="0" fontId="118" fillId="34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horizontal="center" vertical="center"/>
    </xf>
    <xf numFmtId="0" fontId="29" fillId="34" borderId="0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 wrapText="1"/>
    </xf>
    <xf numFmtId="1" fontId="16" fillId="34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0" fontId="121" fillId="0" borderId="0" xfId="0" applyFont="1" applyBorder="1" applyAlignment="1">
      <alignment horizontal="center"/>
    </xf>
    <xf numFmtId="0" fontId="121" fillId="0" borderId="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2" xfId="0" applyFont="1" applyBorder="1" applyAlignment="1">
      <alignment horizontal="center" vertical="center" wrapText="1"/>
    </xf>
    <xf numFmtId="0" fontId="110" fillId="34" borderId="2" xfId="0" applyFont="1" applyFill="1" applyBorder="1"/>
    <xf numFmtId="0" fontId="110" fillId="0" borderId="2" xfId="0" applyFont="1" applyBorder="1"/>
    <xf numFmtId="2" fontId="110" fillId="0" borderId="2" xfId="0" applyNumberFormat="1" applyFont="1" applyBorder="1" applyAlignment="1">
      <alignment horizontal="center" vertical="center"/>
    </xf>
    <xf numFmtId="2" fontId="110" fillId="34" borderId="2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22" fillId="0" borderId="0" xfId="0" applyFont="1" applyBorder="1" applyAlignment="1"/>
    <xf numFmtId="0" fontId="110" fillId="0" borderId="44" xfId="0" applyFont="1" applyBorder="1" applyAlignment="1">
      <alignment horizontal="center" vertical="center" wrapText="1"/>
    </xf>
    <xf numFmtId="2" fontId="110" fillId="34" borderId="3" xfId="0" applyNumberFormat="1" applyFont="1" applyFill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15" fillId="34" borderId="2" xfId="0" applyNumberFormat="1" applyFont="1" applyFill="1" applyBorder="1" applyAlignment="1">
      <alignment horizontal="center" vertical="center"/>
    </xf>
    <xf numFmtId="1" fontId="15" fillId="0" borderId="0" xfId="0" applyNumberFormat="1" applyFont="1"/>
    <xf numFmtId="2" fontId="110" fillId="0" borderId="2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0" fontId="15" fillId="0" borderId="6" xfId="0" applyFont="1" applyFill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vertical="top"/>
    </xf>
    <xf numFmtId="0" fontId="25" fillId="34" borderId="0" xfId="0" applyFont="1" applyFill="1" applyAlignment="1">
      <alignment horizontal="right" vertical="top"/>
    </xf>
    <xf numFmtId="0" fontId="25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wrapText="1"/>
    </xf>
    <xf numFmtId="0" fontId="14" fillId="34" borderId="0" xfId="0" applyFont="1" applyFill="1"/>
    <xf numFmtId="0" fontId="15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right" vertical="top"/>
    </xf>
    <xf numFmtId="0" fontId="24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23" fillId="34" borderId="0" xfId="0" applyFont="1" applyFill="1" applyAlignment="1">
      <alignment horizontal="right" vertical="top"/>
    </xf>
    <xf numFmtId="0" fontId="38" fillId="0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/>
    </xf>
    <xf numFmtId="1" fontId="47" fillId="0" borderId="0" xfId="0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/>
    </xf>
    <xf numFmtId="2" fontId="38" fillId="0" borderId="0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3" fillId="0" borderId="0" xfId="0" applyFont="1" applyFill="1" applyBorder="1"/>
    <xf numFmtId="0" fontId="3" fillId="0" borderId="0" xfId="0" applyFont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 applyFill="1"/>
    <xf numFmtId="2" fontId="38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4" fillId="0" borderId="0" xfId="0" applyFont="1" applyBorder="1" applyAlignment="1">
      <alignment vertical="top" wrapText="1"/>
    </xf>
    <xf numFmtId="2" fontId="15" fillId="0" borderId="3" xfId="0" applyNumberFormat="1" applyFont="1" applyBorder="1" applyAlignment="1">
      <alignment horizontal="center" vertical="center"/>
    </xf>
    <xf numFmtId="0" fontId="47" fillId="0" borderId="0" xfId="0" applyFont="1" applyFill="1" applyBorder="1"/>
    <xf numFmtId="0" fontId="19" fillId="0" borderId="0" xfId="0" applyFont="1" applyBorder="1" applyAlignment="1">
      <alignment vertical="top" wrapText="1"/>
    </xf>
    <xf numFmtId="43" fontId="33" fillId="0" borderId="0" xfId="136" applyFont="1" applyFill="1" applyBorder="1"/>
    <xf numFmtId="2" fontId="15" fillId="34" borderId="0" xfId="13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1" fontId="15" fillId="0" borderId="0" xfId="0" applyNumberFormat="1" applyFont="1" applyBorder="1"/>
    <xf numFmtId="1" fontId="118" fillId="0" borderId="0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right" vertical="center" wrapText="1"/>
    </xf>
    <xf numFmtId="175" fontId="15" fillId="0" borderId="0" xfId="0" applyNumberFormat="1" applyFont="1" applyFill="1"/>
    <xf numFmtId="0" fontId="15" fillId="34" borderId="6" xfId="0" applyFont="1" applyFill="1" applyBorder="1" applyAlignment="1">
      <alignment horizontal="center" vertical="center"/>
    </xf>
    <xf numFmtId="1" fontId="13" fillId="34" borderId="0" xfId="0" applyNumberFormat="1" applyFont="1" applyFill="1" applyBorder="1" applyAlignment="1">
      <alignment horizontal="left" vertical="center" wrapText="1"/>
    </xf>
    <xf numFmtId="1" fontId="14" fillId="0" borderId="0" xfId="0" applyNumberFormat="1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wrapText="1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40" fillId="3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/>
    </xf>
    <xf numFmtId="0" fontId="2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43" fontId="3" fillId="0" borderId="0" xfId="0" applyNumberFormat="1" applyFont="1"/>
    <xf numFmtId="0" fontId="15" fillId="0" borderId="36" xfId="0" applyFont="1" applyBorder="1" applyAlignment="1">
      <alignment horizontal="left" vertical="top"/>
    </xf>
    <xf numFmtId="0" fontId="15" fillId="36" borderId="32" xfId="0" applyFont="1" applyFill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34" borderId="32" xfId="0" applyFont="1" applyFill="1" applyBorder="1" applyAlignment="1">
      <alignment horizontal="left" vertical="top"/>
    </xf>
    <xf numFmtId="0" fontId="15" fillId="0" borderId="32" xfId="0" applyFont="1" applyFill="1" applyBorder="1" applyAlignment="1">
      <alignment horizontal="left" vertical="top"/>
    </xf>
    <xf numFmtId="43" fontId="3" fillId="0" borderId="0" xfId="0" applyNumberFormat="1" applyFont="1" applyFill="1"/>
    <xf numFmtId="0" fontId="15" fillId="34" borderId="48" xfId="0" applyFont="1" applyFill="1" applyBorder="1" applyAlignment="1">
      <alignment horizontal="left" vertical="top"/>
    </xf>
    <xf numFmtId="0" fontId="14" fillId="0" borderId="0" xfId="0" applyFont="1" applyAlignment="1">
      <alignment wrapText="1"/>
    </xf>
    <xf numFmtId="164" fontId="14" fillId="0" borderId="0" xfId="0" applyNumberFormat="1" applyFont="1"/>
    <xf numFmtId="1" fontId="15" fillId="0" borderId="0" xfId="0" applyNumberFormat="1" applyFont="1" applyFill="1"/>
    <xf numFmtId="1" fontId="13" fillId="0" borderId="0" xfId="0" applyNumberFormat="1" applyFont="1" applyFill="1"/>
    <xf numFmtId="0" fontId="38" fillId="34" borderId="0" xfId="0" applyFont="1" applyFill="1" applyBorder="1" applyAlignment="1">
      <alignment horizontal="center" vertical="center"/>
    </xf>
    <xf numFmtId="0" fontId="166" fillId="0" borderId="0" xfId="173" applyFont="1" applyAlignment="1" applyProtection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2" fillId="0" borderId="0" xfId="0" applyFont="1" applyAlignment="1"/>
    <xf numFmtId="0" fontId="15" fillId="0" borderId="2" xfId="0" quotePrefix="1" applyFont="1" applyBorder="1" applyAlignment="1">
      <alignment horizontal="center" vertical="center" wrapText="1"/>
    </xf>
    <xf numFmtId="0" fontId="29" fillId="0" borderId="2" xfId="196" applyFont="1" applyFill="1" applyBorder="1" applyAlignment="1">
      <alignment horizontal="center" vertical="center" wrapText="1"/>
    </xf>
    <xf numFmtId="171" fontId="110" fillId="34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/>
    <xf numFmtId="1" fontId="110" fillId="34" borderId="0" xfId="0" applyNumberFormat="1" applyFont="1" applyFill="1"/>
    <xf numFmtId="164" fontId="110" fillId="34" borderId="0" xfId="0" applyNumberFormat="1" applyFont="1" applyFill="1"/>
    <xf numFmtId="0" fontId="110" fillId="34" borderId="0" xfId="0" applyFont="1" applyFill="1"/>
    <xf numFmtId="0" fontId="17" fillId="34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2" fontId="40" fillId="34" borderId="0" xfId="0" applyNumberFormat="1" applyFont="1" applyFill="1" applyBorder="1" applyAlignment="1">
      <alignment horizontal="center" vertical="center" wrapText="1"/>
    </xf>
    <xf numFmtId="0" fontId="147" fillId="2" borderId="0" xfId="0" applyFont="1" applyFill="1" applyBorder="1" applyAlignment="1"/>
    <xf numFmtId="0" fontId="155" fillId="0" borderId="0" xfId="0" applyFont="1" applyBorder="1" applyAlignment="1"/>
    <xf numFmtId="0" fontId="147" fillId="2" borderId="0" xfId="0" applyFont="1" applyFill="1" applyBorder="1" applyAlignment="1">
      <alignment wrapText="1"/>
    </xf>
    <xf numFmtId="0" fontId="147" fillId="2" borderId="0" xfId="0" applyFont="1" applyFill="1" applyBorder="1" applyAlignment="1">
      <alignment horizontal="left" vertical="top"/>
    </xf>
    <xf numFmtId="0" fontId="155" fillId="0" borderId="0" xfId="0" applyFont="1" applyBorder="1" applyAlignment="1">
      <alignment horizontal="left" vertical="center"/>
    </xf>
    <xf numFmtId="0" fontId="155" fillId="2" borderId="0" xfId="0" applyFont="1" applyFill="1" applyBorder="1" applyAlignment="1">
      <alignment horizontal="left" vertical="center"/>
    </xf>
    <xf numFmtId="0" fontId="149" fillId="0" borderId="0" xfId="0" applyFont="1" applyBorder="1" applyAlignment="1">
      <alignment horizontal="left" wrapText="1"/>
    </xf>
    <xf numFmtId="0" fontId="149" fillId="0" borderId="11" xfId="0" applyFont="1" applyBorder="1" applyAlignment="1">
      <alignment horizontal="left" wrapText="1"/>
    </xf>
    <xf numFmtId="0" fontId="148" fillId="2" borderId="0" xfId="0" applyFont="1" applyFill="1" applyBorder="1" applyAlignment="1">
      <alignment horizontal="left"/>
    </xf>
    <xf numFmtId="0" fontId="148" fillId="2" borderId="11" xfId="0" applyFont="1" applyFill="1" applyBorder="1" applyAlignment="1">
      <alignment horizontal="left"/>
    </xf>
    <xf numFmtId="2" fontId="13" fillId="0" borderId="0" xfId="0" applyNumberFormat="1" applyFont="1" applyFill="1" applyBorder="1"/>
    <xf numFmtId="1" fontId="14" fillId="0" borderId="0" xfId="0" applyNumberFormat="1" applyFont="1" applyFill="1" applyBorder="1" applyAlignment="1"/>
    <xf numFmtId="0" fontId="38" fillId="34" borderId="0" xfId="0" applyFont="1" applyFill="1" applyBorder="1" applyAlignment="1">
      <alignment horizontal="center" vertical="center" wrapText="1"/>
    </xf>
    <xf numFmtId="0" fontId="124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/>
    <xf numFmtId="37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37" fontId="38" fillId="34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 vertical="center"/>
    </xf>
    <xf numFmtId="176" fontId="15" fillId="0" borderId="0" xfId="0" applyNumberFormat="1" applyFont="1" applyFill="1"/>
    <xf numFmtId="0" fontId="15" fillId="34" borderId="0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124" fillId="34" borderId="0" xfId="0" applyFont="1" applyFill="1" applyBorder="1" applyAlignment="1">
      <alignment horizontal="left" vertical="center"/>
    </xf>
    <xf numFmtId="0" fontId="124" fillId="0" borderId="0" xfId="0" applyFont="1" applyFill="1" applyBorder="1" applyAlignment="1">
      <alignment horizontal="left" vertical="center"/>
    </xf>
    <xf numFmtId="0" fontId="124" fillId="0" borderId="0" xfId="0" applyFont="1" applyFill="1" applyAlignment="1">
      <alignment horizontal="center" vertical="center"/>
    </xf>
    <xf numFmtId="1" fontId="15" fillId="0" borderId="0" xfId="0" applyNumberFormat="1" applyFont="1" applyFill="1" applyBorder="1"/>
    <xf numFmtId="46" fontId="38" fillId="34" borderId="0" xfId="0" applyNumberFormat="1" applyFont="1" applyFill="1" applyBorder="1" applyAlignment="1">
      <alignment horizontal="center" vertical="center"/>
    </xf>
    <xf numFmtId="46" fontId="38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49" fontId="15" fillId="0" borderId="0" xfId="0" applyNumberFormat="1" applyFont="1" applyBorder="1" applyAlignment="1">
      <alignment vertical="center"/>
    </xf>
    <xf numFmtId="2" fontId="15" fillId="0" borderId="0" xfId="0" applyNumberFormat="1" applyFont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15" fillId="34" borderId="6" xfId="0" applyFont="1" applyFill="1" applyBorder="1" applyAlignment="1">
      <alignment vertical="center"/>
    </xf>
    <xf numFmtId="0" fontId="147" fillId="0" borderId="0" xfId="0" applyFont="1" applyFill="1" applyBorder="1" applyAlignment="1">
      <alignment wrapText="1"/>
    </xf>
    <xf numFmtId="1" fontId="118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right" vertical="center" wrapText="1"/>
    </xf>
    <xf numFmtId="0" fontId="166" fillId="0" borderId="0" xfId="173" applyFont="1" applyFill="1" applyAlignment="1" applyProtection="1"/>
    <xf numFmtId="2" fontId="19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" fontId="15" fillId="0" borderId="0" xfId="196" applyNumberFormat="1" applyFont="1" applyAlignment="1">
      <alignment horizontal="center" vertical="center" wrapText="1"/>
    </xf>
    <xf numFmtId="2" fontId="15" fillId="0" borderId="0" xfId="196" applyNumberFormat="1" applyFont="1" applyFill="1" applyAlignment="1">
      <alignment horizontal="center" vertical="center" wrapText="1"/>
    </xf>
    <xf numFmtId="2" fontId="15" fillId="34" borderId="0" xfId="196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Alignment="1">
      <alignment horizontal="center" vertical="center" wrapText="1"/>
    </xf>
    <xf numFmtId="2" fontId="23" fillId="0" borderId="0" xfId="196" applyNumberFormat="1" applyFont="1" applyFill="1" applyBorder="1" applyAlignment="1">
      <alignment horizontal="center" vertical="center" wrapText="1"/>
    </xf>
    <xf numFmtId="2" fontId="15" fillId="0" borderId="0" xfId="196" applyNumberFormat="1" applyFont="1" applyFill="1" applyBorder="1" applyAlignment="1">
      <alignment horizontal="center" vertical="center" wrapText="1"/>
    </xf>
    <xf numFmtId="2" fontId="23" fillId="34" borderId="0" xfId="196" applyNumberFormat="1" applyFont="1" applyFill="1" applyBorder="1" applyAlignment="1">
      <alignment horizontal="center" vertical="center" wrapText="1"/>
    </xf>
    <xf numFmtId="2" fontId="17" fillId="34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38" fillId="35" borderId="0" xfId="0" applyFont="1" applyFill="1" applyBorder="1" applyAlignment="1">
      <alignment horizontal="left" vertical="top" wrapText="1"/>
    </xf>
    <xf numFmtId="1" fontId="38" fillId="0" borderId="0" xfId="0" applyNumberFormat="1" applyFont="1" applyBorder="1" applyAlignment="1">
      <alignment horizontal="center" vertical="center" wrapText="1"/>
    </xf>
    <xf numFmtId="1" fontId="38" fillId="34" borderId="0" xfId="0" applyNumberFormat="1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 wrapText="1"/>
    </xf>
    <xf numFmtId="2" fontId="39" fillId="34" borderId="0" xfId="0" applyNumberFormat="1" applyFont="1" applyFill="1" applyBorder="1" applyAlignment="1">
      <alignment horizontal="center" vertical="center" wrapText="1"/>
    </xf>
    <xf numFmtId="1" fontId="39" fillId="34" borderId="0" xfId="0" applyNumberFormat="1" applyFont="1" applyFill="1" applyBorder="1" applyAlignment="1">
      <alignment horizontal="center" vertical="center" wrapText="1"/>
    </xf>
    <xf numFmtId="2" fontId="39" fillId="0" borderId="0" xfId="0" applyNumberFormat="1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 wrapText="1"/>
    </xf>
    <xf numFmtId="4" fontId="38" fillId="34" borderId="0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Fill="1" applyBorder="1" applyAlignment="1">
      <alignment horizontal="center" vertical="center" wrapText="1"/>
    </xf>
    <xf numFmtId="0" fontId="15" fillId="0" borderId="0" xfId="136" applyNumberFormat="1" applyFont="1" applyFill="1" applyBorder="1" applyAlignment="1">
      <alignment horizontal="center" vertical="center"/>
    </xf>
    <xf numFmtId="2" fontId="15" fillId="0" borderId="0" xfId="136" applyNumberFormat="1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vertical="center" wrapText="1"/>
    </xf>
    <xf numFmtId="0" fontId="39" fillId="0" borderId="0" xfId="0" applyFont="1"/>
    <xf numFmtId="0" fontId="15" fillId="0" borderId="0" xfId="0" applyFont="1" applyBorder="1" applyAlignment="1">
      <alignment horizontal="center"/>
    </xf>
    <xf numFmtId="0" fontId="23" fillId="34" borderId="0" xfId="0" applyFont="1" applyFill="1" applyBorder="1" applyAlignment="1">
      <alignment horizontal="center" vertical="center" wrapText="1"/>
    </xf>
    <xf numFmtId="164" fontId="23" fillId="34" borderId="0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38" fillId="34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" fontId="38" fillId="0" borderId="0" xfId="0" applyNumberFormat="1" applyFont="1" applyFill="1" applyBorder="1" applyAlignment="1">
      <alignment horizontal="center" vertical="center"/>
    </xf>
    <xf numFmtId="1" fontId="38" fillId="34" borderId="0" xfId="0" applyNumberFormat="1" applyFont="1" applyFill="1" applyBorder="1" applyAlignment="1">
      <alignment horizontal="center" vertical="center"/>
    </xf>
    <xf numFmtId="0" fontId="40" fillId="34" borderId="6" xfId="0" applyFont="1" applyFill="1" applyBorder="1" applyAlignment="1">
      <alignment horizontal="center" vertical="center" wrapText="1"/>
    </xf>
    <xf numFmtId="2" fontId="40" fillId="34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38" fillId="34" borderId="6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vertical="center" wrapText="1"/>
    </xf>
    <xf numFmtId="2" fontId="110" fillId="34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/>
    <xf numFmtId="2" fontId="7" fillId="0" borderId="0" xfId="0" applyNumberFormat="1" applyFont="1" applyFill="1" applyBorder="1"/>
    <xf numFmtId="3" fontId="7" fillId="0" borderId="0" xfId="0" applyNumberFormat="1" applyFont="1" applyFill="1" applyBorder="1"/>
    <xf numFmtId="0" fontId="0" fillId="0" borderId="0" xfId="0" applyFill="1" applyAlignment="1">
      <alignment horizontal="right" wrapText="1"/>
    </xf>
    <xf numFmtId="0" fontId="23" fillId="0" borderId="0" xfId="0" applyFont="1" applyFill="1" applyBorder="1" applyAlignment="1">
      <alignment horizontal="center" vertical="center" wrapText="1"/>
    </xf>
    <xf numFmtId="1" fontId="7" fillId="0" borderId="0" xfId="0" applyNumberFormat="1" applyFont="1"/>
    <xf numFmtId="0" fontId="10" fillId="0" borderId="0" xfId="0" applyFont="1" applyBorder="1" applyAlignment="1">
      <alignment horizontal="right" wrapText="1"/>
    </xf>
    <xf numFmtId="1" fontId="128" fillId="0" borderId="2" xfId="0" applyNumberFormat="1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27" fillId="0" borderId="0" xfId="0" applyFont="1" applyAlignment="1"/>
    <xf numFmtId="0" fontId="14" fillId="0" borderId="0" xfId="0" applyFont="1" applyBorder="1" applyAlignment="1">
      <alignment horizontal="center"/>
    </xf>
    <xf numFmtId="164" fontId="82" fillId="0" borderId="0" xfId="0" applyNumberFormat="1" applyFont="1"/>
    <xf numFmtId="2" fontId="33" fillId="0" borderId="0" xfId="0" applyNumberFormat="1" applyFont="1"/>
    <xf numFmtId="1" fontId="33" fillId="0" borderId="0" xfId="0" applyNumberFormat="1" applyFont="1" applyBorder="1"/>
    <xf numFmtId="0" fontId="23" fillId="0" borderId="43" xfId="0" applyFont="1" applyFill="1" applyBorder="1" applyAlignment="1">
      <alignment horizontal="center" vertical="center" wrapText="1"/>
    </xf>
    <xf numFmtId="0" fontId="50" fillId="0" borderId="4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49" fontId="33" fillId="0" borderId="0" xfId="0" applyNumberFormat="1" applyFont="1"/>
    <xf numFmtId="1" fontId="33" fillId="0" borderId="0" xfId="0" applyNumberFormat="1" applyFont="1"/>
    <xf numFmtId="0" fontId="110" fillId="0" borderId="0" xfId="0" applyFont="1" applyFill="1" applyBorder="1" applyAlignment="1">
      <alignment horizontal="left" vertical="center" wrapText="1"/>
    </xf>
    <xf numFmtId="177" fontId="14" fillId="0" borderId="0" xfId="0" applyNumberFormat="1" applyFont="1"/>
    <xf numFmtId="166" fontId="14" fillId="0" borderId="0" xfId="0" applyNumberFormat="1" applyFont="1"/>
    <xf numFmtId="0" fontId="82" fillId="0" borderId="0" xfId="0" applyFont="1" applyAlignment="1">
      <alignment horizontal="left" wrapText="1"/>
    </xf>
    <xf numFmtId="0" fontId="29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1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0" fillId="0" borderId="0" xfId="0" applyAlignment="1"/>
    <xf numFmtId="0" fontId="13" fillId="0" borderId="1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28" fillId="0" borderId="4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6" fillId="0" borderId="43" xfId="0" applyFont="1" applyBorder="1" applyAlignment="1">
      <alignment horizontal="center" vertical="center" wrapText="1"/>
    </xf>
    <xf numFmtId="0" fontId="3" fillId="0" borderId="0" xfId="0" applyFont="1" applyAlignment="1"/>
    <xf numFmtId="0" fontId="20" fillId="0" borderId="43" xfId="0" applyFont="1" applyFill="1" applyBorder="1" applyAlignment="1">
      <alignment horizontal="center" vertical="center" wrapText="1"/>
    </xf>
    <xf numFmtId="0" fontId="3" fillId="0" borderId="0" xfId="196" applyFont="1"/>
    <xf numFmtId="0" fontId="29" fillId="0" borderId="43" xfId="196" applyFont="1" applyBorder="1" applyAlignment="1">
      <alignment horizontal="center" vertical="center" wrapText="1"/>
    </xf>
    <xf numFmtId="2" fontId="17" fillId="34" borderId="0" xfId="0" applyNumberFormat="1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10" fillId="0" borderId="51" xfId="0" applyFont="1" applyBorder="1"/>
    <xf numFmtId="2" fontId="110" fillId="0" borderId="51" xfId="0" applyNumberFormat="1" applyFont="1" applyBorder="1" applyAlignment="1">
      <alignment horizontal="center" vertical="center"/>
    </xf>
    <xf numFmtId="164" fontId="14" fillId="0" borderId="0" xfId="0" applyNumberFormat="1" applyFont="1" applyFill="1" applyAlignment="1"/>
    <xf numFmtId="0" fontId="19" fillId="34" borderId="6" xfId="0" applyFont="1" applyFill="1" applyBorder="1" applyAlignment="1">
      <alignment horizontal="left" vertical="center" wrapText="1"/>
    </xf>
    <xf numFmtId="0" fontId="13" fillId="34" borderId="6" xfId="0" applyFont="1" applyFill="1" applyBorder="1" applyAlignment="1">
      <alignment horizontal="left" vertical="center" wrapText="1"/>
    </xf>
    <xf numFmtId="0" fontId="16" fillId="0" borderId="40" xfId="0" applyFont="1" applyBorder="1" applyAlignment="1">
      <alignment wrapText="1"/>
    </xf>
    <xf numFmtId="0" fontId="25" fillId="0" borderId="0" xfId="0" applyFont="1" applyBorder="1" applyAlignment="1">
      <alignment wrapText="1"/>
    </xf>
    <xf numFmtId="2" fontId="15" fillId="0" borderId="0" xfId="0" applyNumberFormat="1" applyFont="1" applyFill="1" applyBorder="1" applyAlignment="1">
      <alignment vertical="center" wrapText="1"/>
    </xf>
    <xf numFmtId="2" fontId="15" fillId="0" borderId="32" xfId="136" applyNumberFormat="1" applyFont="1" applyBorder="1" applyAlignment="1">
      <alignment horizontal="center" vertical="center"/>
    </xf>
    <xf numFmtId="2" fontId="23" fillId="0" borderId="2" xfId="0" applyNumberFormat="1" applyFont="1" applyFill="1" applyBorder="1" applyAlignment="1">
      <alignment horizontal="center" vertical="top" wrapText="1"/>
    </xf>
    <xf numFmtId="2" fontId="23" fillId="0" borderId="43" xfId="0" applyNumberFormat="1" applyFont="1" applyFill="1" applyBorder="1" applyAlignment="1">
      <alignment horizontal="center" vertical="top" wrapText="1"/>
    </xf>
    <xf numFmtId="2" fontId="23" fillId="0" borderId="2" xfId="0" quotePrefix="1" applyNumberFormat="1" applyFont="1" applyFill="1" applyBorder="1" applyAlignment="1">
      <alignment horizontal="center" vertical="top"/>
    </xf>
    <xf numFmtId="2" fontId="15" fillId="0" borderId="36" xfId="136" applyNumberFormat="1" applyFont="1" applyBorder="1" applyAlignment="1">
      <alignment horizontal="center" vertical="center"/>
    </xf>
    <xf numFmtId="2" fontId="15" fillId="0" borderId="39" xfId="136" applyNumberFormat="1" applyFont="1" applyBorder="1" applyAlignment="1">
      <alignment horizontal="center" vertical="center"/>
    </xf>
    <xf numFmtId="2" fontId="15" fillId="0" borderId="2" xfId="136" applyNumberFormat="1" applyFont="1" applyBorder="1" applyAlignment="1">
      <alignment horizontal="center" vertical="center"/>
    </xf>
    <xf numFmtId="2" fontId="15" fillId="34" borderId="32" xfId="136" applyNumberFormat="1" applyFont="1" applyFill="1" applyBorder="1" applyAlignment="1">
      <alignment horizontal="center" vertical="center"/>
    </xf>
    <xf numFmtId="2" fontId="15" fillId="34" borderId="33" xfId="136" applyNumberFormat="1" applyFont="1" applyFill="1" applyBorder="1" applyAlignment="1">
      <alignment horizontal="center" vertical="center"/>
    </xf>
    <xf numFmtId="2" fontId="15" fillId="34" borderId="2" xfId="136" applyNumberFormat="1" applyFont="1" applyFill="1" applyBorder="1" applyAlignment="1">
      <alignment horizontal="center" vertical="center"/>
    </xf>
    <xf numFmtId="2" fontId="15" fillId="0" borderId="33" xfId="136" applyNumberFormat="1" applyFont="1" applyBorder="1" applyAlignment="1">
      <alignment horizontal="center" vertical="center"/>
    </xf>
    <xf numFmtId="2" fontId="15" fillId="0" borderId="32" xfId="136" applyNumberFormat="1" applyFont="1" applyFill="1" applyBorder="1" applyAlignment="1">
      <alignment horizontal="center" vertical="center"/>
    </xf>
    <xf numFmtId="2" fontId="15" fillId="0" borderId="33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top"/>
    </xf>
    <xf numFmtId="2" fontId="15" fillId="34" borderId="49" xfId="136" applyNumberFormat="1" applyFont="1" applyFill="1" applyBorder="1" applyAlignment="1">
      <alignment horizontal="center" vertical="top"/>
    </xf>
    <xf numFmtId="164" fontId="118" fillId="0" borderId="0" xfId="0" applyNumberFormat="1" applyFont="1" applyFill="1" applyAlignment="1">
      <alignment horizontal="center"/>
    </xf>
    <xf numFmtId="0" fontId="34" fillId="0" borderId="0" xfId="0" applyFont="1" applyBorder="1" applyAlignment="1">
      <alignment horizontal="right"/>
    </xf>
    <xf numFmtId="0" fontId="23" fillId="34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horizontal="center" wrapText="1"/>
    </xf>
    <xf numFmtId="0" fontId="110" fillId="0" borderId="0" xfId="0" applyFont="1" applyAlignment="1"/>
    <xf numFmtId="0" fontId="123" fillId="0" borderId="41" xfId="0" applyFont="1" applyBorder="1" applyAlignment="1"/>
    <xf numFmtId="166" fontId="15" fillId="0" borderId="0" xfId="0" applyNumberFormat="1" applyFont="1" applyFill="1" applyBorder="1"/>
    <xf numFmtId="0" fontId="159" fillId="0" borderId="0" xfId="0" applyFont="1" applyAlignment="1">
      <alignment vertical="top" wrapText="1"/>
    </xf>
    <xf numFmtId="178" fontId="15" fillId="0" borderId="0" xfId="0" applyNumberFormat="1" applyFont="1" applyBorder="1"/>
    <xf numFmtId="2" fontId="44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wrapText="1"/>
    </xf>
    <xf numFmtId="0" fontId="15" fillId="0" borderId="0" xfId="0" applyFont="1" applyFill="1" applyBorder="1" applyAlignment="1">
      <alignment vertical="top"/>
    </xf>
    <xf numFmtId="164" fontId="118" fillId="34" borderId="0" xfId="0" applyNumberFormat="1" applyFont="1" applyFill="1" applyBorder="1" applyAlignment="1">
      <alignment horizontal="center"/>
    </xf>
    <xf numFmtId="164" fontId="118" fillId="0" borderId="0" xfId="0" applyNumberFormat="1" applyFont="1" applyFill="1" applyBorder="1" applyAlignment="1">
      <alignment horizontal="center"/>
    </xf>
    <xf numFmtId="164" fontId="118" fillId="34" borderId="0" xfId="0" applyNumberFormat="1" applyFont="1" applyFill="1" applyAlignment="1">
      <alignment horizontal="center"/>
    </xf>
    <xf numFmtId="164" fontId="119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righ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vertical="center"/>
    </xf>
    <xf numFmtId="0" fontId="10" fillId="0" borderId="40" xfId="0" applyFont="1" applyFill="1" applyBorder="1" applyAlignment="1">
      <alignment horizontal="right" vertical="center" wrapText="1"/>
    </xf>
    <xf numFmtId="0" fontId="9" fillId="0" borderId="40" xfId="0" applyFont="1" applyFill="1" applyBorder="1" applyAlignment="1">
      <alignment wrapText="1"/>
    </xf>
    <xf numFmtId="0" fontId="13" fillId="0" borderId="40" xfId="0" applyFont="1" applyFill="1" applyBorder="1" applyAlignment="1">
      <alignment horizontal="right" vertical="center" wrapText="1"/>
    </xf>
    <xf numFmtId="0" fontId="13" fillId="0" borderId="50" xfId="0" applyFont="1" applyBorder="1" applyAlignment="1">
      <alignment horizontal="center" vertical="center" wrapText="1"/>
    </xf>
    <xf numFmtId="179" fontId="14" fillId="0" borderId="0" xfId="136" applyNumberFormat="1" applyFont="1"/>
    <xf numFmtId="2" fontId="15" fillId="0" borderId="0" xfId="0" applyNumberFormat="1" applyFont="1" applyFill="1" applyBorder="1" applyAlignment="1"/>
    <xf numFmtId="0" fontId="19" fillId="0" borderId="0" xfId="0" applyFont="1" applyBorder="1" applyAlignment="1">
      <alignment horizontal="left"/>
    </xf>
    <xf numFmtId="0" fontId="34" fillId="0" borderId="0" xfId="0" applyFont="1" applyAlignment="1">
      <alignment horizontal="right"/>
    </xf>
    <xf numFmtId="0" fontId="120" fillId="0" borderId="3" xfId="0" applyFont="1" applyBorder="1" applyAlignment="1">
      <alignment horizontal="center" vertical="top" wrapText="1"/>
    </xf>
    <xf numFmtId="0" fontId="120" fillId="0" borderId="2" xfId="0" applyFont="1" applyBorder="1" applyAlignment="1">
      <alignment vertical="top" wrapText="1"/>
    </xf>
    <xf numFmtId="0" fontId="123" fillId="0" borderId="2" xfId="0" applyFont="1" applyBorder="1" applyAlignment="1">
      <alignment horizontal="center" vertical="center"/>
    </xf>
    <xf numFmtId="2" fontId="137" fillId="0" borderId="0" xfId="0" applyNumberFormat="1" applyFont="1" applyFill="1" applyBorder="1" applyAlignment="1">
      <alignment horizontal="center" vertical="center"/>
    </xf>
    <xf numFmtId="2" fontId="137" fillId="34" borderId="0" xfId="0" applyNumberFormat="1" applyFont="1" applyFill="1" applyBorder="1" applyAlignment="1">
      <alignment horizontal="center" vertical="center"/>
    </xf>
    <xf numFmtId="0" fontId="176" fillId="34" borderId="0" xfId="0" applyFont="1" applyFill="1" applyBorder="1" applyAlignment="1">
      <alignment horizontal="left" vertical="center" wrapText="1"/>
    </xf>
    <xf numFmtId="0" fontId="137" fillId="0" borderId="0" xfId="0" applyFont="1" applyFill="1" applyBorder="1" applyAlignment="1">
      <alignment horizontal="left" vertical="center" wrapText="1"/>
    </xf>
    <xf numFmtId="0" fontId="137" fillId="34" borderId="0" xfId="0" applyFont="1" applyFill="1" applyBorder="1" applyAlignment="1">
      <alignment horizontal="left" vertical="center" wrapText="1"/>
    </xf>
    <xf numFmtId="0" fontId="176" fillId="34" borderId="0" xfId="0" applyFont="1" applyFill="1" applyBorder="1" applyAlignment="1">
      <alignment horizontal="right" vertical="center" wrapText="1"/>
    </xf>
    <xf numFmtId="0" fontId="137" fillId="0" borderId="0" xfId="0" applyFont="1" applyFill="1" applyBorder="1" applyAlignment="1">
      <alignment horizontal="right" vertical="center" wrapText="1"/>
    </xf>
    <xf numFmtId="0" fontId="137" fillId="34" borderId="0" xfId="0" applyFont="1" applyFill="1" applyBorder="1" applyAlignment="1">
      <alignment horizontal="right" vertical="center" wrapText="1"/>
    </xf>
    <xf numFmtId="0" fontId="176" fillId="0" borderId="0" xfId="0" applyFont="1" applyFill="1" applyBorder="1" applyAlignment="1">
      <alignment horizontal="left" vertical="center" wrapText="1"/>
    </xf>
    <xf numFmtId="0" fontId="176" fillId="0" borderId="0" xfId="0" applyFont="1" applyFill="1" applyBorder="1" applyAlignment="1">
      <alignment horizontal="right" vertical="center" wrapText="1"/>
    </xf>
    <xf numFmtId="0" fontId="179" fillId="0" borderId="3" xfId="0" applyFont="1" applyBorder="1" applyAlignment="1">
      <alignment horizontal="center" vertical="top" wrapText="1"/>
    </xf>
    <xf numFmtId="0" fontId="47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vertical="center"/>
    </xf>
    <xf numFmtId="2" fontId="19" fillId="0" borderId="0" xfId="0" applyNumberFormat="1" applyFont="1" applyBorder="1" applyAlignment="1">
      <alignment wrapText="1"/>
    </xf>
    <xf numFmtId="2" fontId="14" fillId="0" borderId="0" xfId="0" applyNumberFormat="1" applyFont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7" fillId="0" borderId="40" xfId="196" applyFont="1" applyBorder="1" applyAlignment="1">
      <alignment horizontal="left"/>
    </xf>
    <xf numFmtId="0" fontId="7" fillId="0" borderId="40" xfId="196" applyFont="1" applyBorder="1"/>
    <xf numFmtId="0" fontId="9" fillId="0" borderId="40" xfId="0" applyFont="1" applyBorder="1" applyAlignment="1"/>
    <xf numFmtId="1" fontId="120" fillId="0" borderId="0" xfId="0" applyNumberFormat="1" applyFont="1" applyFill="1"/>
    <xf numFmtId="164" fontId="120" fillId="0" borderId="0" xfId="0" applyNumberFormat="1" applyFont="1" applyFill="1"/>
    <xf numFmtId="0" fontId="16" fillId="0" borderId="0" xfId="0" applyFont="1" applyAlignment="1">
      <alignment wrapText="1"/>
    </xf>
    <xf numFmtId="0" fontId="161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right" wrapText="1"/>
    </xf>
    <xf numFmtId="164" fontId="82" fillId="0" borderId="0" xfId="0" applyNumberFormat="1" applyFont="1" applyBorder="1" applyAlignment="1">
      <alignment horizontal="center" wrapText="1"/>
    </xf>
    <xf numFmtId="1" fontId="7" fillId="0" borderId="0" xfId="0" applyNumberFormat="1" applyFont="1" applyBorder="1" applyAlignment="1">
      <alignment horizontal="left"/>
    </xf>
    <xf numFmtId="164" fontId="123" fillId="0" borderId="0" xfId="0" applyNumberFormat="1" applyFont="1" applyFill="1" applyBorder="1" applyAlignment="1">
      <alignment horizontal="center" vertical="center"/>
    </xf>
    <xf numFmtId="164" fontId="124" fillId="34" borderId="0" xfId="0" applyNumberFormat="1" applyFont="1" applyFill="1" applyBorder="1" applyAlignment="1">
      <alignment horizontal="center" vertical="center"/>
    </xf>
    <xf numFmtId="164" fontId="124" fillId="0" borderId="0" xfId="0" applyNumberFormat="1" applyFont="1" applyFill="1" applyBorder="1" applyAlignment="1">
      <alignment horizontal="center" vertical="center"/>
    </xf>
    <xf numFmtId="164" fontId="123" fillId="34" borderId="0" xfId="0" applyNumberFormat="1" applyFont="1" applyFill="1" applyBorder="1" applyAlignment="1">
      <alignment horizontal="center" vertical="center"/>
    </xf>
    <xf numFmtId="1" fontId="110" fillId="34" borderId="0" xfId="0" applyNumberFormat="1" applyFont="1" applyFill="1" applyBorder="1" applyAlignment="1">
      <alignment horizontal="center" vertical="center"/>
    </xf>
    <xf numFmtId="164" fontId="159" fillId="0" borderId="0" xfId="0" applyNumberFormat="1" applyFont="1"/>
    <xf numFmtId="0" fontId="34" fillId="0" borderId="0" xfId="0" applyFont="1" applyBorder="1" applyAlignment="1">
      <alignment horizontal="center" vertical="center" wrapText="1"/>
    </xf>
    <xf numFmtId="170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0" fontId="15" fillId="34" borderId="0" xfId="0" applyNumberFormat="1" applyFont="1" applyFill="1" applyBorder="1" applyAlignment="1">
      <alignment horizontal="left" vertical="center"/>
    </xf>
    <xf numFmtId="0" fontId="27" fillId="34" borderId="0" xfId="0" applyFont="1" applyFill="1" applyBorder="1" applyAlignment="1">
      <alignment vertical="center"/>
    </xf>
    <xf numFmtId="49" fontId="113" fillId="0" borderId="0" xfId="0" applyNumberFormat="1" applyFont="1" applyFill="1" applyBorder="1" applyAlignment="1">
      <alignment vertical="center"/>
    </xf>
    <xf numFmtId="49" fontId="113" fillId="0" borderId="0" xfId="0" applyNumberFormat="1" applyFont="1" applyBorder="1" applyAlignment="1">
      <alignment vertical="center"/>
    </xf>
    <xf numFmtId="0" fontId="113" fillId="0" borderId="0" xfId="0" applyFont="1" applyBorder="1" applyAlignment="1">
      <alignment vertical="center"/>
    </xf>
    <xf numFmtId="0" fontId="41" fillId="0" borderId="0" xfId="0" applyFont="1" applyBorder="1" applyAlignment="1"/>
    <xf numFmtId="0" fontId="46" fillId="0" borderId="0" xfId="0" applyFont="1" applyAlignment="1"/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center"/>
    </xf>
    <xf numFmtId="167" fontId="15" fillId="0" borderId="0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34" borderId="0" xfId="0" applyFont="1" applyFill="1" applyBorder="1" applyAlignment="1">
      <alignment horizontal="left"/>
    </xf>
    <xf numFmtId="0" fontId="14" fillId="34" borderId="0" xfId="0" applyNumberFormat="1" applyFont="1" applyFill="1" applyBorder="1" applyAlignment="1">
      <alignment horizontal="center" vertical="center"/>
    </xf>
    <xf numFmtId="0" fontId="14" fillId="34" borderId="0" xfId="0" applyNumberFormat="1" applyFont="1" applyFill="1" applyBorder="1" applyAlignment="1">
      <alignment horizontal="center" vertical="center" wrapText="1"/>
    </xf>
    <xf numFmtId="167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/>
    <xf numFmtId="0" fontId="14" fillId="34" borderId="0" xfId="0" applyFont="1" applyFill="1" applyBorder="1" applyAlignment="1">
      <alignment vertical="center"/>
    </xf>
    <xf numFmtId="1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/>
    <xf numFmtId="0" fontId="14" fillId="34" borderId="0" xfId="0" applyNumberFormat="1" applyFont="1" applyFill="1" applyBorder="1" applyAlignment="1">
      <alignment horizontal="left"/>
    </xf>
    <xf numFmtId="0" fontId="34" fillId="34" borderId="0" xfId="0" applyFont="1" applyFill="1" applyBorder="1"/>
    <xf numFmtId="167" fontId="34" fillId="34" borderId="0" xfId="0" applyNumberFormat="1" applyFont="1" applyFill="1" applyBorder="1" applyAlignment="1">
      <alignment horizontal="center" vertical="center"/>
    </xf>
    <xf numFmtId="167" fontId="14" fillId="34" borderId="0" xfId="0" applyNumberFormat="1" applyFont="1" applyFill="1" applyBorder="1" applyAlignment="1">
      <alignment horizontal="center" vertical="center"/>
    </xf>
    <xf numFmtId="49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/>
    </xf>
    <xf numFmtId="173" fontId="14" fillId="0" borderId="0" xfId="0" applyNumberFormat="1" applyFont="1" applyFill="1" applyBorder="1"/>
    <xf numFmtId="174" fontId="7" fillId="0" borderId="0" xfId="0" applyNumberFormat="1" applyFont="1" applyFill="1" applyBorder="1"/>
    <xf numFmtId="0" fontId="181" fillId="0" borderId="0" xfId="0" applyFont="1" applyBorder="1"/>
    <xf numFmtId="3" fontId="8" fillId="0" borderId="0" xfId="234" applyNumberFormat="1" applyFont="1" applyFill="1" applyBorder="1" applyAlignment="1" applyProtection="1">
      <alignment horizontal="right"/>
    </xf>
    <xf numFmtId="3" fontId="8" fillId="0" borderId="0" xfId="234" applyNumberFormat="1" applyFont="1" applyFill="1" applyBorder="1" applyProtection="1"/>
    <xf numFmtId="3" fontId="8" fillId="0" borderId="0" xfId="234" applyNumberFormat="1" applyFont="1" applyFill="1" applyBorder="1" applyProtection="1">
      <protection locked="0"/>
    </xf>
    <xf numFmtId="0" fontId="120" fillId="34" borderId="0" xfId="0" applyFont="1" applyFill="1"/>
    <xf numFmtId="164" fontId="120" fillId="34" borderId="0" xfId="0" applyNumberFormat="1" applyFont="1" applyFill="1"/>
    <xf numFmtId="1" fontId="182" fillId="0" borderId="2" xfId="0" applyNumberFormat="1" applyFont="1" applyFill="1" applyBorder="1" applyAlignment="1">
      <alignment horizontal="center" vertical="center" wrapText="1"/>
    </xf>
    <xf numFmtId="0" fontId="110" fillId="0" borderId="0" xfId="0" applyFont="1" applyFill="1" applyBorder="1"/>
    <xf numFmtId="164" fontId="110" fillId="0" borderId="0" xfId="0" applyNumberFormat="1" applyFont="1" applyFill="1" applyBorder="1"/>
    <xf numFmtId="0" fontId="110" fillId="34" borderId="0" xfId="0" applyFont="1" applyFill="1" applyBorder="1"/>
    <xf numFmtId="164" fontId="110" fillId="34" borderId="0" xfId="0" applyNumberFormat="1" applyFont="1" applyFill="1" applyBorder="1"/>
    <xf numFmtId="0" fontId="130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44" xfId="0" applyFont="1" applyBorder="1" applyAlignment="1">
      <alignment horizontal="center" vertical="center" wrapText="1"/>
    </xf>
    <xf numFmtId="0" fontId="14" fillId="0" borderId="0" xfId="0" applyFont="1" applyAlignment="1"/>
    <xf numFmtId="0" fontId="183" fillId="0" borderId="2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wrapText="1"/>
    </xf>
    <xf numFmtId="0" fontId="15" fillId="0" borderId="40" xfId="0" applyFont="1" applyBorder="1" applyAlignment="1">
      <alignment horizontal="center" vertical="center" wrapText="1"/>
    </xf>
    <xf numFmtId="164" fontId="110" fillId="0" borderId="0" xfId="0" applyNumberFormat="1" applyFont="1"/>
    <xf numFmtId="1" fontId="33" fillId="0" borderId="0" xfId="0" applyNumberFormat="1" applyFont="1" applyFill="1"/>
    <xf numFmtId="0" fontId="162" fillId="0" borderId="0" xfId="232" applyFont="1" applyAlignment="1">
      <alignment horizontal="center" vertical="center"/>
    </xf>
    <xf numFmtId="16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center" vertical="center"/>
    </xf>
    <xf numFmtId="167" fontId="14" fillId="34" borderId="6" xfId="0" applyNumberFormat="1" applyFont="1" applyFill="1" applyBorder="1" applyAlignment="1">
      <alignment horizontal="center" vertical="center"/>
    </xf>
    <xf numFmtId="0" fontId="14" fillId="34" borderId="6" xfId="0" applyFont="1" applyFill="1" applyBorder="1" applyAlignment="1">
      <alignment horizontal="center" vertical="center"/>
    </xf>
    <xf numFmtId="0" fontId="162" fillId="0" borderId="0" xfId="232" applyFont="1" applyAlignment="1">
      <alignment vertical="center"/>
    </xf>
    <xf numFmtId="0" fontId="29" fillId="0" borderId="0" xfId="0" applyFont="1" applyFill="1" applyBorder="1" applyAlignment="1">
      <alignment horizontal="right"/>
    </xf>
    <xf numFmtId="0" fontId="14" fillId="34" borderId="0" xfId="0" applyFont="1" applyFill="1" applyBorder="1" applyAlignment="1">
      <alignment horizontal="right" vertical="center"/>
    </xf>
    <xf numFmtId="0" fontId="14" fillId="34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right"/>
    </xf>
    <xf numFmtId="164" fontId="124" fillId="0" borderId="0" xfId="0" applyNumberFormat="1" applyFont="1"/>
    <xf numFmtId="2" fontId="18" fillId="0" borderId="0" xfId="0" applyNumberFormat="1" applyFont="1" applyAlignment="1"/>
    <xf numFmtId="1" fontId="14" fillId="0" borderId="0" xfId="0" applyNumberFormat="1" applyFont="1" applyFill="1" applyBorder="1" applyAlignment="1">
      <alignment vertical="top" wrapText="1"/>
    </xf>
    <xf numFmtId="1" fontId="19" fillId="0" borderId="0" xfId="0" applyNumberFormat="1" applyFont="1"/>
    <xf numFmtId="1" fontId="110" fillId="34" borderId="0" xfId="0" applyNumberFormat="1" applyFont="1" applyFill="1" applyBorder="1"/>
    <xf numFmtId="164" fontId="0" fillId="0" borderId="0" xfId="0" applyNumberFormat="1"/>
    <xf numFmtId="164" fontId="5" fillId="0" borderId="0" xfId="0" applyNumberFormat="1" applyFont="1"/>
    <xf numFmtId="2" fontId="13" fillId="0" borderId="0" xfId="0" applyNumberFormat="1" applyFont="1" applyBorder="1"/>
    <xf numFmtId="0" fontId="13" fillId="0" borderId="2" xfId="0" applyFont="1" applyBorder="1" applyAlignment="1">
      <alignment horizontal="center" vertical="center" wrapText="1"/>
    </xf>
    <xf numFmtId="0" fontId="74" fillId="0" borderId="40" xfId="0" applyFont="1" applyBorder="1" applyAlignment="1">
      <alignment horizontal="left"/>
    </xf>
    <xf numFmtId="0" fontId="25" fillId="0" borderId="0" xfId="0" applyFont="1" applyFill="1" applyAlignment="1">
      <alignment vertical="center"/>
    </xf>
    <xf numFmtId="1" fontId="110" fillId="0" borderId="0" xfId="0" applyNumberFormat="1" applyFont="1" applyFill="1" applyBorder="1"/>
    <xf numFmtId="0" fontId="0" fillId="0" borderId="0" xfId="0"/>
    <xf numFmtId="2" fontId="13" fillId="0" borderId="0" xfId="0" applyNumberFormat="1" applyFont="1" applyFill="1" applyBorder="1" applyAlignment="1">
      <alignment horizontal="left" vertical="center"/>
    </xf>
    <xf numFmtId="164" fontId="14" fillId="0" borderId="0" xfId="0" applyNumberFormat="1" applyFont="1" applyBorder="1" applyAlignment="1"/>
    <xf numFmtId="164" fontId="64" fillId="0" borderId="0" xfId="0" applyNumberFormat="1" applyFont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2" fontId="38" fillId="34" borderId="6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/>
    <xf numFmtId="0" fontId="13" fillId="34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/>
    </xf>
    <xf numFmtId="1" fontId="15" fillId="0" borderId="0" xfId="0" applyNumberFormat="1" applyFont="1" applyBorder="1" applyAlignment="1"/>
    <xf numFmtId="164" fontId="130" fillId="0" borderId="0" xfId="0" applyNumberFormat="1" applyFont="1"/>
    <xf numFmtId="164" fontId="159" fillId="0" borderId="0" xfId="0" applyNumberFormat="1" applyFont="1" applyFill="1" applyBorder="1"/>
    <xf numFmtId="0" fontId="13" fillId="0" borderId="0" xfId="0" applyFont="1" applyFill="1" applyBorder="1" applyAlignment="1">
      <alignment horizontal="left" wrapText="1"/>
    </xf>
    <xf numFmtId="164" fontId="184" fillId="0" borderId="0" xfId="0" applyNumberFormat="1" applyFont="1"/>
    <xf numFmtId="0" fontId="184" fillId="0" borderId="0" xfId="0" applyFont="1"/>
    <xf numFmtId="2" fontId="14" fillId="0" borderId="0" xfId="0" applyNumberFormat="1" applyFont="1" applyAlignment="1"/>
    <xf numFmtId="2" fontId="40" fillId="0" borderId="0" xfId="0" applyNumberFormat="1" applyFont="1" applyBorder="1" applyAlignment="1">
      <alignment horizontal="left" vertical="center" wrapText="1"/>
    </xf>
    <xf numFmtId="2" fontId="38" fillId="0" borderId="0" xfId="0" applyNumberFormat="1" applyFont="1" applyAlignment="1">
      <alignment horizontal="center" vertical="center" wrapText="1"/>
    </xf>
    <xf numFmtId="2" fontId="38" fillId="0" borderId="0" xfId="0" applyNumberFormat="1" applyFont="1" applyFill="1" applyAlignment="1">
      <alignment horizontal="center" vertical="center" wrapText="1"/>
    </xf>
    <xf numFmtId="0" fontId="40" fillId="34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5" fillId="3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/>
    </xf>
    <xf numFmtId="0" fontId="25" fillId="0" borderId="0" xfId="0" applyFont="1" applyAlignment="1">
      <alignment horizontal="right" vertical="center" wrapText="1"/>
    </xf>
    <xf numFmtId="0" fontId="25" fillId="34" borderId="0" xfId="0" applyFont="1" applyFill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3" fillId="34" borderId="0" xfId="0" applyFont="1" applyFill="1" applyBorder="1" applyAlignment="1">
      <alignment vertical="center" wrapText="1"/>
    </xf>
    <xf numFmtId="2" fontId="40" fillId="0" borderId="0" xfId="0" applyNumberFormat="1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left" vertical="center" wrapText="1"/>
    </xf>
    <xf numFmtId="2" fontId="38" fillId="34" borderId="0" xfId="0" applyNumberFormat="1" applyFont="1" applyFill="1" applyAlignment="1">
      <alignment horizontal="center" vertical="center" wrapText="1"/>
    </xf>
    <xf numFmtId="0" fontId="19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2" fontId="38" fillId="0" borderId="0" xfId="0" applyNumberFormat="1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5" fillId="2" borderId="0" xfId="0" applyFont="1" applyFill="1" applyBorder="1"/>
    <xf numFmtId="0" fontId="187" fillId="2" borderId="0" xfId="0" applyFont="1" applyFill="1" applyBorder="1"/>
    <xf numFmtId="0" fontId="150" fillId="0" borderId="0" xfId="0" applyFont="1" applyAlignment="1"/>
    <xf numFmtId="0" fontId="146" fillId="0" borderId="0" xfId="0" applyFont="1" applyAlignment="1"/>
    <xf numFmtId="164" fontId="165" fillId="0" borderId="0" xfId="0" applyNumberFormat="1" applyFont="1" applyFill="1" applyBorder="1" applyAlignment="1">
      <alignment horizontal="center" vertical="center"/>
    </xf>
    <xf numFmtId="1" fontId="60" fillId="0" borderId="0" xfId="0" applyNumberFormat="1" applyFont="1" applyFill="1" applyBorder="1" applyAlignment="1">
      <alignment vertical="center"/>
    </xf>
    <xf numFmtId="1" fontId="60" fillId="0" borderId="0" xfId="0" applyNumberFormat="1" applyFont="1" applyFill="1" applyBorder="1" applyAlignment="1"/>
    <xf numFmtId="1" fontId="60" fillId="0" borderId="0" xfId="0" applyNumberFormat="1" applyFont="1" applyFill="1"/>
    <xf numFmtId="0" fontId="17" fillId="0" borderId="0" xfId="0" applyFont="1" applyFill="1" applyBorder="1" applyAlignment="1">
      <alignment horizontal="center" vertical="center"/>
    </xf>
    <xf numFmtId="0" fontId="126" fillId="0" borderId="0" xfId="0" applyFont="1"/>
    <xf numFmtId="0" fontId="130" fillId="0" borderId="0" xfId="0" applyFont="1"/>
    <xf numFmtId="2" fontId="13" fillId="34" borderId="0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vertical="justify" wrapText="1"/>
    </xf>
    <xf numFmtId="164" fontId="124" fillId="0" borderId="0" xfId="0" applyNumberFormat="1" applyFont="1" applyBorder="1" applyAlignment="1">
      <alignment horizontal="center" vertical="center" wrapText="1"/>
    </xf>
    <xf numFmtId="0" fontId="124" fillId="0" borderId="0" xfId="232" applyFont="1" applyFill="1" applyBorder="1" applyAlignment="1">
      <alignment horizontal="left" vertical="center" wrapText="1"/>
    </xf>
    <xf numFmtId="0" fontId="123" fillId="34" borderId="0" xfId="0" applyFont="1" applyFill="1" applyBorder="1" applyAlignment="1">
      <alignment horizontal="left" vertical="center"/>
    </xf>
    <xf numFmtId="0" fontId="123" fillId="0" borderId="0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34" borderId="0" xfId="0" applyNumberFormat="1" applyFont="1" applyFill="1" applyBorder="1" applyAlignment="1">
      <alignment horizontal="center" vertical="center" wrapText="1"/>
    </xf>
    <xf numFmtId="164" fontId="165" fillId="34" borderId="0" xfId="0" applyNumberFormat="1" applyFont="1" applyFill="1" applyBorder="1" applyAlignment="1">
      <alignment horizontal="center" vertical="center"/>
    </xf>
    <xf numFmtId="164" fontId="130" fillId="0" borderId="0" xfId="0" applyNumberFormat="1" applyFont="1" applyFill="1" applyBorder="1"/>
    <xf numFmtId="164" fontId="126" fillId="0" borderId="0" xfId="0" applyNumberFormat="1" applyFont="1" applyFill="1" applyBorder="1"/>
    <xf numFmtId="164" fontId="126" fillId="0" borderId="0" xfId="0" applyNumberFormat="1" applyFont="1" applyFill="1"/>
    <xf numFmtId="0" fontId="126" fillId="0" borderId="0" xfId="0" applyFont="1" applyFill="1"/>
    <xf numFmtId="164" fontId="130" fillId="0" borderId="0" xfId="0" applyNumberFormat="1" applyFont="1" applyFill="1"/>
    <xf numFmtId="0" fontId="126" fillId="0" borderId="0" xfId="0" applyFont="1" applyFill="1" applyBorder="1"/>
    <xf numFmtId="0" fontId="130" fillId="0" borderId="0" xfId="0" applyFont="1" applyFill="1"/>
    <xf numFmtId="0" fontId="159" fillId="0" borderId="0" xfId="0" applyFont="1" applyFill="1"/>
    <xf numFmtId="164" fontId="118" fillId="0" borderId="0" xfId="0" applyNumberFormat="1" applyFont="1" applyFill="1" applyBorder="1" applyAlignment="1">
      <alignment horizontal="left" vertical="center" wrapText="1"/>
    </xf>
    <xf numFmtId="164" fontId="118" fillId="34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34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right" vertical="center"/>
    </xf>
    <xf numFmtId="164" fontId="118" fillId="34" borderId="0" xfId="0" applyNumberFormat="1" applyFont="1" applyFill="1" applyBorder="1" applyAlignment="1">
      <alignment horizontal="right" vertical="center" wrapText="1"/>
    </xf>
    <xf numFmtId="164" fontId="15" fillId="34" borderId="0" xfId="0" applyNumberFormat="1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164" fontId="23" fillId="34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Alignment="1"/>
    <xf numFmtId="164" fontId="120" fillId="0" borderId="0" xfId="0" applyNumberFormat="1" applyFont="1" applyFill="1" applyBorder="1" applyAlignment="1">
      <alignment horizontal="center" vertical="center"/>
    </xf>
    <xf numFmtId="164" fontId="120" fillId="34" borderId="0" xfId="0" applyNumberFormat="1" applyFont="1" applyFill="1" applyBorder="1" applyAlignment="1">
      <alignment horizontal="center" vertical="center"/>
    </xf>
    <xf numFmtId="1" fontId="120" fillId="34" borderId="0" xfId="0" applyNumberFormat="1" applyFont="1" applyFill="1"/>
    <xf numFmtId="0" fontId="184" fillId="0" borderId="0" xfId="0" applyFont="1" applyFill="1"/>
    <xf numFmtId="164" fontId="184" fillId="0" borderId="0" xfId="0" applyNumberFormat="1" applyFont="1" applyFill="1"/>
    <xf numFmtId="0" fontId="188" fillId="0" borderId="0" xfId="0" applyFont="1" applyFill="1"/>
    <xf numFmtId="0" fontId="188" fillId="34" borderId="0" xfId="0" applyFont="1" applyFill="1"/>
    <xf numFmtId="164" fontId="188" fillId="34" borderId="0" xfId="0" applyNumberFormat="1" applyFont="1" applyFill="1"/>
    <xf numFmtId="164" fontId="110" fillId="0" borderId="0" xfId="0" applyNumberFormat="1" applyFont="1" applyBorder="1" applyAlignment="1">
      <alignment horizontal="center" vertical="center" wrapText="1"/>
    </xf>
    <xf numFmtId="0" fontId="137" fillId="0" borderId="0" xfId="232" applyFont="1" applyBorder="1" applyAlignment="1">
      <alignment horizontal="right" vertical="center" wrapText="1"/>
    </xf>
    <xf numFmtId="0" fontId="137" fillId="0" borderId="0" xfId="232" applyFont="1" applyBorder="1" applyAlignment="1">
      <alignment horizontal="left" vertical="center" wrapText="1"/>
    </xf>
    <xf numFmtId="2" fontId="137" fillId="0" borderId="0" xfId="0" applyNumberFormat="1" applyFont="1" applyBorder="1" applyAlignment="1">
      <alignment horizontal="center" vertical="center"/>
    </xf>
    <xf numFmtId="0" fontId="162" fillId="0" borderId="0" xfId="196" applyFont="1" applyAlignment="1"/>
    <xf numFmtId="0" fontId="158" fillId="0" borderId="0" xfId="196" applyFont="1" applyBorder="1" applyAlignment="1">
      <alignment wrapText="1"/>
    </xf>
    <xf numFmtId="0" fontId="163" fillId="0" borderId="0" xfId="196" applyFont="1" applyAlignment="1"/>
    <xf numFmtId="0" fontId="123" fillId="0" borderId="0" xfId="232" applyFont="1"/>
    <xf numFmtId="0" fontId="159" fillId="0" borderId="0" xfId="196" applyFont="1"/>
    <xf numFmtId="0" fontId="129" fillId="0" borderId="0" xfId="196" applyFont="1"/>
    <xf numFmtId="0" fontId="3" fillId="0" borderId="40" xfId="196" applyFont="1" applyBorder="1"/>
    <xf numFmtId="0" fontId="120" fillId="0" borderId="3" xfId="196" applyFont="1" applyBorder="1" applyAlignment="1">
      <alignment horizontal="center" vertical="top" wrapText="1"/>
    </xf>
    <xf numFmtId="0" fontId="120" fillId="0" borderId="3" xfId="196" applyFont="1" applyBorder="1" applyAlignment="1">
      <alignment vertical="top" wrapText="1"/>
    </xf>
    <xf numFmtId="0" fontId="120" fillId="0" borderId="2" xfId="196" applyFont="1" applyBorder="1" applyAlignment="1">
      <alignment horizontal="center" vertical="center"/>
    </xf>
    <xf numFmtId="0" fontId="137" fillId="37" borderId="0" xfId="232" applyFont="1" applyFill="1" applyBorder="1" applyAlignment="1">
      <alignment horizontal="left" vertical="center" wrapText="1"/>
    </xf>
    <xf numFmtId="0" fontId="137" fillId="0" borderId="0" xfId="232" applyFont="1" applyFill="1" applyBorder="1" applyAlignment="1">
      <alignment horizontal="left" vertical="center" wrapText="1"/>
    </xf>
    <xf numFmtId="0" fontId="161" fillId="0" borderId="0" xfId="196" applyFont="1" applyBorder="1" applyAlignment="1">
      <alignment horizontal="center"/>
    </xf>
    <xf numFmtId="0" fontId="47" fillId="0" borderId="0" xfId="196" applyFont="1" applyAlignment="1"/>
    <xf numFmtId="0" fontId="124" fillId="0" borderId="0" xfId="196" applyFont="1"/>
    <xf numFmtId="0" fontId="110" fillId="0" borderId="0" xfId="196" applyFont="1"/>
    <xf numFmtId="0" fontId="15" fillId="0" borderId="0" xfId="196" applyFont="1"/>
    <xf numFmtId="0" fontId="110" fillId="0" borderId="0" xfId="196" applyFont="1" applyFill="1" applyBorder="1"/>
    <xf numFmtId="0" fontId="137" fillId="37" borderId="0" xfId="196" applyFont="1" applyFill="1" applyBorder="1" applyAlignment="1">
      <alignment horizontal="left" vertical="center" wrapText="1"/>
    </xf>
    <xf numFmtId="0" fontId="137" fillId="0" borderId="0" xfId="196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127" fillId="37" borderId="0" xfId="196" applyNumberFormat="1" applyFont="1" applyFill="1" applyBorder="1" applyAlignment="1">
      <alignment horizontal="center" vertical="center"/>
    </xf>
    <xf numFmtId="164" fontId="137" fillId="0" borderId="0" xfId="232" applyNumberFormat="1" applyFont="1" applyFill="1" applyBorder="1" applyAlignment="1">
      <alignment horizontal="left" vertical="center" wrapText="1"/>
    </xf>
    <xf numFmtId="164" fontId="137" fillId="37" borderId="0" xfId="232" applyNumberFormat="1" applyFont="1" applyFill="1" applyBorder="1" applyAlignment="1">
      <alignment horizontal="left" vertical="center" wrapText="1"/>
    </xf>
    <xf numFmtId="164" fontId="110" fillId="0" borderId="0" xfId="232" applyNumberFormat="1" applyFont="1" applyFill="1" applyBorder="1" applyAlignment="1">
      <alignment horizontal="right" vertical="center" wrapText="1"/>
    </xf>
    <xf numFmtId="164" fontId="110" fillId="37" borderId="0" xfId="232" applyNumberFormat="1" applyFont="1" applyFill="1" applyBorder="1" applyAlignment="1">
      <alignment horizontal="right" vertical="center" wrapText="1"/>
    </xf>
    <xf numFmtId="0" fontId="110" fillId="37" borderId="0" xfId="232" applyFont="1" applyFill="1" applyBorder="1" applyAlignment="1">
      <alignment horizontal="right" vertical="center" wrapText="1"/>
    </xf>
    <xf numFmtId="0" fontId="110" fillId="0" borderId="0" xfId="232" applyFont="1" applyFill="1" applyBorder="1" applyAlignment="1">
      <alignment horizontal="right" vertical="center" wrapText="1"/>
    </xf>
    <xf numFmtId="0" fontId="110" fillId="37" borderId="0" xfId="196" applyFont="1" applyFill="1" applyBorder="1" applyAlignment="1">
      <alignment horizontal="right" vertical="center" wrapText="1"/>
    </xf>
    <xf numFmtId="0" fontId="110" fillId="0" borderId="0" xfId="196" applyFont="1" applyFill="1" applyBorder="1" applyAlignment="1">
      <alignment horizontal="right" vertical="center" wrapText="1"/>
    </xf>
    <xf numFmtId="0" fontId="124" fillId="34" borderId="0" xfId="232" applyFont="1" applyFill="1" applyBorder="1" applyAlignment="1">
      <alignment horizontal="left" vertical="center" wrapText="1"/>
    </xf>
    <xf numFmtId="164" fontId="124" fillId="34" borderId="0" xfId="0" applyNumberFormat="1" applyFont="1" applyFill="1" applyBorder="1" applyAlignment="1">
      <alignment horizontal="center" vertical="center" wrapText="1"/>
    </xf>
    <xf numFmtId="0" fontId="137" fillId="34" borderId="0" xfId="232" applyFont="1" applyFill="1" applyBorder="1" applyAlignment="1">
      <alignment horizontal="left" vertical="center" wrapText="1"/>
    </xf>
    <xf numFmtId="0" fontId="137" fillId="34" borderId="0" xfId="232" applyFont="1" applyFill="1" applyBorder="1" applyAlignment="1">
      <alignment horizontal="right" vertical="center" wrapText="1"/>
    </xf>
    <xf numFmtId="0" fontId="120" fillId="0" borderId="0" xfId="0" applyFont="1" applyFill="1" applyBorder="1"/>
    <xf numFmtId="0" fontId="191" fillId="0" borderId="0" xfId="0" applyFont="1"/>
    <xf numFmtId="0" fontId="189" fillId="0" borderId="0" xfId="0" applyFont="1" applyFill="1"/>
    <xf numFmtId="1" fontId="15" fillId="34" borderId="0" xfId="0" applyNumberFormat="1" applyFont="1" applyFill="1" applyBorder="1" applyAlignment="1">
      <alignment horizontal="left" wrapText="1"/>
    </xf>
    <xf numFmtId="1" fontId="15" fillId="34" borderId="0" xfId="0" applyNumberFormat="1" applyFont="1" applyFill="1" applyBorder="1" applyAlignment="1">
      <alignment horizontal="right" wrapText="1"/>
    </xf>
    <xf numFmtId="0" fontId="15" fillId="34" borderId="0" xfId="0" applyFont="1" applyFill="1" applyBorder="1" applyAlignment="1">
      <alignment vertical="top"/>
    </xf>
    <xf numFmtId="0" fontId="123" fillId="0" borderId="52" xfId="0" applyNumberFormat="1" applyFont="1" applyBorder="1" applyAlignment="1"/>
    <xf numFmtId="2" fontId="110" fillId="0" borderId="52" xfId="0" applyNumberFormat="1" applyFont="1" applyBorder="1" applyAlignment="1">
      <alignment horizontal="center" vertical="center"/>
    </xf>
    <xf numFmtId="2" fontId="110" fillId="0" borderId="53" xfId="0" applyNumberFormat="1" applyFont="1" applyBorder="1" applyAlignment="1">
      <alignment horizontal="center" vertical="center"/>
    </xf>
    <xf numFmtId="0" fontId="123" fillId="0" borderId="0" xfId="0" applyNumberFormat="1" applyFont="1" applyBorder="1" applyAlignment="1"/>
    <xf numFmtId="2" fontId="110" fillId="0" borderId="0" xfId="0" applyNumberFormat="1" applyFont="1" applyBorder="1" applyAlignment="1">
      <alignment horizontal="center" vertical="center"/>
    </xf>
    <xf numFmtId="166" fontId="13" fillId="0" borderId="0" xfId="0" applyNumberFormat="1" applyFont="1" applyBorder="1" applyAlignment="1">
      <alignment wrapText="1"/>
    </xf>
    <xf numFmtId="0" fontId="23" fillId="34" borderId="0" xfId="0" applyFont="1" applyFill="1" applyBorder="1" applyAlignment="1"/>
    <xf numFmtId="164" fontId="38" fillId="0" borderId="0" xfId="0" applyNumberFormat="1" applyFont="1" applyFill="1" applyBorder="1"/>
    <xf numFmtId="2" fontId="33" fillId="0" borderId="0" xfId="0" applyNumberFormat="1" applyFont="1" applyFill="1" applyBorder="1" applyAlignment="1">
      <alignment horizontal="center" vertical="center"/>
    </xf>
    <xf numFmtId="1" fontId="110" fillId="0" borderId="0" xfId="0" applyNumberFormat="1" applyFont="1"/>
    <xf numFmtId="0" fontId="148" fillId="0" borderId="11" xfId="0" applyFont="1" applyBorder="1" applyAlignment="1"/>
    <xf numFmtId="164" fontId="82" fillId="0" borderId="0" xfId="0" applyNumberFormat="1" applyFont="1" applyAlignment="1">
      <alignment horizontal="left" wrapText="1"/>
    </xf>
    <xf numFmtId="1" fontId="133" fillId="34" borderId="0" xfId="0" applyNumberFormat="1" applyFont="1" applyFill="1"/>
    <xf numFmtId="0" fontId="133" fillId="0" borderId="0" xfId="0" applyFont="1" applyFill="1"/>
    <xf numFmtId="0" fontId="64" fillId="0" borderId="0" xfId="0" applyFont="1" applyFill="1" applyBorder="1"/>
    <xf numFmtId="0" fontId="64" fillId="0" borderId="0" xfId="0" applyFont="1" applyAlignment="1">
      <alignment horizontal="left" vertical="center"/>
    </xf>
    <xf numFmtId="0" fontId="130" fillId="0" borderId="0" xfId="0" applyFont="1" applyFill="1" applyBorder="1" applyAlignment="1">
      <alignment vertical="center"/>
    </xf>
    <xf numFmtId="0" fontId="13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4" fontId="118" fillId="0" borderId="6" xfId="0" applyNumberFormat="1" applyFont="1" applyFill="1" applyBorder="1" applyAlignment="1">
      <alignment horizontal="center" vertical="center" wrapText="1"/>
    </xf>
    <xf numFmtId="1" fontId="33" fillId="0" borderId="0" xfId="0" applyNumberFormat="1" applyFont="1" applyBorder="1" applyAlignment="1">
      <alignment horizontal="center"/>
    </xf>
    <xf numFmtId="2" fontId="3" fillId="0" borderId="0" xfId="0" applyNumberFormat="1" applyFont="1"/>
    <xf numFmtId="0" fontId="15" fillId="0" borderId="35" xfId="0" applyFont="1" applyFill="1" applyBorder="1" applyAlignment="1">
      <alignment horizontal="center" vertical="center" wrapText="1"/>
    </xf>
    <xf numFmtId="1" fontId="64" fillId="0" borderId="0" xfId="0" applyNumberFormat="1" applyFont="1"/>
    <xf numFmtId="1" fontId="184" fillId="0" borderId="0" xfId="0" applyNumberFormat="1" applyFont="1"/>
    <xf numFmtId="1" fontId="0" fillId="0" borderId="0" xfId="0" applyNumberFormat="1"/>
    <xf numFmtId="164" fontId="193" fillId="0" borderId="0" xfId="0" applyNumberFormat="1" applyFont="1"/>
    <xf numFmtId="4" fontId="110" fillId="34" borderId="0" xfId="267" applyNumberFormat="1" applyFont="1" applyFill="1" applyBorder="1" applyAlignment="1">
      <alignment horizontal="center" vertical="center" wrapText="1"/>
    </xf>
    <xf numFmtId="4" fontId="110" fillId="34" borderId="0" xfId="268" applyNumberFormat="1" applyFont="1" applyFill="1" applyBorder="1" applyAlignment="1">
      <alignment horizontal="center" vertical="center" wrapText="1"/>
    </xf>
    <xf numFmtId="4" fontId="110" fillId="34" borderId="0" xfId="269" applyNumberFormat="1" applyFont="1" applyFill="1" applyBorder="1" applyAlignment="1">
      <alignment horizontal="center" vertical="center" wrapText="1"/>
    </xf>
    <xf numFmtId="2" fontId="10" fillId="0" borderId="40" xfId="0" applyNumberFormat="1" applyFont="1" applyBorder="1" applyAlignment="1">
      <alignment horizontal="right" vertical="center" wrapText="1"/>
    </xf>
    <xf numFmtId="0" fontId="193" fillId="0" borderId="0" xfId="0" applyFont="1"/>
    <xf numFmtId="164" fontId="191" fillId="0" borderId="0" xfId="0" applyNumberFormat="1" applyFont="1"/>
    <xf numFmtId="1" fontId="191" fillId="0" borderId="0" xfId="0" applyNumberFormat="1" applyFont="1"/>
    <xf numFmtId="0" fontId="40" fillId="0" borderId="2" xfId="0" applyFont="1" applyBorder="1" applyAlignment="1">
      <alignment horizontal="center" vertical="center" wrapText="1"/>
    </xf>
    <xf numFmtId="4" fontId="110" fillId="38" borderId="0" xfId="0" applyNumberFormat="1" applyFont="1" applyFill="1" applyBorder="1" applyAlignment="1">
      <alignment horizontal="center" vertical="center" wrapText="1"/>
    </xf>
    <xf numFmtId="4" fontId="110" fillId="0" borderId="0" xfId="268" applyNumberFormat="1" applyFont="1" applyFill="1" applyBorder="1" applyAlignment="1">
      <alignment horizontal="center" vertical="center" wrapText="1"/>
    </xf>
    <xf numFmtId="4" fontId="110" fillId="0" borderId="0" xfId="269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181" fontId="33" fillId="0" borderId="0" xfId="0" applyNumberFormat="1" applyFont="1" applyBorder="1"/>
    <xf numFmtId="0" fontId="14" fillId="0" borderId="0" xfId="0" applyFont="1" applyFill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" fontId="0" fillId="0" borderId="0" xfId="0" applyNumberFormat="1" applyFill="1"/>
    <xf numFmtId="1" fontId="184" fillId="0" borderId="0" xfId="0" applyNumberFormat="1" applyFont="1" applyFill="1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4" fontId="110" fillId="34" borderId="0" xfId="0" applyNumberFormat="1" applyFont="1" applyFill="1" applyBorder="1" applyAlignment="1">
      <alignment horizontal="center" vertical="center" wrapText="1"/>
    </xf>
    <xf numFmtId="164" fontId="15" fillId="39" borderId="0" xfId="0" applyNumberFormat="1" applyFont="1" applyFill="1" applyBorder="1" applyAlignment="1">
      <alignment horizontal="center" vertical="center"/>
    </xf>
    <xf numFmtId="0" fontId="110" fillId="0" borderId="0" xfId="0" applyFont="1" applyFill="1" applyBorder="1" applyAlignment="1">
      <alignment horizontal="right" vertical="center" wrapText="1"/>
    </xf>
    <xf numFmtId="164" fontId="60" fillId="0" borderId="0" xfId="0" applyNumberFormat="1" applyFont="1" applyFill="1" applyAlignment="1">
      <alignment horizontal="center" vertical="center"/>
    </xf>
    <xf numFmtId="164" fontId="60" fillId="0" borderId="0" xfId="0" applyNumberFormat="1" applyFont="1" applyFill="1"/>
    <xf numFmtId="0" fontId="1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29" fillId="0" borderId="56" xfId="0" applyFont="1" applyFill="1" applyBorder="1" applyAlignment="1">
      <alignment wrapText="1"/>
    </xf>
    <xf numFmtId="0" fontId="23" fillId="0" borderId="53" xfId="0" applyFont="1" applyFill="1" applyBorder="1" applyAlignment="1">
      <alignment horizontal="center" vertical="center"/>
    </xf>
    <xf numFmtId="0" fontId="16" fillId="0" borderId="40" xfId="0" applyFont="1" applyBorder="1" applyAlignment="1"/>
    <xf numFmtId="0" fontId="20" fillId="0" borderId="66" xfId="0" applyFont="1" applyBorder="1" applyAlignment="1">
      <alignment horizontal="center" vertical="center" wrapText="1"/>
    </xf>
    <xf numFmtId="4" fontId="110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/>
    <xf numFmtId="0" fontId="13" fillId="0" borderId="0" xfId="0" applyFont="1" applyAlignment="1">
      <alignment horizontal="left" wrapText="1"/>
    </xf>
    <xf numFmtId="0" fontId="15" fillId="0" borderId="40" xfId="0" applyFont="1" applyBorder="1" applyAlignment="1">
      <alignment horizontal="right" wrapText="1"/>
    </xf>
    <xf numFmtId="0" fontId="15" fillId="0" borderId="64" xfId="0" applyFont="1" applyFill="1" applyBorder="1" applyAlignment="1">
      <alignment horizontal="center" vertical="center" wrapText="1"/>
    </xf>
    <xf numFmtId="0" fontId="15" fillId="0" borderId="65" xfId="0" applyFont="1" applyBorder="1" applyAlignment="1">
      <alignment horizontal="center" vertical="center" wrapText="1"/>
    </xf>
    <xf numFmtId="0" fontId="15" fillId="0" borderId="65" xfId="0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/>
    </xf>
    <xf numFmtId="164" fontId="15" fillId="0" borderId="0" xfId="0" applyNumberFormat="1" applyFont="1" applyFill="1" applyAlignment="1"/>
    <xf numFmtId="164" fontId="33" fillId="0" borderId="0" xfId="0" applyNumberFormat="1" applyFont="1" applyFill="1"/>
    <xf numFmtId="164" fontId="60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center"/>
    </xf>
    <xf numFmtId="167" fontId="15" fillId="0" borderId="0" xfId="0" applyNumberFormat="1" applyFont="1"/>
    <xf numFmtId="2" fontId="38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38" fillId="0" borderId="0" xfId="0" applyFont="1" applyFill="1" applyBorder="1" applyAlignment="1">
      <alignment horizontal="left" wrapText="1"/>
    </xf>
    <xf numFmtId="0" fontId="38" fillId="34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39" fillId="34" borderId="0" xfId="0" applyFont="1" applyFill="1" applyBorder="1" applyAlignment="1">
      <alignment horizontal="left" wrapText="1"/>
    </xf>
    <xf numFmtId="0" fontId="47" fillId="0" borderId="68" xfId="0" applyFont="1" applyFill="1" applyBorder="1" applyAlignment="1"/>
    <xf numFmtId="0" fontId="41" fillId="0" borderId="0" xfId="0" applyFont="1" applyBorder="1" applyAlignment="1">
      <alignment horizontal="right"/>
    </xf>
    <xf numFmtId="0" fontId="120" fillId="0" borderId="66" xfId="196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127" fillId="0" borderId="0" xfId="0" applyFont="1" applyFill="1" applyBorder="1"/>
    <xf numFmtId="0" fontId="122" fillId="0" borderId="65" xfId="0" applyFont="1" applyFill="1" applyBorder="1" applyAlignment="1">
      <alignment vertical="center"/>
    </xf>
    <xf numFmtId="0" fontId="125" fillId="0" borderId="64" xfId="0" applyFont="1" applyFill="1" applyBorder="1" applyAlignment="1">
      <alignment horizontal="center" vertical="center" wrapText="1"/>
    </xf>
    <xf numFmtId="0" fontId="46" fillId="0" borderId="40" xfId="0" applyFont="1" applyBorder="1" applyAlignment="1">
      <alignment horizontal="left" wrapText="1"/>
    </xf>
    <xf numFmtId="0" fontId="46" fillId="0" borderId="40" xfId="0" applyFont="1" applyBorder="1" applyAlignment="1">
      <alignment horizontal="right" wrapText="1"/>
    </xf>
    <xf numFmtId="0" fontId="110" fillId="0" borderId="0" xfId="0" applyFont="1" applyFill="1" applyBorder="1" applyAlignment="1">
      <alignment vertical="center"/>
    </xf>
    <xf numFmtId="1" fontId="7" fillId="0" borderId="0" xfId="0" applyNumberFormat="1" applyFont="1" applyFill="1"/>
    <xf numFmtId="0" fontId="15" fillId="34" borderId="0" xfId="0" applyFont="1" applyFill="1" applyBorder="1" applyAlignment="1">
      <alignment vertical="top" wrapText="1"/>
    </xf>
    <xf numFmtId="0" fontId="127" fillId="34" borderId="0" xfId="0" applyFont="1" applyFill="1" applyBorder="1" applyAlignment="1">
      <alignment horizontal="left" vertical="center"/>
    </xf>
    <xf numFmtId="0" fontId="21" fillId="0" borderId="0" xfId="196" applyFont="1" applyBorder="1" applyAlignment="1">
      <alignment horizontal="left"/>
    </xf>
    <xf numFmtId="0" fontId="32" fillId="0" borderId="0" xfId="196" applyFont="1" applyBorder="1"/>
    <xf numFmtId="0" fontId="7" fillId="0" borderId="0" xfId="196" applyFont="1" applyAlignment="1"/>
    <xf numFmtId="0" fontId="7" fillId="0" borderId="0" xfId="196" applyFont="1" applyAlignment="1">
      <alignment horizontal="left"/>
    </xf>
    <xf numFmtId="0" fontId="7" fillId="0" borderId="0" xfId="196" applyFont="1"/>
    <xf numFmtId="0" fontId="15" fillId="0" borderId="2" xfId="196" applyFont="1" applyBorder="1" applyAlignment="1">
      <alignment horizontal="center"/>
    </xf>
    <xf numFmtId="0" fontId="15" fillId="0" borderId="0" xfId="196" applyFont="1" applyBorder="1" applyAlignment="1">
      <alignment horizontal="center" vertical="center"/>
    </xf>
    <xf numFmtId="2" fontId="15" fillId="0" borderId="0" xfId="196" applyNumberFormat="1" applyFont="1" applyBorder="1" applyAlignment="1">
      <alignment horizontal="center" vertical="center"/>
    </xf>
    <xf numFmtId="0" fontId="15" fillId="34" borderId="0" xfId="196" applyFont="1" applyFill="1" applyBorder="1" applyAlignment="1">
      <alignment vertical="center"/>
    </xf>
    <xf numFmtId="0" fontId="15" fillId="34" borderId="0" xfId="196" applyFont="1" applyFill="1" applyBorder="1" applyAlignment="1">
      <alignment horizontal="center" vertical="center"/>
    </xf>
    <xf numFmtId="2" fontId="15" fillId="34" borderId="0" xfId="196" applyNumberFormat="1" applyFont="1" applyFill="1" applyBorder="1" applyAlignment="1">
      <alignment horizontal="center" vertical="center"/>
    </xf>
    <xf numFmtId="164" fontId="15" fillId="34" borderId="0" xfId="196" applyNumberFormat="1" applyFont="1" applyFill="1" applyBorder="1" applyAlignment="1">
      <alignment horizontal="center" vertical="center"/>
    </xf>
    <xf numFmtId="166" fontId="15" fillId="34" borderId="0" xfId="196" applyNumberFormat="1" applyFont="1" applyFill="1" applyBorder="1" applyAlignment="1">
      <alignment horizontal="center" vertical="center"/>
    </xf>
    <xf numFmtId="0" fontId="15" fillId="34" borderId="0" xfId="196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vertical="center"/>
    </xf>
    <xf numFmtId="0" fontId="15" fillId="0" borderId="0" xfId="196" applyFont="1" applyFill="1" applyBorder="1" applyAlignment="1">
      <alignment horizontal="center" vertical="center"/>
    </xf>
    <xf numFmtId="2" fontId="15" fillId="0" borderId="0" xfId="196" applyNumberFormat="1" applyFont="1" applyFill="1" applyBorder="1" applyAlignment="1">
      <alignment horizontal="center" vertical="center"/>
    </xf>
    <xf numFmtId="164" fontId="15" fillId="0" borderId="0" xfId="196" applyNumberFormat="1" applyFont="1" applyFill="1" applyBorder="1" applyAlignment="1">
      <alignment horizontal="center" vertical="center"/>
    </xf>
    <xf numFmtId="166" fontId="15" fillId="0" borderId="0" xfId="196" applyNumberFormat="1" applyFont="1" applyFill="1" applyBorder="1" applyAlignment="1">
      <alignment horizontal="center" vertical="center"/>
    </xf>
    <xf numFmtId="0" fontId="15" fillId="0" borderId="0" xfId="196" applyFont="1" applyFill="1" applyBorder="1" applyAlignment="1">
      <alignment horizontal="right" vertical="center"/>
    </xf>
    <xf numFmtId="0" fontId="23" fillId="34" borderId="0" xfId="196" applyFont="1" applyFill="1" applyBorder="1" applyAlignment="1">
      <alignment vertical="center"/>
    </xf>
    <xf numFmtId="0" fontId="23" fillId="34" borderId="0" xfId="196" applyFont="1" applyFill="1" applyBorder="1" applyAlignment="1">
      <alignment horizontal="center" vertical="center"/>
    </xf>
    <xf numFmtId="2" fontId="23" fillId="34" borderId="0" xfId="196" applyNumberFormat="1" applyFont="1" applyFill="1" applyBorder="1" applyAlignment="1">
      <alignment horizontal="center" vertical="center"/>
    </xf>
    <xf numFmtId="164" fontId="23" fillId="34" borderId="0" xfId="196" applyNumberFormat="1" applyFont="1" applyFill="1" applyBorder="1" applyAlignment="1">
      <alignment horizontal="center" vertical="center"/>
    </xf>
    <xf numFmtId="166" fontId="23" fillId="34" borderId="0" xfId="196" applyNumberFormat="1" applyFont="1" applyFill="1" applyBorder="1" applyAlignment="1">
      <alignment horizontal="center" vertical="center"/>
    </xf>
    <xf numFmtId="0" fontId="23" fillId="34" borderId="0" xfId="196" applyFont="1" applyFill="1" applyBorder="1" applyAlignment="1">
      <alignment horizontal="right" vertical="center"/>
    </xf>
    <xf numFmtId="2" fontId="23" fillId="0" borderId="0" xfId="196" applyNumberFormat="1" applyFont="1" applyFill="1" applyBorder="1" applyAlignment="1">
      <alignment horizontal="center" vertical="center"/>
    </xf>
    <xf numFmtId="164" fontId="23" fillId="0" borderId="0" xfId="196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vertical="center"/>
    </xf>
    <xf numFmtId="0" fontId="23" fillId="0" borderId="0" xfId="196" applyFont="1" applyFill="1" applyBorder="1" applyAlignment="1">
      <alignment horizontal="right" vertical="center"/>
    </xf>
    <xf numFmtId="0" fontId="48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vertical="center" wrapText="1"/>
    </xf>
    <xf numFmtId="0" fontId="48" fillId="0" borderId="0" xfId="196" applyFont="1" applyBorder="1" applyAlignment="1">
      <alignment horizontal="center" vertical="center" wrapText="1"/>
    </xf>
    <xf numFmtId="0" fontId="33" fillId="0" borderId="0" xfId="196" applyFont="1"/>
    <xf numFmtId="0" fontId="33" fillId="0" borderId="0" xfId="196" applyFont="1" applyAlignment="1">
      <alignment horizontal="center"/>
    </xf>
    <xf numFmtId="49" fontId="33" fillId="0" borderId="0" xfId="196" applyNumberFormat="1" applyFont="1" applyAlignment="1">
      <alignment vertical="center"/>
    </xf>
    <xf numFmtId="164" fontId="33" fillId="0" borderId="0" xfId="196" applyNumberFormat="1" applyFont="1" applyBorder="1" applyAlignment="1">
      <alignment horizontal="left" wrapText="1"/>
    </xf>
    <xf numFmtId="165" fontId="33" fillId="0" borderId="0" xfId="196" applyNumberFormat="1" applyFont="1" applyAlignment="1">
      <alignment horizontal="center"/>
    </xf>
    <xf numFmtId="2" fontId="33" fillId="0" borderId="0" xfId="196" applyNumberFormat="1" applyFont="1" applyAlignment="1">
      <alignment vertical="center"/>
    </xf>
    <xf numFmtId="164" fontId="33" fillId="0" borderId="0" xfId="196" applyNumberFormat="1" applyFont="1" applyAlignment="1">
      <alignment vertical="center"/>
    </xf>
    <xf numFmtId="0" fontId="33" fillId="0" borderId="0" xfId="196" applyFont="1" applyBorder="1" applyAlignment="1">
      <alignment wrapText="1"/>
    </xf>
    <xf numFmtId="0" fontId="8" fillId="0" borderId="0" xfId="196" applyFont="1"/>
    <xf numFmtId="0" fontId="48" fillId="0" borderId="0" xfId="196" applyFont="1" applyBorder="1" applyAlignment="1">
      <alignment wrapText="1"/>
    </xf>
    <xf numFmtId="0" fontId="33" fillId="0" borderId="0" xfId="196" applyFont="1" applyFill="1"/>
    <xf numFmtId="0" fontId="33" fillId="0" borderId="0" xfId="196" applyFont="1" applyAlignment="1"/>
    <xf numFmtId="0" fontId="48" fillId="0" borderId="0" xfId="196" applyFont="1" applyBorder="1" applyAlignment="1">
      <alignment horizontal="center" wrapText="1"/>
    </xf>
    <xf numFmtId="49" fontId="33" fillId="0" borderId="0" xfId="196" applyNumberFormat="1" applyFont="1" applyAlignment="1"/>
    <xf numFmtId="164" fontId="33" fillId="0" borderId="0" xfId="196" applyNumberFormat="1" applyFont="1"/>
    <xf numFmtId="2" fontId="33" fillId="0" borderId="0" xfId="196" applyNumberFormat="1" applyFont="1"/>
    <xf numFmtId="164" fontId="8" fillId="0" borderId="0" xfId="196" applyNumberFormat="1" applyFont="1"/>
    <xf numFmtId="165" fontId="29" fillId="0" borderId="0" xfId="196" applyNumberFormat="1" applyFont="1"/>
    <xf numFmtId="2" fontId="15" fillId="0" borderId="0" xfId="196" applyNumberFormat="1" applyFont="1" applyBorder="1"/>
    <xf numFmtId="0" fontId="15" fillId="0" borderId="0" xfId="196" applyFont="1" applyBorder="1"/>
    <xf numFmtId="164" fontId="15" fillId="0" borderId="0" xfId="196" applyNumberFormat="1" applyFont="1" applyBorder="1"/>
    <xf numFmtId="1" fontId="23" fillId="0" borderId="0" xfId="136" applyNumberFormat="1" applyFont="1" applyFill="1" applyBorder="1" applyAlignment="1">
      <alignment horizontal="center" vertical="center"/>
    </xf>
    <xf numFmtId="0" fontId="123" fillId="34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25" fillId="0" borderId="0" xfId="0" applyFont="1" applyAlignment="1"/>
    <xf numFmtId="164" fontId="15" fillId="0" borderId="0" xfId="0" applyNumberFormat="1" applyFont="1" applyFill="1" applyBorder="1" applyAlignment="1">
      <alignment vertical="center"/>
    </xf>
    <xf numFmtId="0" fontId="127" fillId="34" borderId="0" xfId="0" applyFont="1" applyFill="1" applyBorder="1"/>
    <xf numFmtId="1" fontId="29" fillId="0" borderId="0" xfId="0" applyNumberFormat="1" applyFont="1" applyFill="1" applyBorder="1" applyAlignment="1">
      <alignment horizontal="center"/>
    </xf>
    <xf numFmtId="2" fontId="38" fillId="34" borderId="6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137" fillId="0" borderId="0" xfId="232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horizontal="left"/>
    </xf>
    <xf numFmtId="2" fontId="15" fillId="35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/>
    <xf numFmtId="164" fontId="60" fillId="0" borderId="0" xfId="0" applyNumberFormat="1" applyFont="1" applyFill="1" applyBorder="1" applyAlignment="1">
      <alignment horizontal="center" vertical="center"/>
    </xf>
    <xf numFmtId="2" fontId="60" fillId="0" borderId="0" xfId="0" applyNumberFormat="1" applyFont="1" applyFill="1" applyBorder="1" applyAlignment="1">
      <alignment vertical="center"/>
    </xf>
    <xf numFmtId="0" fontId="189" fillId="34" borderId="0" xfId="0" applyFont="1" applyFill="1"/>
    <xf numFmtId="1" fontId="0" fillId="0" borderId="0" xfId="0" applyNumberFormat="1" applyFill="1" applyBorder="1"/>
    <xf numFmtId="0" fontId="120" fillId="34" borderId="0" xfId="0" applyFont="1" applyFill="1" applyBorder="1"/>
    <xf numFmtId="164" fontId="133" fillId="0" borderId="0" xfId="0" applyNumberFormat="1" applyFont="1" applyFill="1"/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horizontal="right" vertical="top" wrapText="1"/>
    </xf>
    <xf numFmtId="2" fontId="23" fillId="0" borderId="0" xfId="0" applyNumberFormat="1" applyFont="1" applyFill="1" applyBorder="1" applyAlignment="1">
      <alignment horizontal="center" vertical="top"/>
    </xf>
    <xf numFmtId="0" fontId="0" fillId="0" borderId="0" xfId="0" applyAlignment="1"/>
    <xf numFmtId="0" fontId="16" fillId="34" borderId="0" xfId="0" applyFont="1" applyFill="1" applyBorder="1" applyAlignment="1">
      <alignment vertical="top" wrapText="1"/>
    </xf>
    <xf numFmtId="2" fontId="124" fillId="34" borderId="0" xfId="0" applyNumberFormat="1" applyFont="1" applyFill="1" applyBorder="1" applyAlignment="1">
      <alignment horizontal="center"/>
    </xf>
    <xf numFmtId="2" fontId="124" fillId="34" borderId="0" xfId="0" applyNumberFormat="1" applyFont="1" applyFill="1" applyBorder="1" applyAlignment="1">
      <alignment horizontal="center" vertical="center"/>
    </xf>
    <xf numFmtId="0" fontId="124" fillId="34" borderId="0" xfId="0" applyFont="1" applyFill="1" applyBorder="1" applyAlignment="1">
      <alignment horizontal="center"/>
    </xf>
    <xf numFmtId="2" fontId="16" fillId="34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Alignment="1"/>
    <xf numFmtId="164" fontId="32" fillId="0" borderId="0" xfId="0" applyNumberFormat="1" applyFont="1" applyFill="1"/>
    <xf numFmtId="0" fontId="15" fillId="34" borderId="0" xfId="0" applyFont="1" applyFill="1" applyBorder="1" applyAlignment="1">
      <alignment horizontal="right" vertical="top" wrapText="1"/>
    </xf>
    <xf numFmtId="2" fontId="191" fillId="0" borderId="0" xfId="0" applyNumberFormat="1" applyFont="1"/>
    <xf numFmtId="1" fontId="110" fillId="0" borderId="0" xfId="0" applyNumberFormat="1" applyFont="1" applyFill="1" applyBorder="1" applyAlignment="1">
      <alignment horizontal="center" vertical="center"/>
    </xf>
    <xf numFmtId="0" fontId="110" fillId="34" borderId="0" xfId="0" applyFont="1" applyFill="1" applyBorder="1" applyAlignment="1">
      <alignment vertical="center"/>
    </xf>
    <xf numFmtId="0" fontId="110" fillId="34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top" wrapText="1"/>
    </xf>
    <xf numFmtId="164" fontId="15" fillId="34" borderId="6" xfId="0" applyNumberFormat="1" applyFont="1" applyFill="1" applyBorder="1" applyAlignment="1">
      <alignment horizontal="center" vertical="center"/>
    </xf>
    <xf numFmtId="2" fontId="60" fillId="0" borderId="0" xfId="0" applyNumberFormat="1" applyFont="1" applyFill="1"/>
    <xf numFmtId="2" fontId="14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left" vertical="center" wrapText="1"/>
    </xf>
    <xf numFmtId="0" fontId="110" fillId="0" borderId="0" xfId="0" applyFont="1" applyFill="1" applyBorder="1" applyAlignment="1"/>
    <xf numFmtId="0" fontId="134" fillId="0" borderId="0" xfId="0" applyFont="1" applyFill="1" applyBorder="1" applyAlignment="1">
      <alignment horizontal="center"/>
    </xf>
    <xf numFmtId="0" fontId="157" fillId="2" borderId="10" xfId="0" applyFont="1" applyFill="1" applyBorder="1" applyAlignment="1"/>
    <xf numFmtId="0" fontId="157" fillId="2" borderId="0" xfId="0" applyFont="1" applyFill="1" applyBorder="1" applyAlignment="1"/>
    <xf numFmtId="0" fontId="157" fillId="2" borderId="11" xfId="0" applyFont="1" applyFill="1" applyBorder="1" applyAlignment="1"/>
    <xf numFmtId="0" fontId="59" fillId="0" borderId="0" xfId="0" applyFont="1" applyBorder="1" applyAlignment="1">
      <alignment horizontal="right" wrapText="1"/>
    </xf>
    <xf numFmtId="0" fontId="18" fillId="0" borderId="0" xfId="0" applyFont="1" applyBorder="1" applyAlignment="1"/>
    <xf numFmtId="0" fontId="59" fillId="0" borderId="0" xfId="0" applyFont="1" applyBorder="1" applyAlignment="1">
      <alignment horizontal="right"/>
    </xf>
    <xf numFmtId="0" fontId="59" fillId="0" borderId="0" xfId="0" applyFont="1" applyBorder="1" applyAlignment="1">
      <alignment horizontal="left"/>
    </xf>
    <xf numFmtId="1" fontId="18" fillId="0" borderId="0" xfId="0" applyNumberFormat="1" applyFont="1" applyBorder="1" applyAlignment="1"/>
    <xf numFmtId="1" fontId="14" fillId="0" borderId="0" xfId="0" applyNumberFormat="1" applyFont="1" applyAlignment="1"/>
    <xf numFmtId="165" fontId="14" fillId="0" borderId="0" xfId="0" applyNumberFormat="1" applyFont="1" applyAlignment="1"/>
    <xf numFmtId="181" fontId="33" fillId="0" borderId="0" xfId="0" applyNumberFormat="1" applyFont="1" applyBorder="1" applyAlignment="1"/>
    <xf numFmtId="177" fontId="14" fillId="0" borderId="0" xfId="0" applyNumberFormat="1" applyFont="1" applyAlignment="1"/>
    <xf numFmtId="177" fontId="19" fillId="0" borderId="0" xfId="0" applyNumberFormat="1" applyFont="1" applyAlignment="1"/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43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right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horizontal="left"/>
    </xf>
    <xf numFmtId="0" fontId="15" fillId="0" borderId="64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18" fillId="40" borderId="0" xfId="0" applyNumberFormat="1" applyFont="1" applyFill="1" applyBorder="1" applyAlignment="1">
      <alignment horizontal="center" vertical="center"/>
    </xf>
    <xf numFmtId="0" fontId="27" fillId="0" borderId="68" xfId="0" applyFont="1" applyBorder="1" applyAlignment="1">
      <alignment horizontal="center"/>
    </xf>
    <xf numFmtId="0" fontId="0" fillId="0" borderId="0" xfId="0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16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28" fillId="0" borderId="2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0" fillId="0" borderId="0" xfId="0"/>
    <xf numFmtId="0" fontId="120" fillId="0" borderId="2" xfId="0" applyFont="1" applyBorder="1" applyAlignment="1">
      <alignment horizontal="center" vertical="top" wrapText="1"/>
    </xf>
    <xf numFmtId="0" fontId="178" fillId="0" borderId="3" xfId="0" applyFont="1" applyBorder="1" applyAlignment="1">
      <alignment horizontal="center" vertical="top" wrapText="1"/>
    </xf>
    <xf numFmtId="0" fontId="16" fillId="0" borderId="69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78" fillId="0" borderId="69" xfId="0" applyFont="1" applyBorder="1" applyAlignment="1">
      <alignment horizontal="center" vertical="top" wrapText="1"/>
    </xf>
    <xf numFmtId="0" fontId="123" fillId="0" borderId="66" xfId="0" applyFont="1" applyBorder="1" applyAlignment="1">
      <alignment horizontal="center" vertical="center"/>
    </xf>
    <xf numFmtId="0" fontId="0" fillId="35" borderId="0" xfId="0" applyFill="1" applyBorder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13" fillId="0" borderId="2" xfId="0" applyFont="1" applyFill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82" fillId="0" borderId="0" xfId="0" applyFont="1" applyBorder="1" applyAlignment="1">
      <alignment horizontal="right" wrapText="1"/>
    </xf>
    <xf numFmtId="0" fontId="41" fillId="0" borderId="0" xfId="0" applyFont="1" applyFill="1" applyBorder="1" applyAlignment="1"/>
    <xf numFmtId="0" fontId="46" fillId="0" borderId="0" xfId="0" applyFont="1" applyFill="1" applyAlignment="1"/>
    <xf numFmtId="0" fontId="27" fillId="0" borderId="0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 vertical="top"/>
    </xf>
    <xf numFmtId="1" fontId="48" fillId="0" borderId="2" xfId="0" applyNumberFormat="1" applyFont="1" applyFill="1" applyBorder="1" applyAlignment="1">
      <alignment horizontal="center" vertical="top"/>
    </xf>
    <xf numFmtId="1" fontId="15" fillId="35" borderId="0" xfId="0" applyNumberFormat="1" applyFont="1" applyFill="1" applyBorder="1" applyAlignment="1">
      <alignment horizontal="center" vertical="center"/>
    </xf>
    <xf numFmtId="0" fontId="15" fillId="40" borderId="0" xfId="0" applyFont="1" applyFill="1"/>
    <xf numFmtId="0" fontId="123" fillId="0" borderId="66" xfId="0" applyFont="1" applyBorder="1" applyAlignment="1">
      <alignment horizontal="center" vertical="top" wrapText="1"/>
    </xf>
    <xf numFmtId="0" fontId="148" fillId="0" borderId="0" xfId="0" applyFont="1" applyBorder="1" applyAlignment="1">
      <alignment horizontal="left" wrapText="1"/>
    </xf>
    <xf numFmtId="0" fontId="148" fillId="0" borderId="0" xfId="0" applyFont="1" applyBorder="1" applyAlignment="1">
      <alignment horizontal="left" vertical="top" wrapText="1"/>
    </xf>
    <xf numFmtId="0" fontId="155" fillId="0" borderId="0" xfId="0" applyFont="1" applyBorder="1" applyAlignment="1">
      <alignment horizontal="left" vertical="center" wrapText="1"/>
    </xf>
    <xf numFmtId="0" fontId="14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55" fillId="0" borderId="0" xfId="0" applyFont="1" applyBorder="1" applyAlignment="1">
      <alignment wrapText="1"/>
    </xf>
    <xf numFmtId="0" fontId="0" fillId="2" borderId="6" xfId="0" applyFill="1" applyBorder="1"/>
    <xf numFmtId="0" fontId="156" fillId="2" borderId="12" xfId="0" applyFont="1" applyFill="1" applyBorder="1"/>
    <xf numFmtId="0" fontId="156" fillId="2" borderId="13" xfId="0" applyFont="1" applyFill="1" applyBorder="1"/>
    <xf numFmtId="182" fontId="9" fillId="0" borderId="0" xfId="0" applyNumberFormat="1" applyFont="1"/>
    <xf numFmtId="182" fontId="29" fillId="0" borderId="2" xfId="0" applyNumberFormat="1" applyFont="1" applyBorder="1" applyAlignment="1">
      <alignment horizontal="center" vertical="center" wrapText="1"/>
    </xf>
    <xf numFmtId="182" fontId="110" fillId="0" borderId="0" xfId="0" applyNumberFormat="1" applyFont="1" applyFill="1" applyBorder="1" applyAlignment="1">
      <alignment horizontal="center" wrapText="1"/>
    </xf>
    <xf numFmtId="182" fontId="7" fillId="0" borderId="0" xfId="0" applyNumberFormat="1" applyFont="1" applyFill="1"/>
    <xf numFmtId="182" fontId="7" fillId="0" borderId="0" xfId="0" applyNumberFormat="1" applyFont="1"/>
    <xf numFmtId="0" fontId="25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vertical="center" wrapText="1"/>
    </xf>
    <xf numFmtId="0" fontId="33" fillId="0" borderId="0" xfId="0" applyFont="1" applyFill="1" applyBorder="1" applyAlignment="1">
      <alignment horizontal="left"/>
    </xf>
    <xf numFmtId="0" fontId="40" fillId="34" borderId="0" xfId="0" applyFont="1" applyFill="1" applyBorder="1" applyAlignment="1">
      <alignment horizontal="left" vertical="top"/>
    </xf>
    <xf numFmtId="0" fontId="18" fillId="0" borderId="0" xfId="0" applyFont="1" applyFill="1" applyAlignment="1">
      <alignment horizontal="left" wrapText="1"/>
    </xf>
    <xf numFmtId="1" fontId="18" fillId="0" borderId="0" xfId="0" applyNumberFormat="1" applyFont="1" applyFill="1" applyAlignment="1">
      <alignment wrapText="1"/>
    </xf>
    <xf numFmtId="0" fontId="48" fillId="0" borderId="0" xfId="0" applyFont="1" applyFill="1" applyBorder="1"/>
    <xf numFmtId="177" fontId="18" fillId="0" borderId="0" xfId="0" applyNumberFormat="1" applyFont="1" applyFill="1" applyAlignment="1">
      <alignment wrapText="1"/>
    </xf>
    <xf numFmtId="0" fontId="15" fillId="0" borderId="6" xfId="0" applyFont="1" applyFill="1" applyBorder="1" applyAlignment="1">
      <alignment horizontal="center" vertical="center"/>
    </xf>
    <xf numFmtId="171" fontId="110" fillId="0" borderId="0" xfId="0" applyNumberFormat="1" applyFont="1" applyFill="1" applyBorder="1" applyAlignment="1">
      <alignment horizontal="center" vertical="center" wrapText="1"/>
    </xf>
    <xf numFmtId="0" fontId="110" fillId="0" borderId="6" xfId="0" applyFont="1" applyFill="1" applyBorder="1" applyAlignment="1">
      <alignment vertical="center"/>
    </xf>
    <xf numFmtId="0" fontId="110" fillId="0" borderId="6" xfId="0" applyFont="1" applyFill="1" applyBorder="1" applyAlignment="1">
      <alignment horizontal="center" vertical="center"/>
    </xf>
    <xf numFmtId="1" fontId="110" fillId="0" borderId="6" xfId="0" applyNumberFormat="1" applyFont="1" applyFill="1" applyBorder="1" applyAlignment="1">
      <alignment horizontal="center" vertical="center"/>
    </xf>
    <xf numFmtId="0" fontId="29" fillId="0" borderId="40" xfId="0" applyFont="1" applyFill="1" applyBorder="1" applyAlignment="1">
      <alignment vertical="top" wrapText="1"/>
    </xf>
    <xf numFmtId="0" fontId="15" fillId="35" borderId="0" xfId="0" applyFont="1" applyFill="1" applyBorder="1" applyAlignment="1"/>
    <xf numFmtId="0" fontId="15" fillId="35" borderId="0" xfId="0" applyFont="1" applyFill="1" applyBorder="1" applyAlignment="1">
      <alignment horizontal="right"/>
    </xf>
    <xf numFmtId="0" fontId="123" fillId="0" borderId="2" xfId="0" applyFont="1" applyBorder="1" applyAlignment="1">
      <alignment horizontal="center" vertical="top" wrapText="1"/>
    </xf>
    <xf numFmtId="0" fontId="38" fillId="34" borderId="6" xfId="0" applyFont="1" applyFill="1" applyBorder="1" applyAlignment="1">
      <alignment horizontal="center" vertical="center" wrapText="1"/>
    </xf>
    <xf numFmtId="0" fontId="137" fillId="37" borderId="6" xfId="196" applyFont="1" applyFill="1" applyBorder="1" applyAlignment="1">
      <alignment horizontal="left" vertical="center" wrapText="1"/>
    </xf>
    <xf numFmtId="0" fontId="110" fillId="37" borderId="6" xfId="196" applyFont="1" applyFill="1" applyBorder="1" applyAlignment="1">
      <alignment horizontal="right" vertical="center" wrapText="1"/>
    </xf>
    <xf numFmtId="0" fontId="120" fillId="0" borderId="69" xfId="196" applyFont="1" applyBorder="1" applyAlignment="1">
      <alignment horizontal="center" vertical="top" wrapText="1"/>
    </xf>
    <xf numFmtId="164" fontId="127" fillId="0" borderId="0" xfId="196" applyNumberFormat="1" applyFont="1" applyFill="1" applyBorder="1" applyAlignment="1">
      <alignment horizontal="center" vertical="center"/>
    </xf>
    <xf numFmtId="164" fontId="127" fillId="37" borderId="6" xfId="196" applyNumberFormat="1" applyFont="1" applyFill="1" applyBorder="1" applyAlignment="1">
      <alignment horizontal="center" vertical="center"/>
    </xf>
    <xf numFmtId="164" fontId="118" fillId="34" borderId="6" xfId="0" applyNumberFormat="1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right" vertical="center"/>
    </xf>
    <xf numFmtId="0" fontId="121" fillId="0" borderId="0" xfId="0" applyFont="1" applyFill="1" applyBorder="1" applyAlignment="1">
      <alignment horizontal="center" vertical="center"/>
    </xf>
    <xf numFmtId="0" fontId="122" fillId="0" borderId="43" xfId="0" applyFont="1" applyFill="1" applyBorder="1" applyAlignment="1">
      <alignment vertical="center"/>
    </xf>
    <xf numFmtId="164" fontId="184" fillId="0" borderId="0" xfId="0" applyNumberFormat="1" applyFont="1" applyFill="1" applyBorder="1"/>
    <xf numFmtId="2" fontId="19" fillId="0" borderId="0" xfId="0" applyNumberFormat="1" applyFont="1" applyFill="1" applyBorder="1" applyAlignment="1">
      <alignment horizontal="center" vertical="top" wrapText="1"/>
    </xf>
    <xf numFmtId="2" fontId="19" fillId="34" borderId="0" xfId="0" applyNumberFormat="1" applyFont="1" applyFill="1" applyBorder="1" applyAlignment="1">
      <alignment horizontal="center" vertical="top" wrapText="1"/>
    </xf>
    <xf numFmtId="2" fontId="19" fillId="34" borderId="0" xfId="0" applyNumberFormat="1" applyFont="1" applyFill="1" applyBorder="1" applyAlignment="1">
      <alignment horizontal="center" vertical="top"/>
    </xf>
    <xf numFmtId="2" fontId="19" fillId="0" borderId="0" xfId="0" applyNumberFormat="1" applyFont="1" applyFill="1" applyBorder="1" applyAlignment="1">
      <alignment horizontal="center" vertical="top"/>
    </xf>
    <xf numFmtId="0" fontId="40" fillId="34" borderId="0" xfId="0" applyFont="1" applyFill="1" applyBorder="1" applyAlignment="1">
      <alignment horizontal="center" vertical="top" wrapText="1"/>
    </xf>
    <xf numFmtId="0" fontId="38" fillId="0" borderId="0" xfId="0" applyFont="1" applyFill="1" applyBorder="1" applyAlignment="1">
      <alignment horizontal="center" vertical="top"/>
    </xf>
    <xf numFmtId="0" fontId="40" fillId="34" borderId="0" xfId="0" applyFont="1" applyFill="1" applyBorder="1" applyAlignment="1">
      <alignment horizontal="left" vertical="top" wrapText="1"/>
    </xf>
    <xf numFmtId="46" fontId="38" fillId="0" borderId="0" xfId="0" applyNumberFormat="1" applyFont="1" applyFill="1" applyBorder="1" applyAlignment="1">
      <alignment horizontal="left" vertical="top"/>
    </xf>
    <xf numFmtId="0" fontId="14" fillId="0" borderId="0" xfId="0" applyFont="1" applyFill="1" applyAlignment="1">
      <alignment horizontal="left"/>
    </xf>
    <xf numFmtId="0" fontId="16" fillId="0" borderId="40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Alignment="1"/>
    <xf numFmtId="2" fontId="15" fillId="34" borderId="0" xfId="0" applyNumberFormat="1" applyFont="1" applyFill="1" applyBorder="1" applyAlignment="1">
      <alignment horizontal="right" vertical="center"/>
    </xf>
    <xf numFmtId="2" fontId="40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10" fillId="0" borderId="0" xfId="0" applyFont="1" applyBorder="1"/>
    <xf numFmtId="0" fontId="127" fillId="0" borderId="0" xfId="232" applyFont="1" applyFill="1" applyBorder="1" applyAlignment="1">
      <alignment horizontal="left" vertical="center" wrapText="1"/>
    </xf>
    <xf numFmtId="0" fontId="127" fillId="34" borderId="0" xfId="232" applyFont="1" applyFill="1" applyBorder="1" applyAlignment="1">
      <alignment horizontal="left" vertical="center" wrapText="1"/>
    </xf>
    <xf numFmtId="0" fontId="133" fillId="34" borderId="0" xfId="0" applyFont="1" applyFill="1" applyBorder="1" applyAlignment="1">
      <alignment horizontal="left" vertical="center" wrapText="1"/>
    </xf>
    <xf numFmtId="0" fontId="133" fillId="0" borderId="0" xfId="0" applyFont="1" applyFill="1" applyBorder="1" applyAlignment="1">
      <alignment horizontal="left" vertical="center" wrapText="1"/>
    </xf>
    <xf numFmtId="0" fontId="127" fillId="34" borderId="0" xfId="0" applyFont="1" applyFill="1" applyBorder="1" applyAlignment="1">
      <alignment horizontal="left" vertical="center" wrapText="1"/>
    </xf>
    <xf numFmtId="0" fontId="127" fillId="0" borderId="0" xfId="0" applyFont="1" applyFill="1" applyBorder="1" applyAlignment="1">
      <alignment horizontal="left" vertical="center" wrapText="1"/>
    </xf>
    <xf numFmtId="0" fontId="161" fillId="0" borderId="0" xfId="0" applyFont="1" applyBorder="1" applyAlignment="1">
      <alignment vertical="center" wrapText="1"/>
    </xf>
    <xf numFmtId="0" fontId="47" fillId="0" borderId="0" xfId="0" applyFont="1" applyAlignment="1">
      <alignment vertical="center"/>
    </xf>
    <xf numFmtId="0" fontId="159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159" fillId="0" borderId="0" xfId="0" applyFont="1" applyFill="1" applyBorder="1" applyAlignment="1">
      <alignment vertical="center"/>
    </xf>
    <xf numFmtId="164" fontId="159" fillId="0" borderId="0" xfId="0" applyNumberFormat="1" applyFont="1" applyFill="1" applyBorder="1" applyAlignment="1">
      <alignment vertical="center"/>
    </xf>
    <xf numFmtId="164" fontId="110" fillId="0" borderId="0" xfId="0" applyNumberFormat="1" applyFont="1" applyFill="1" applyBorder="1" applyAlignment="1">
      <alignment vertical="center"/>
    </xf>
    <xf numFmtId="0" fontId="25" fillId="0" borderId="0" xfId="0" applyFont="1" applyFill="1" applyBorder="1"/>
    <xf numFmtId="0" fontId="14" fillId="0" borderId="0" xfId="0" applyFont="1" applyAlignment="1"/>
    <xf numFmtId="0" fontId="38" fillId="0" borderId="2" xfId="0" applyFont="1" applyFill="1" applyBorder="1" applyAlignment="1">
      <alignment horizontal="center" vertical="center" wrapText="1"/>
    </xf>
    <xf numFmtId="2" fontId="127" fillId="34" borderId="0" xfId="0" applyNumberFormat="1" applyFont="1" applyFill="1" applyBorder="1" applyAlignment="1">
      <alignment horizontal="center" vertical="center"/>
    </xf>
    <xf numFmtId="0" fontId="127" fillId="34" borderId="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69" fillId="0" borderId="0" xfId="0" applyFont="1"/>
    <xf numFmtId="0" fontId="23" fillId="0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1" fontId="38" fillId="34" borderId="6" xfId="0" applyNumberFormat="1" applyFont="1" applyFill="1" applyBorder="1" applyAlignment="1">
      <alignment horizontal="center" vertical="center"/>
    </xf>
    <xf numFmtId="46" fontId="38" fillId="34" borderId="6" xfId="0" applyNumberFormat="1" applyFont="1" applyFill="1" applyBorder="1" applyAlignment="1">
      <alignment horizontal="center" vertical="center"/>
    </xf>
    <xf numFmtId="2" fontId="19" fillId="34" borderId="6" xfId="0" applyNumberFormat="1" applyFont="1" applyFill="1" applyBorder="1" applyAlignment="1">
      <alignment horizontal="center" vertical="top"/>
    </xf>
    <xf numFmtId="0" fontId="34" fillId="0" borderId="0" xfId="0" applyFont="1" applyFill="1" applyBorder="1"/>
    <xf numFmtId="1" fontId="161" fillId="34" borderId="0" xfId="0" applyNumberFormat="1" applyFont="1" applyFill="1" applyBorder="1" applyAlignment="1">
      <alignment horizontal="center" vertical="center"/>
    </xf>
    <xf numFmtId="2" fontId="161" fillId="34" borderId="0" xfId="0" applyNumberFormat="1" applyFont="1" applyFill="1" applyBorder="1" applyAlignment="1">
      <alignment horizontal="center" vertical="center"/>
    </xf>
    <xf numFmtId="2" fontId="39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27" fillId="0" borderId="66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4" fontId="120" fillId="0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33" fillId="0" borderId="0" xfId="0" applyFont="1" applyFill="1" applyBorder="1" applyAlignment="1">
      <alignment horizontal="left" vertical="top" wrapText="1"/>
    </xf>
    <xf numFmtId="2" fontId="13" fillId="34" borderId="0" xfId="0" applyNumberFormat="1" applyFont="1" applyFill="1" applyBorder="1" applyAlignment="1">
      <alignment horizontal="left" vertical="center" wrapText="1"/>
    </xf>
    <xf numFmtId="0" fontId="133" fillId="34" borderId="0" xfId="0" applyFont="1" applyFill="1"/>
    <xf numFmtId="164" fontId="133" fillId="34" borderId="0" xfId="0" applyNumberFormat="1" applyFont="1" applyFill="1"/>
    <xf numFmtId="0" fontId="14" fillId="0" borderId="0" xfId="0" applyFont="1" applyFill="1" applyBorder="1" applyAlignment="1">
      <alignment horizontal="left"/>
    </xf>
    <xf numFmtId="2" fontId="110" fillId="0" borderId="0" xfId="0" applyNumberFormat="1" applyFont="1"/>
    <xf numFmtId="0" fontId="13" fillId="0" borderId="0" xfId="0" applyFont="1" applyFill="1" applyBorder="1" applyAlignment="1"/>
    <xf numFmtId="2" fontId="120" fillId="0" borderId="0" xfId="0" applyNumberFormat="1" applyFont="1" applyFill="1" applyBorder="1" applyAlignment="1">
      <alignment horizontal="center" vertical="center"/>
    </xf>
    <xf numFmtId="2" fontId="120" fillId="34" borderId="0" xfId="0" applyNumberFormat="1" applyFont="1" applyFill="1" applyBorder="1" applyAlignment="1">
      <alignment horizontal="center" vertical="center"/>
    </xf>
    <xf numFmtId="1" fontId="110" fillId="0" borderId="0" xfId="0" applyNumberFormat="1" applyFont="1" applyFill="1"/>
    <xf numFmtId="0" fontId="127" fillId="0" borderId="0" xfId="0" applyFont="1" applyFill="1"/>
    <xf numFmtId="1" fontId="3" fillId="0" borderId="0" xfId="0" applyNumberFormat="1" applyFont="1" applyFill="1"/>
    <xf numFmtId="0" fontId="23" fillId="34" borderId="0" xfId="0" applyFont="1" applyFill="1" applyBorder="1" applyAlignment="1">
      <alignment vertical="top" wrapText="1"/>
    </xf>
    <xf numFmtId="0" fontId="23" fillId="34" borderId="0" xfId="0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1" fontId="29" fillId="34" borderId="0" xfId="0" applyNumberFormat="1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2" fontId="29" fillId="0" borderId="6" xfId="0" applyNumberFormat="1" applyFont="1" applyFill="1" applyBorder="1" applyAlignment="1">
      <alignment horizontal="center"/>
    </xf>
    <xf numFmtId="1" fontId="29" fillId="0" borderId="6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top" wrapText="1"/>
    </xf>
    <xf numFmtId="2" fontId="124" fillId="0" borderId="0" xfId="0" applyNumberFormat="1" applyFont="1" applyFill="1" applyBorder="1" applyAlignment="1">
      <alignment horizontal="center"/>
    </xf>
    <xf numFmtId="2" fontId="124" fillId="0" borderId="0" xfId="0" applyNumberFormat="1" applyFont="1" applyFill="1" applyBorder="1" applyAlignment="1">
      <alignment horizontal="center" vertical="center"/>
    </xf>
    <xf numFmtId="0" fontId="124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 vertical="center"/>
    </xf>
    <xf numFmtId="0" fontId="16" fillId="34" borderId="6" xfId="0" applyFont="1" applyFill="1" applyBorder="1" applyAlignment="1">
      <alignment vertical="top" wrapText="1"/>
    </xf>
    <xf numFmtId="2" fontId="124" fillId="34" borderId="6" xfId="0" applyNumberFormat="1" applyFont="1" applyFill="1" applyBorder="1" applyAlignment="1">
      <alignment horizontal="center"/>
    </xf>
    <xf numFmtId="2" fontId="124" fillId="34" borderId="6" xfId="0" applyNumberFormat="1" applyFont="1" applyFill="1" applyBorder="1" applyAlignment="1">
      <alignment horizontal="center" vertical="center"/>
    </xf>
    <xf numFmtId="0" fontId="124" fillId="34" borderId="6" xfId="0" applyFont="1" applyFill="1" applyBorder="1" applyAlignment="1">
      <alignment horizontal="center"/>
    </xf>
    <xf numFmtId="2" fontId="16" fillId="34" borderId="6" xfId="0" applyNumberFormat="1" applyFont="1" applyFill="1" applyBorder="1" applyAlignment="1">
      <alignment horizontal="center" vertical="center"/>
    </xf>
    <xf numFmtId="2" fontId="16" fillId="34" borderId="6" xfId="0" applyNumberFormat="1" applyFont="1" applyFill="1" applyBorder="1" applyAlignment="1">
      <alignment horizontal="center" vertical="center" wrapText="1"/>
    </xf>
    <xf numFmtId="1" fontId="16" fillId="34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center"/>
    </xf>
    <xf numFmtId="37" fontId="38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Alignment="1"/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 wrapText="1"/>
    </xf>
    <xf numFmtId="0" fontId="38" fillId="34" borderId="0" xfId="0" applyFont="1" applyFill="1" applyBorder="1" applyAlignment="1">
      <alignment horizontal="left" vertical="center" wrapText="1"/>
    </xf>
    <xf numFmtId="164" fontId="23" fillId="34" borderId="0" xfId="0" applyNumberFormat="1" applyFont="1" applyFill="1" applyBorder="1" applyAlignment="1">
      <alignment horizontal="left" vertical="center" wrapText="1"/>
    </xf>
    <xf numFmtId="0" fontId="40" fillId="34" borderId="6" xfId="0" applyFont="1" applyFill="1" applyBorder="1" applyAlignment="1">
      <alignment horizontal="left" vertical="center"/>
    </xf>
    <xf numFmtId="2" fontId="110" fillId="34" borderId="0" xfId="0" applyNumberFormat="1" applyFont="1" applyFill="1" applyBorder="1" applyAlignment="1">
      <alignment horizontal="center"/>
    </xf>
    <xf numFmtId="2" fontId="110" fillId="34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/>
    </xf>
    <xf numFmtId="37" fontId="38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6" xfId="0" applyFont="1" applyFill="1" applyBorder="1" applyAlignment="1">
      <alignment horizontal="left" vertical="top"/>
    </xf>
    <xf numFmtId="165" fontId="82" fillId="0" borderId="0" xfId="0" applyNumberFormat="1" applyFont="1"/>
    <xf numFmtId="0" fontId="38" fillId="34" borderId="6" xfId="0" applyFont="1" applyFill="1" applyBorder="1" applyAlignment="1">
      <alignment horizontal="left" vertical="center"/>
    </xf>
    <xf numFmtId="1" fontId="15" fillId="34" borderId="6" xfId="0" applyNumberFormat="1" applyFont="1" applyFill="1" applyBorder="1" applyAlignment="1">
      <alignment horizontal="center" vertical="center"/>
    </xf>
    <xf numFmtId="1" fontId="110" fillId="34" borderId="6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27" fillId="0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2" fontId="13" fillId="34" borderId="6" xfId="0" applyNumberFormat="1" applyFont="1" applyFill="1" applyBorder="1" applyAlignment="1">
      <alignment horizontal="left" vertical="center" wrapText="1"/>
    </xf>
    <xf numFmtId="0" fontId="136" fillId="0" borderId="0" xfId="196" applyFont="1" applyAlignment="1">
      <alignment horizontal="left"/>
    </xf>
    <xf numFmtId="0" fontId="23" fillId="0" borderId="0" xfId="196" applyFont="1" applyBorder="1" applyAlignment="1">
      <alignment horizontal="center" vertical="center"/>
    </xf>
    <xf numFmtId="166" fontId="23" fillId="0" borderId="0" xfId="196" applyNumberFormat="1" applyFont="1" applyFill="1" applyBorder="1" applyAlignment="1">
      <alignment horizontal="center" vertical="center"/>
    </xf>
    <xf numFmtId="46" fontId="15" fillId="0" borderId="0" xfId="0" applyNumberFormat="1" applyFont="1" applyFill="1" applyBorder="1" applyAlignment="1">
      <alignment horizontal="left"/>
    </xf>
    <xf numFmtId="1" fontId="40" fillId="34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2" fontId="15" fillId="0" borderId="6" xfId="0" applyNumberFormat="1" applyFont="1" applyFill="1" applyBorder="1" applyAlignment="1">
      <alignment horizontal="center"/>
    </xf>
    <xf numFmtId="2" fontId="110" fillId="0" borderId="6" xfId="0" applyNumberFormat="1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2" fontId="110" fillId="34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48" fillId="0" borderId="0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164" fontId="15" fillId="0" borderId="6" xfId="0" applyNumberFormat="1" applyFont="1" applyFill="1" applyBorder="1" applyAlignment="1">
      <alignment horizontal="right" vertical="center"/>
    </xf>
    <xf numFmtId="164" fontId="27" fillId="0" borderId="0" xfId="0" applyNumberFormat="1" applyFont="1" applyFill="1" applyAlignment="1">
      <alignment horizontal="center" vertical="center"/>
    </xf>
    <xf numFmtId="164" fontId="110" fillId="34" borderId="6" xfId="0" applyNumberFormat="1" applyFont="1" applyFill="1" applyBorder="1" applyAlignment="1">
      <alignment horizontal="center" vertical="center"/>
    </xf>
    <xf numFmtId="164" fontId="118" fillId="34" borderId="6" xfId="0" applyNumberFormat="1" applyFont="1" applyFill="1" applyBorder="1" applyAlignment="1">
      <alignment horizontal="center" vertical="center"/>
    </xf>
    <xf numFmtId="0" fontId="148" fillId="0" borderId="0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0" fontId="157" fillId="2" borderId="10" xfId="0" applyFont="1" applyFill="1" applyBorder="1" applyAlignment="1">
      <alignment horizontal="center"/>
    </xf>
    <xf numFmtId="0" fontId="157" fillId="2" borderId="0" xfId="0" applyFont="1" applyFill="1" applyBorder="1" applyAlignment="1">
      <alignment horizontal="center"/>
    </xf>
    <xf numFmtId="0" fontId="157" fillId="2" borderId="11" xfId="0" applyFont="1" applyFill="1" applyBorder="1" applyAlignment="1">
      <alignment horizontal="center"/>
    </xf>
    <xf numFmtId="0" fontId="134" fillId="0" borderId="0" xfId="0" applyFont="1" applyFill="1" applyBorder="1" applyAlignment="1">
      <alignment horizontal="right" vertical="center"/>
    </xf>
    <xf numFmtId="0" fontId="155" fillId="2" borderId="0" xfId="0" applyFont="1" applyFill="1" applyBorder="1" applyAlignment="1">
      <alignment horizontal="left" vertical="center" wrapText="1"/>
    </xf>
    <xf numFmtId="1" fontId="119" fillId="34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0" fontId="0" fillId="0" borderId="0" xfId="0"/>
    <xf numFmtId="0" fontId="120" fillId="0" borderId="2" xfId="0" applyFont="1" applyBorder="1" applyAlignment="1">
      <alignment horizontal="center" vertical="top" wrapText="1"/>
    </xf>
    <xf numFmtId="0" fontId="162" fillId="0" borderId="0" xfId="0" applyFont="1" applyAlignment="1">
      <alignment vertical="center"/>
    </xf>
    <xf numFmtId="0" fontId="0" fillId="0" borderId="0" xfId="0" applyAlignment="1">
      <alignment vertical="center"/>
    </xf>
    <xf numFmtId="0" fontId="133" fillId="0" borderId="3" xfId="0" applyFont="1" applyBorder="1" applyAlignment="1">
      <alignment vertical="top" wrapText="1"/>
    </xf>
    <xf numFmtId="0" fontId="14" fillId="0" borderId="0" xfId="0" applyFont="1" applyFill="1" applyBorder="1" applyAlignment="1">
      <alignment horizontal="left"/>
    </xf>
    <xf numFmtId="2" fontId="17" fillId="0" borderId="0" xfId="0" applyNumberFormat="1" applyFont="1" applyFill="1" applyBorder="1" applyAlignment="1">
      <alignment horizontal="left" vertical="center" wrapText="1"/>
    </xf>
    <xf numFmtId="0" fontId="123" fillId="0" borderId="0" xfId="0" applyFont="1" applyFill="1" applyBorder="1" applyAlignment="1">
      <alignment horizontal="left" vertical="top"/>
    </xf>
    <xf numFmtId="0" fontId="176" fillId="0" borderId="2" xfId="0" applyFont="1" applyBorder="1" applyAlignment="1">
      <alignment horizontal="center" vertical="top" wrapText="1"/>
    </xf>
    <xf numFmtId="2" fontId="118" fillId="0" borderId="6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/>
    <xf numFmtId="0" fontId="15" fillId="34" borderId="6" xfId="0" applyFont="1" applyFill="1" applyBorder="1" applyAlignment="1">
      <alignment horizontal="right"/>
    </xf>
    <xf numFmtId="0" fontId="39" fillId="34" borderId="0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left" wrapText="1"/>
    </xf>
    <xf numFmtId="4" fontId="38" fillId="0" borderId="6" xfId="0" applyNumberFormat="1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horizontal="center" vertical="center" wrapText="1"/>
    </xf>
    <xf numFmtId="171" fontId="110" fillId="0" borderId="6" xfId="0" applyNumberFormat="1" applyFont="1" applyFill="1" applyBorder="1" applyAlignment="1">
      <alignment horizontal="center" vertical="center" wrapText="1"/>
    </xf>
    <xf numFmtId="2" fontId="13" fillId="34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9" fillId="0" borderId="3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/>
    </xf>
    <xf numFmtId="4" fontId="110" fillId="0" borderId="6" xfId="0" applyNumberFormat="1" applyFont="1" applyFill="1" applyBorder="1" applyAlignment="1">
      <alignment horizontal="center" vertical="center" wrapText="1"/>
    </xf>
    <xf numFmtId="164" fontId="110" fillId="0" borderId="6" xfId="0" applyNumberFormat="1" applyFont="1" applyFill="1" applyBorder="1" applyAlignment="1">
      <alignment horizontal="center" vertical="center" wrapText="1"/>
    </xf>
    <xf numFmtId="164" fontId="15" fillId="0" borderId="6" xfId="0" applyNumberFormat="1" applyFont="1" applyFill="1" applyBorder="1" applyAlignment="1">
      <alignment horizontal="center" vertical="center" wrapText="1"/>
    </xf>
    <xf numFmtId="1" fontId="15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/>
    <xf numFmtId="0" fontId="40" fillId="0" borderId="0" xfId="0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horizontal="center" vertical="center"/>
    </xf>
    <xf numFmtId="0" fontId="0" fillId="0" borderId="0" xfId="0"/>
    <xf numFmtId="0" fontId="33" fillId="0" borderId="0" xfId="196" applyFont="1" applyBorder="1" applyAlignment="1">
      <alignment horizontal="left" wrapText="1"/>
    </xf>
    <xf numFmtId="0" fontId="28" fillId="0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0" fontId="15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50" xfId="196" applyFont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left" vertical="top"/>
    </xf>
    <xf numFmtId="1" fontId="47" fillId="0" borderId="6" xfId="0" applyNumberFormat="1" applyFont="1" applyFill="1" applyBorder="1" applyAlignment="1">
      <alignment horizontal="center" vertical="center"/>
    </xf>
    <xf numFmtId="2" fontId="47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/>
    <xf numFmtId="2" fontId="110" fillId="34" borderId="6" xfId="0" applyNumberFormat="1" applyFont="1" applyFill="1" applyBorder="1" applyAlignment="1">
      <alignment horizontal="center" vertical="center" wrapText="1"/>
    </xf>
    <xf numFmtId="2" fontId="118" fillId="34" borderId="6" xfId="0" applyNumberFormat="1" applyFont="1" applyFill="1" applyBorder="1" applyAlignment="1">
      <alignment horizontal="center" vertical="center" wrapText="1"/>
    </xf>
    <xf numFmtId="0" fontId="127" fillId="34" borderId="6" xfId="0" applyFont="1" applyFill="1" applyBorder="1" applyAlignment="1">
      <alignment horizontal="left" vertical="center"/>
    </xf>
    <xf numFmtId="0" fontId="124" fillId="34" borderId="6" xfId="0" applyFont="1" applyFill="1" applyBorder="1" applyAlignment="1">
      <alignment horizontal="left" vertical="center"/>
    </xf>
    <xf numFmtId="164" fontId="124" fillId="34" borderId="6" xfId="0" applyNumberFormat="1" applyFont="1" applyFill="1" applyBorder="1" applyAlignment="1">
      <alignment horizontal="center" vertical="center"/>
    </xf>
    <xf numFmtId="0" fontId="127" fillId="0" borderId="6" xfId="0" applyFont="1" applyFill="1" applyBorder="1" applyAlignment="1">
      <alignment horizontal="left" vertical="center" wrapText="1"/>
    </xf>
    <xf numFmtId="164" fontId="110" fillId="0" borderId="6" xfId="0" applyNumberFormat="1" applyFont="1" applyFill="1" applyBorder="1" applyAlignment="1">
      <alignment horizontal="center" vertical="center"/>
    </xf>
    <xf numFmtId="0" fontId="0" fillId="0" borderId="0" xfId="0"/>
    <xf numFmtId="0" fontId="110" fillId="34" borderId="6" xfId="0" applyFont="1" applyFill="1" applyBorder="1"/>
    <xf numFmtId="164" fontId="110" fillId="34" borderId="6" xfId="0" applyNumberFormat="1" applyFont="1" applyFill="1" applyBorder="1"/>
    <xf numFmtId="1" fontId="110" fillId="34" borderId="6" xfId="0" applyNumberFormat="1" applyFont="1" applyFill="1" applyBorder="1"/>
    <xf numFmtId="0" fontId="0" fillId="0" borderId="0" xfId="0"/>
    <xf numFmtId="0" fontId="137" fillId="0" borderId="6" xfId="0" applyFont="1" applyFill="1" applyBorder="1" applyAlignment="1">
      <alignment horizontal="left" vertical="center" wrapText="1"/>
    </xf>
    <xf numFmtId="2" fontId="137" fillId="0" borderId="6" xfId="0" applyNumberFormat="1" applyFont="1" applyFill="1" applyBorder="1" applyAlignment="1">
      <alignment horizontal="center" vertical="center"/>
    </xf>
    <xf numFmtId="0" fontId="137" fillId="0" borderId="6" xfId="0" applyFont="1" applyFill="1" applyBorder="1" applyAlignment="1">
      <alignment horizontal="right" vertical="center" wrapText="1"/>
    </xf>
    <xf numFmtId="0" fontId="0" fillId="0" borderId="0" xfId="0"/>
    <xf numFmtId="0" fontId="29" fillId="0" borderId="2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right" wrapText="1"/>
    </xf>
    <xf numFmtId="0" fontId="13" fillId="0" borderId="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28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4" fillId="0" borderId="0" xfId="0" applyFont="1" applyAlignment="1"/>
    <xf numFmtId="0" fontId="38" fillId="0" borderId="0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0" fontId="123" fillId="0" borderId="2" xfId="0" applyFont="1" applyBorder="1" applyAlignment="1">
      <alignment horizontal="center" vertical="top" wrapText="1"/>
    </xf>
    <xf numFmtId="0" fontId="15" fillId="0" borderId="6" xfId="0" applyFont="1" applyBorder="1" applyAlignment="1">
      <alignment vertical="center"/>
    </xf>
    <xf numFmtId="0" fontId="15" fillId="0" borderId="6" xfId="0" applyFont="1" applyBorder="1" applyAlignment="1">
      <alignment horizontal="center" vertical="center"/>
    </xf>
    <xf numFmtId="0" fontId="15" fillId="34" borderId="6" xfId="196" applyFont="1" applyFill="1" applyBorder="1" applyAlignment="1">
      <alignment vertical="center"/>
    </xf>
    <xf numFmtId="0" fontId="15" fillId="34" borderId="6" xfId="196" applyFont="1" applyFill="1" applyBorder="1" applyAlignment="1">
      <alignment horizontal="center" vertical="center"/>
    </xf>
    <xf numFmtId="2" fontId="15" fillId="34" borderId="6" xfId="196" applyNumberFormat="1" applyFont="1" applyFill="1" applyBorder="1" applyAlignment="1">
      <alignment horizontal="center" vertical="center"/>
    </xf>
    <xf numFmtId="164" fontId="15" fillId="34" borderId="6" xfId="196" applyNumberFormat="1" applyFont="1" applyFill="1" applyBorder="1" applyAlignment="1">
      <alignment horizontal="center" vertical="center"/>
    </xf>
    <xf numFmtId="166" fontId="15" fillId="34" borderId="6" xfId="196" applyNumberFormat="1" applyFont="1" applyFill="1" applyBorder="1" applyAlignment="1">
      <alignment horizontal="center" vertical="center"/>
    </xf>
    <xf numFmtId="0" fontId="15" fillId="34" borderId="6" xfId="196" applyFont="1" applyFill="1" applyBorder="1" applyAlignment="1">
      <alignment horizontal="right" vertical="center"/>
    </xf>
    <xf numFmtId="0" fontId="40" fillId="0" borderId="6" xfId="0" applyFont="1" applyFill="1" applyBorder="1" applyAlignment="1">
      <alignment horizontal="left" vertical="center"/>
    </xf>
    <xf numFmtId="2" fontId="38" fillId="0" borderId="6" xfId="0" applyNumberFormat="1" applyFont="1" applyFill="1" applyBorder="1" applyAlignment="1">
      <alignment horizontal="center"/>
    </xf>
    <xf numFmtId="164" fontId="15" fillId="34" borderId="6" xfId="0" applyNumberFormat="1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top" wrapText="1"/>
    </xf>
    <xf numFmtId="1" fontId="15" fillId="0" borderId="6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right" vertical="top" wrapText="1"/>
    </xf>
    <xf numFmtId="0" fontId="13" fillId="0" borderId="40" xfId="0" applyFont="1" applyBorder="1" applyAlignment="1">
      <alignment horizontal="center" wrapText="1"/>
    </xf>
    <xf numFmtId="0" fontId="16" fillId="0" borderId="40" xfId="0" applyFont="1" applyBorder="1" applyAlignment="1">
      <alignment vertical="top" wrapText="1"/>
    </xf>
    <xf numFmtId="2" fontId="13" fillId="0" borderId="6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right" vertical="center"/>
    </xf>
    <xf numFmtId="0" fontId="148" fillId="0" borderId="0" xfId="0" applyFont="1" applyBorder="1" applyAlignment="1">
      <alignment horizontal="left" vertical="top" wrapText="1"/>
    </xf>
    <xf numFmtId="0" fontId="0" fillId="0" borderId="0" xfId="0"/>
    <xf numFmtId="0" fontId="0" fillId="0" borderId="0" xfId="0"/>
    <xf numFmtId="0" fontId="15" fillId="0" borderId="6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149" fillId="0" borderId="0" xfId="0" applyFont="1" applyBorder="1" applyAlignment="1">
      <alignment horizontal="left"/>
    </xf>
    <xf numFmtId="0" fontId="148" fillId="0" borderId="0" xfId="0" applyFont="1" applyBorder="1" applyAlignment="1">
      <alignment horizontal="left" wrapText="1"/>
    </xf>
    <xf numFmtId="0" fontId="148" fillId="0" borderId="0" xfId="0" applyFont="1" applyBorder="1" applyAlignment="1">
      <alignment horizontal="left" vertical="top" wrapText="1"/>
    </xf>
    <xf numFmtId="0" fontId="135" fillId="0" borderId="0" xfId="0" applyFont="1" applyFill="1" applyBorder="1" applyAlignment="1">
      <alignment horizontal="left" vertical="center"/>
    </xf>
    <xf numFmtId="0" fontId="134" fillId="0" borderId="0" xfId="0" applyFont="1" applyFill="1" applyBorder="1" applyAlignment="1">
      <alignment horizontal="center"/>
    </xf>
    <xf numFmtId="0" fontId="157" fillId="0" borderId="10" xfId="0" applyFont="1" applyFill="1" applyBorder="1" applyAlignment="1">
      <alignment horizontal="center"/>
    </xf>
    <xf numFmtId="0" fontId="0" fillId="0" borderId="0" xfId="0"/>
    <xf numFmtId="0" fontId="0" fillId="0" borderId="11" xfId="0" applyBorder="1"/>
    <xf numFmtId="0" fontId="149" fillId="0" borderId="7" xfId="0" applyFont="1" applyBorder="1" applyAlignment="1">
      <alignment horizontal="center" vertical="top" wrapText="1"/>
    </xf>
    <xf numFmtId="0" fontId="149" fillId="0" borderId="8" xfId="0" applyFont="1" applyBorder="1" applyAlignment="1">
      <alignment horizontal="center" vertical="top" wrapText="1"/>
    </xf>
    <xf numFmtId="0" fontId="149" fillId="0" borderId="9" xfId="0" applyFont="1" applyBorder="1" applyAlignment="1">
      <alignment horizontal="center" vertical="top" wrapText="1"/>
    </xf>
    <xf numFmtId="0" fontId="149" fillId="0" borderId="10" xfId="0" applyFont="1" applyBorder="1" applyAlignment="1">
      <alignment horizontal="center" vertical="top" wrapText="1"/>
    </xf>
    <xf numFmtId="0" fontId="149" fillId="0" borderId="0" xfId="0" applyFont="1" applyBorder="1" applyAlignment="1">
      <alignment horizontal="center" vertical="top" wrapText="1"/>
    </xf>
    <xf numFmtId="0" fontId="149" fillId="0" borderId="11" xfId="0" applyFont="1" applyBorder="1" applyAlignment="1">
      <alignment horizontal="center" vertical="top" wrapText="1"/>
    </xf>
    <xf numFmtId="49" fontId="157" fillId="0" borderId="10" xfId="0" applyNumberFormat="1" applyFont="1" applyFill="1" applyBorder="1" applyAlignment="1">
      <alignment horizontal="center"/>
    </xf>
    <xf numFmtId="0" fontId="146" fillId="0" borderId="0" xfId="0" applyFont="1" applyBorder="1" applyAlignment="1">
      <alignment horizontal="center"/>
    </xf>
    <xf numFmtId="172" fontId="157" fillId="0" borderId="10" xfId="0" applyNumberFormat="1" applyFont="1" applyFill="1" applyBorder="1" applyAlignment="1">
      <alignment horizontal="center"/>
    </xf>
    <xf numFmtId="0" fontId="155" fillId="0" borderId="0" xfId="0" applyFont="1" applyFill="1" applyBorder="1" applyAlignment="1">
      <alignment horizontal="left" vertical="center" wrapText="1"/>
    </xf>
    <xf numFmtId="0" fontId="4" fillId="0" borderId="0" xfId="173" applyAlignment="1" applyProtection="1">
      <alignment horizontal="left"/>
    </xf>
    <xf numFmtId="0" fontId="32" fillId="0" borderId="0" xfId="0" applyFont="1" applyAlignment="1">
      <alignment horizontal="left"/>
    </xf>
    <xf numFmtId="0" fontId="155" fillId="0" borderId="0" xfId="0" applyFont="1" applyBorder="1" applyAlignment="1">
      <alignment horizontal="left" vertical="center" wrapText="1"/>
    </xf>
    <xf numFmtId="0" fontId="134" fillId="0" borderId="0" xfId="0" applyFont="1" applyFill="1" applyBorder="1" applyAlignment="1">
      <alignment horizontal="right" vertical="center"/>
    </xf>
    <xf numFmtId="0" fontId="155" fillId="2" borderId="0" xfId="0" applyFont="1" applyFill="1" applyBorder="1" applyAlignment="1">
      <alignment horizontal="left" vertical="center" wrapText="1"/>
    </xf>
    <xf numFmtId="0" fontId="186" fillId="0" borderId="0" xfId="0" applyFont="1" applyAlignment="1">
      <alignment horizontal="center"/>
    </xf>
    <xf numFmtId="0" fontId="150" fillId="0" borderId="0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148" fillId="0" borderId="6" xfId="0" applyFont="1" applyBorder="1" applyAlignment="1">
      <alignment horizontal="left" vertical="top" wrapText="1"/>
    </xf>
    <xf numFmtId="0" fontId="157" fillId="2" borderId="10" xfId="0" applyFont="1" applyFill="1" applyBorder="1" applyAlignment="1">
      <alignment horizontal="center"/>
    </xf>
    <xf numFmtId="0" fontId="157" fillId="2" borderId="0" xfId="0" applyFont="1" applyFill="1" applyBorder="1" applyAlignment="1">
      <alignment horizontal="center"/>
    </xf>
    <xf numFmtId="0" fontId="157" fillId="2" borderId="11" xfId="0" applyFont="1" applyFill="1" applyBorder="1" applyAlignment="1">
      <alignment horizont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left" wrapText="1"/>
    </xf>
    <xf numFmtId="0" fontId="82" fillId="0" borderId="0" xfId="0" applyFont="1" applyAlignment="1">
      <alignment horizontal="left"/>
    </xf>
    <xf numFmtId="0" fontId="82" fillId="0" borderId="0" xfId="0" applyFont="1" applyBorder="1" applyAlignment="1">
      <alignment horizontal="left" vertical="justify" wrapText="1"/>
    </xf>
    <xf numFmtId="0" fontId="21" fillId="0" borderId="0" xfId="0" applyFont="1" applyBorder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6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3" xfId="0" applyFill="1" applyBorder="1"/>
    <xf numFmtId="0" fontId="21" fillId="0" borderId="0" xfId="0" applyFont="1" applyAlignment="1">
      <alignment horizontal="left"/>
    </xf>
    <xf numFmtId="0" fontId="29" fillId="0" borderId="0" xfId="0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7" fillId="0" borderId="7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 wrapText="1"/>
    </xf>
    <xf numFmtId="0" fontId="7" fillId="0" borderId="6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21" fillId="0" borderId="0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9" fillId="0" borderId="40" xfId="0" applyFont="1" applyBorder="1" applyAlignment="1">
      <alignment horizontal="right" wrapText="1"/>
    </xf>
    <xf numFmtId="0" fontId="21" fillId="0" borderId="0" xfId="0" applyFont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65" xfId="0" applyFont="1" applyFill="1" applyBorder="1" applyAlignment="1">
      <alignment horizontal="center" vertical="center" wrapText="1"/>
    </xf>
    <xf numFmtId="0" fontId="34" fillId="0" borderId="66" xfId="0" applyFont="1" applyFill="1" applyBorder="1" applyAlignment="1">
      <alignment horizontal="center" vertical="center" wrapText="1"/>
    </xf>
    <xf numFmtId="0" fontId="38" fillId="0" borderId="64" xfId="0" applyFont="1" applyFill="1" applyBorder="1" applyAlignment="1">
      <alignment horizontal="center" vertical="center" wrapText="1"/>
    </xf>
    <xf numFmtId="0" fontId="8" fillId="0" borderId="64" xfId="0" applyFont="1" applyFill="1" applyBorder="1" applyAlignment="1">
      <alignment horizontal="center" vertical="center" wrapText="1"/>
    </xf>
    <xf numFmtId="0" fontId="29" fillId="0" borderId="40" xfId="0" applyFont="1" applyBorder="1" applyAlignment="1">
      <alignment horizontal="left" wrapText="1"/>
    </xf>
    <xf numFmtId="0" fontId="15" fillId="0" borderId="6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 wrapText="1"/>
    </xf>
    <xf numFmtId="0" fontId="29" fillId="0" borderId="66" xfId="0" applyFont="1" applyFill="1" applyBorder="1" applyAlignment="1">
      <alignment horizontal="center" vertical="center" wrapText="1"/>
    </xf>
    <xf numFmtId="0" fontId="82" fillId="0" borderId="0" xfId="0" applyFont="1" applyFill="1" applyBorder="1" applyAlignment="1">
      <alignment horizontal="left" wrapText="1"/>
    </xf>
    <xf numFmtId="0" fontId="8" fillId="0" borderId="43" xfId="0" applyFont="1" applyFill="1" applyBorder="1" applyAlignment="1">
      <alignment horizontal="right" vertical="center"/>
    </xf>
    <xf numFmtId="0" fontId="8" fillId="0" borderId="65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left" vertical="center"/>
    </xf>
    <xf numFmtId="0" fontId="8" fillId="0" borderId="66" xfId="0" applyFont="1" applyFill="1" applyBorder="1" applyAlignment="1">
      <alignment horizontal="left" vertical="center"/>
    </xf>
    <xf numFmtId="0" fontId="8" fillId="0" borderId="65" xfId="0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49" fontId="82" fillId="0" borderId="0" xfId="0" applyNumberFormat="1" applyFont="1" applyBorder="1" applyAlignment="1">
      <alignment horizontal="left" wrapText="1"/>
    </xf>
    <xf numFmtId="0" fontId="82" fillId="0" borderId="0" xfId="0" applyFont="1" applyFill="1" applyAlignment="1">
      <alignment horizontal="left" wrapText="1"/>
    </xf>
    <xf numFmtId="0" fontId="21" fillId="0" borderId="0" xfId="196" applyFont="1" applyBorder="1" applyAlignment="1">
      <alignment horizontal="center"/>
    </xf>
    <xf numFmtId="0" fontId="21" fillId="0" borderId="0" xfId="196" applyFont="1" applyAlignment="1">
      <alignment horizontal="right"/>
    </xf>
    <xf numFmtId="0" fontId="7" fillId="0" borderId="0" xfId="196" applyFont="1" applyAlignment="1">
      <alignment horizontal="right"/>
    </xf>
    <xf numFmtId="0" fontId="27" fillId="0" borderId="43" xfId="196" applyFont="1" applyFill="1" applyBorder="1" applyAlignment="1">
      <alignment horizontal="center" vertical="center"/>
    </xf>
    <xf numFmtId="0" fontId="27" fillId="0" borderId="65" xfId="196" applyFont="1" applyFill="1" applyBorder="1" applyAlignment="1">
      <alignment horizontal="center" vertical="center"/>
    </xf>
    <xf numFmtId="0" fontId="27" fillId="0" borderId="66" xfId="196" applyFont="1" applyFill="1" applyBorder="1" applyAlignment="1">
      <alignment horizontal="center" vertical="center"/>
    </xf>
    <xf numFmtId="0" fontId="21" fillId="0" borderId="0" xfId="196" applyFont="1" applyBorder="1" applyAlignment="1">
      <alignment horizontal="right"/>
    </xf>
    <xf numFmtId="0" fontId="29" fillId="0" borderId="2" xfId="196" applyFont="1" applyBorder="1" applyAlignment="1">
      <alignment horizontal="center" vertical="center" wrapText="1"/>
    </xf>
    <xf numFmtId="0" fontId="29" fillId="0" borderId="64" xfId="196" applyFont="1" applyFill="1" applyBorder="1" applyAlignment="1">
      <alignment horizontal="center" vertical="center" wrapText="1"/>
    </xf>
    <xf numFmtId="0" fontId="29" fillId="0" borderId="3" xfId="196" applyFont="1" applyFill="1" applyBorder="1" applyAlignment="1">
      <alignment horizontal="center" vertical="center" wrapText="1"/>
    </xf>
    <xf numFmtId="0" fontId="29" fillId="0" borderId="67" xfId="196" applyFont="1" applyFill="1" applyBorder="1" applyAlignment="1">
      <alignment horizontal="center" vertical="center"/>
    </xf>
    <xf numFmtId="0" fontId="29" fillId="0" borderId="66" xfId="196" applyFont="1" applyFill="1" applyBorder="1" applyAlignment="1">
      <alignment horizontal="center" vertical="center"/>
    </xf>
    <xf numFmtId="0" fontId="7" fillId="0" borderId="0" xfId="196" applyFont="1" applyBorder="1" applyAlignment="1">
      <alignment horizontal="right" wrapText="1"/>
    </xf>
    <xf numFmtId="0" fontId="27" fillId="0" borderId="43" xfId="196" applyFont="1" applyFill="1" applyBorder="1" applyAlignment="1">
      <alignment horizontal="center" vertical="center" wrapText="1"/>
    </xf>
    <xf numFmtId="0" fontId="27" fillId="0" borderId="66" xfId="196" applyFont="1" applyFill="1" applyBorder="1" applyAlignment="1">
      <alignment horizontal="center" vertical="center" wrapText="1"/>
    </xf>
    <xf numFmtId="0" fontId="27" fillId="0" borderId="65" xfId="196" applyFont="1" applyFill="1" applyBorder="1" applyAlignment="1">
      <alignment horizontal="center" vertical="center" wrapText="1"/>
    </xf>
    <xf numFmtId="0" fontId="29" fillId="0" borderId="64" xfId="196" applyFont="1" applyBorder="1" applyAlignment="1">
      <alignment horizontal="center" vertical="center" wrapText="1"/>
    </xf>
    <xf numFmtId="0" fontId="29" fillId="0" borderId="18" xfId="196" applyFont="1" applyBorder="1" applyAlignment="1">
      <alignment horizontal="center" vertical="center" wrapText="1"/>
    </xf>
    <xf numFmtId="0" fontId="29" fillId="0" borderId="3" xfId="196" applyFont="1" applyBorder="1" applyAlignment="1">
      <alignment horizontal="center" vertical="center" wrapText="1"/>
    </xf>
    <xf numFmtId="0" fontId="27" fillId="0" borderId="67" xfId="196" applyFont="1" applyFill="1" applyBorder="1" applyAlignment="1">
      <alignment horizontal="center" vertical="center"/>
    </xf>
    <xf numFmtId="0" fontId="27" fillId="0" borderId="47" xfId="196" applyFont="1" applyFill="1" applyBorder="1" applyAlignment="1">
      <alignment horizontal="center" vertical="center"/>
    </xf>
    <xf numFmtId="0" fontId="33" fillId="0" borderId="0" xfId="196" applyFont="1" applyBorder="1" applyAlignment="1">
      <alignment horizontal="left" wrapText="1"/>
    </xf>
    <xf numFmtId="0" fontId="14" fillId="0" borderId="64" xfId="196" applyFont="1" applyFill="1" applyBorder="1" applyAlignment="1">
      <alignment horizontal="center" vertical="center" wrapText="1"/>
    </xf>
    <xf numFmtId="0" fontId="14" fillId="0" borderId="3" xfId="196" applyFont="1" applyFill="1" applyBorder="1" applyAlignment="1">
      <alignment horizontal="center" vertical="center" wrapText="1"/>
    </xf>
    <xf numFmtId="0" fontId="27" fillId="0" borderId="45" xfId="196" applyFont="1" applyFill="1" applyBorder="1" applyAlignment="1">
      <alignment horizontal="center" vertical="center" wrapText="1"/>
    </xf>
    <xf numFmtId="0" fontId="27" fillId="0" borderId="47" xfId="196" applyFont="1" applyFill="1" applyBorder="1" applyAlignment="1">
      <alignment horizontal="center" vertical="center" wrapText="1"/>
    </xf>
    <xf numFmtId="0" fontId="27" fillId="0" borderId="40" xfId="196" applyFont="1" applyFill="1" applyBorder="1" applyAlignment="1">
      <alignment horizontal="center" vertical="center" wrapText="1"/>
    </xf>
    <xf numFmtId="0" fontId="27" fillId="0" borderId="50" xfId="196" applyFont="1" applyFill="1" applyBorder="1" applyAlignment="1">
      <alignment horizontal="center" vertical="center" wrapText="1"/>
    </xf>
    <xf numFmtId="0" fontId="14" fillId="0" borderId="47" xfId="196" applyFont="1" applyFill="1" applyBorder="1" applyAlignment="1">
      <alignment horizontal="center" vertical="center" wrapText="1"/>
    </xf>
    <xf numFmtId="0" fontId="14" fillId="0" borderId="50" xfId="196" applyFont="1" applyFill="1" applyBorder="1" applyAlignment="1">
      <alignment horizontal="center" vertical="center" wrapText="1"/>
    </xf>
    <xf numFmtId="0" fontId="33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horizontal="left" vertical="top" wrapText="1"/>
    </xf>
    <xf numFmtId="0" fontId="15" fillId="0" borderId="64" xfId="196" applyFont="1" applyFill="1" applyBorder="1" applyAlignment="1">
      <alignment horizontal="center" vertical="center" wrapText="1"/>
    </xf>
    <xf numFmtId="0" fontId="15" fillId="0" borderId="3" xfId="196" applyFont="1" applyFill="1" applyBorder="1" applyAlignment="1">
      <alignment horizontal="center" vertical="center" wrapText="1"/>
    </xf>
    <xf numFmtId="0" fontId="195" fillId="0" borderId="43" xfId="196" applyFont="1" applyFill="1" applyBorder="1" applyAlignment="1">
      <alignment horizontal="center" vertical="center" wrapText="1"/>
    </xf>
    <xf numFmtId="0" fontId="196" fillId="0" borderId="65" xfId="196" applyFont="1" applyBorder="1"/>
    <xf numFmtId="0" fontId="196" fillId="0" borderId="66" xfId="196" applyFont="1" applyBorder="1"/>
    <xf numFmtId="0" fontId="33" fillId="0" borderId="0" xfId="196" applyFont="1" applyBorder="1" applyAlignment="1">
      <alignment horizontal="left" vertical="center"/>
    </xf>
    <xf numFmtId="49" fontId="33" fillId="0" borderId="0" xfId="196" applyNumberFormat="1" applyFont="1" applyAlignment="1">
      <alignment horizontal="left"/>
    </xf>
    <xf numFmtId="0" fontId="29" fillId="0" borderId="58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justify" wrapText="1"/>
    </xf>
    <xf numFmtId="0" fontId="14" fillId="0" borderId="0" xfId="0" applyFont="1" applyAlignment="1">
      <alignment horizontal="left"/>
    </xf>
    <xf numFmtId="0" fontId="21" fillId="0" borderId="0" xfId="0" applyFont="1" applyBorder="1" applyAlignment="1">
      <alignment horizontal="right"/>
    </xf>
    <xf numFmtId="0" fontId="29" fillId="0" borderId="54" xfId="0" applyFont="1" applyBorder="1" applyAlignment="1">
      <alignment horizontal="right" wrapText="1"/>
    </xf>
    <xf numFmtId="0" fontId="29" fillId="0" borderId="54" xfId="0" applyFont="1" applyBorder="1" applyAlignment="1"/>
    <xf numFmtId="0" fontId="29" fillId="0" borderId="59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27" fillId="0" borderId="58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57" xfId="0" applyFont="1" applyFill="1" applyBorder="1" applyAlignment="1">
      <alignment horizontal="center" wrapText="1"/>
    </xf>
    <xf numFmtId="0" fontId="27" fillId="0" borderId="55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left" wrapText="1"/>
    </xf>
    <xf numFmtId="0" fontId="21" fillId="0" borderId="0" xfId="0" applyFont="1" applyBorder="1" applyAlignment="1">
      <alignment horizontal="center"/>
    </xf>
    <xf numFmtId="0" fontId="27" fillId="0" borderId="57" xfId="0" applyFont="1" applyFill="1" applyBorder="1" applyAlignment="1">
      <alignment horizontal="center" vertical="center" wrapText="1"/>
    </xf>
    <xf numFmtId="0" fontId="7" fillId="0" borderId="55" xfId="0" applyFont="1" applyFill="1" applyBorder="1"/>
    <xf numFmtId="0" fontId="7" fillId="0" borderId="56" xfId="0" applyFont="1" applyFill="1" applyBorder="1"/>
    <xf numFmtId="0" fontId="29" fillId="0" borderId="31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7" fillId="0" borderId="56" xfId="0" applyFont="1" applyFill="1" applyBorder="1" applyAlignment="1">
      <alignment horizontal="center" wrapText="1"/>
    </xf>
    <xf numFmtId="0" fontId="29" fillId="0" borderId="60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61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/>
    </xf>
    <xf numFmtId="0" fontId="7" fillId="0" borderId="6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43" xfId="0" applyFont="1" applyFill="1" applyBorder="1" applyAlignment="1">
      <alignment horizontal="center" vertical="center"/>
    </xf>
    <xf numFmtId="0" fontId="29" fillId="0" borderId="65" xfId="0" applyFont="1" applyFill="1" applyBorder="1" applyAlignment="1">
      <alignment horizontal="center" vertical="center"/>
    </xf>
    <xf numFmtId="0" fontId="29" fillId="0" borderId="66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29" fillId="0" borderId="0" xfId="0" applyFont="1" applyFill="1" applyAlignment="1">
      <alignment horizontal="right"/>
    </xf>
    <xf numFmtId="0" fontId="29" fillId="0" borderId="44" xfId="0" applyFont="1" applyFill="1" applyBorder="1" applyAlignment="1">
      <alignment horizontal="center" vertical="center" wrapText="1"/>
    </xf>
    <xf numFmtId="0" fontId="29" fillId="0" borderId="52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29" fillId="0" borderId="0" xfId="0" applyFont="1" applyBorder="1" applyAlignment="1"/>
    <xf numFmtId="0" fontId="15" fillId="0" borderId="44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/>
    </xf>
    <xf numFmtId="0" fontId="27" fillId="0" borderId="52" xfId="0" applyFont="1" applyFill="1" applyBorder="1" applyAlignment="1">
      <alignment horizontal="center" vertical="center"/>
    </xf>
    <xf numFmtId="0" fontId="27" fillId="0" borderId="5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/>
    </xf>
    <xf numFmtId="0" fontId="29" fillId="0" borderId="40" xfId="0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left"/>
    </xf>
    <xf numFmtId="0" fontId="16" fillId="0" borderId="46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/>
    </xf>
    <xf numFmtId="0" fontId="16" fillId="0" borderId="41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right" vertical="center" wrapText="1"/>
    </xf>
    <xf numFmtId="0" fontId="30" fillId="0" borderId="0" xfId="0" applyFont="1" applyFill="1" applyBorder="1" applyAlignment="1">
      <alignment horizontal="right" vertical="center" wrapText="1"/>
    </xf>
    <xf numFmtId="0" fontId="30" fillId="0" borderId="0" xfId="0" applyFont="1" applyFill="1" applyAlignment="1">
      <alignment horizontal="left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right" vertical="top" wrapText="1"/>
    </xf>
    <xf numFmtId="0" fontId="27" fillId="0" borderId="52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9" fillId="0" borderId="46" xfId="0" applyFont="1" applyFill="1" applyBorder="1" applyAlignment="1">
      <alignment horizontal="center" vertical="center" wrapText="1"/>
    </xf>
    <xf numFmtId="1" fontId="128" fillId="0" borderId="43" xfId="0" applyNumberFormat="1" applyFont="1" applyFill="1" applyBorder="1" applyAlignment="1">
      <alignment horizontal="center" vertical="center"/>
    </xf>
    <xf numFmtId="1" fontId="128" fillId="0" borderId="66" xfId="0" applyNumberFormat="1" applyFont="1" applyFill="1" applyBorder="1" applyAlignment="1">
      <alignment horizontal="center" vertical="center"/>
    </xf>
    <xf numFmtId="1" fontId="128" fillId="0" borderId="43" xfId="0" applyNumberFormat="1" applyFont="1" applyFill="1" applyBorder="1" applyAlignment="1">
      <alignment horizontal="center" vertical="center" wrapText="1"/>
    </xf>
    <xf numFmtId="0" fontId="0" fillId="0" borderId="66" xfId="0" applyBorder="1"/>
    <xf numFmtId="1" fontId="169" fillId="0" borderId="43" xfId="0" applyNumberFormat="1" applyFont="1" applyFill="1" applyBorder="1" applyAlignment="1">
      <alignment horizontal="center" vertical="center" wrapText="1"/>
    </xf>
    <xf numFmtId="1" fontId="128" fillId="0" borderId="65" xfId="0" applyNumberFormat="1" applyFont="1" applyFill="1" applyBorder="1" applyAlignment="1">
      <alignment horizontal="center" vertical="center"/>
    </xf>
    <xf numFmtId="49" fontId="123" fillId="0" borderId="43" xfId="0" applyNumberFormat="1" applyFont="1" applyFill="1" applyBorder="1" applyAlignment="1">
      <alignment horizontal="center" vertical="center" wrapText="1"/>
    </xf>
    <xf numFmtId="49" fontId="123" fillId="0" borderId="65" xfId="0" applyNumberFormat="1" applyFont="1" applyFill="1" applyBorder="1" applyAlignment="1">
      <alignment horizontal="center" vertical="center" wrapText="1"/>
    </xf>
    <xf numFmtId="49" fontId="123" fillId="0" borderId="66" xfId="0" applyNumberFormat="1" applyFont="1" applyFill="1" applyBorder="1" applyAlignment="1">
      <alignment horizontal="center" vertical="center" wrapText="1"/>
    </xf>
    <xf numFmtId="49" fontId="123" fillId="0" borderId="71" xfId="0" applyNumberFormat="1" applyFont="1" applyFill="1" applyBorder="1" applyAlignment="1">
      <alignment horizontal="center" vertical="center" wrapText="1"/>
    </xf>
    <xf numFmtId="49" fontId="123" fillId="0" borderId="47" xfId="0" applyNumberFormat="1" applyFont="1" applyFill="1" applyBorder="1" applyAlignment="1">
      <alignment horizontal="center" vertical="center" wrapText="1"/>
    </xf>
    <xf numFmtId="49" fontId="123" fillId="0" borderId="4" xfId="0" applyNumberFormat="1" applyFont="1" applyFill="1" applyBorder="1" applyAlignment="1">
      <alignment horizontal="center" vertical="center" wrapText="1"/>
    </xf>
    <xf numFmtId="49" fontId="123" fillId="0" borderId="69" xfId="0" applyNumberFormat="1" applyFont="1" applyFill="1" applyBorder="1" applyAlignment="1">
      <alignment horizontal="center" vertical="center" wrapText="1"/>
    </xf>
    <xf numFmtId="49" fontId="110" fillId="0" borderId="64" xfId="0" applyNumberFormat="1" applyFont="1" applyFill="1" applyBorder="1" applyAlignment="1">
      <alignment horizontal="center" vertical="center" wrapText="1"/>
    </xf>
    <xf numFmtId="49" fontId="110" fillId="0" borderId="3" xfId="0" applyNumberFormat="1" applyFont="1" applyFill="1" applyBorder="1" applyAlignment="1">
      <alignment horizontal="center" vertical="center" wrapText="1"/>
    </xf>
    <xf numFmtId="1" fontId="124" fillId="0" borderId="43" xfId="0" applyNumberFormat="1" applyFont="1" applyFill="1" applyBorder="1" applyAlignment="1">
      <alignment horizontal="center" vertical="center" wrapText="1"/>
    </xf>
    <xf numFmtId="1" fontId="124" fillId="0" borderId="66" xfId="0" applyNumberFormat="1" applyFont="1" applyFill="1" applyBorder="1" applyAlignment="1">
      <alignment horizontal="center" vertical="center" wrapText="1"/>
    </xf>
    <xf numFmtId="49" fontId="124" fillId="0" borderId="71" xfId="0" applyNumberFormat="1" applyFont="1" applyFill="1" applyBorder="1" applyAlignment="1">
      <alignment horizontal="center" vertical="center" wrapText="1"/>
    </xf>
    <xf numFmtId="49" fontId="124" fillId="0" borderId="47" xfId="0" applyNumberFormat="1" applyFont="1" applyFill="1" applyBorder="1" applyAlignment="1">
      <alignment horizontal="center" vertical="center" wrapText="1"/>
    </xf>
    <xf numFmtId="49" fontId="124" fillId="0" borderId="4" xfId="0" applyNumberFormat="1" applyFont="1" applyFill="1" applyBorder="1" applyAlignment="1">
      <alignment horizontal="center" vertical="center" wrapText="1"/>
    </xf>
    <xf numFmtId="49" fontId="124" fillId="0" borderId="69" xfId="0" applyNumberFormat="1" applyFont="1" applyFill="1" applyBorder="1" applyAlignment="1">
      <alignment horizontal="center" vertical="center" wrapText="1"/>
    </xf>
    <xf numFmtId="49" fontId="137" fillId="0" borderId="64" xfId="0" applyNumberFormat="1" applyFont="1" applyFill="1" applyBorder="1" applyAlignment="1">
      <alignment horizontal="center" vertical="center" wrapText="1"/>
    </xf>
    <xf numFmtId="49" fontId="137" fillId="0" borderId="3" xfId="0" applyNumberFormat="1" applyFont="1" applyFill="1" applyBorder="1" applyAlignment="1">
      <alignment horizontal="center" vertical="center" wrapText="1"/>
    </xf>
    <xf numFmtId="49" fontId="110" fillId="0" borderId="71" xfId="0" applyNumberFormat="1" applyFont="1" applyFill="1" applyBorder="1" applyAlignment="1">
      <alignment horizontal="center" vertical="center" wrapText="1"/>
    </xf>
    <xf numFmtId="49" fontId="110" fillId="0" borderId="47" xfId="0" applyNumberFormat="1" applyFont="1" applyFill="1" applyBorder="1" applyAlignment="1">
      <alignment horizontal="center" vertical="center" wrapText="1"/>
    </xf>
    <xf numFmtId="49" fontId="110" fillId="0" borderId="4" xfId="0" applyNumberFormat="1" applyFont="1" applyFill="1" applyBorder="1" applyAlignment="1">
      <alignment horizontal="center" vertical="center" wrapText="1"/>
    </xf>
    <xf numFmtId="49" fontId="110" fillId="0" borderId="69" xfId="0" applyNumberFormat="1" applyFont="1" applyFill="1" applyBorder="1" applyAlignment="1">
      <alignment horizontal="center" vertical="center" wrapText="1"/>
    </xf>
    <xf numFmtId="49" fontId="124" fillId="0" borderId="43" xfId="0" applyNumberFormat="1" applyFont="1" applyFill="1" applyBorder="1" applyAlignment="1">
      <alignment horizontal="center" vertical="center" wrapText="1"/>
    </xf>
    <xf numFmtId="49" fontId="124" fillId="0" borderId="66" xfId="0" applyNumberFormat="1" applyFont="1" applyFill="1" applyBorder="1" applyAlignment="1">
      <alignment horizontal="center" vertical="center" wrapText="1"/>
    </xf>
    <xf numFmtId="49" fontId="137" fillId="0" borderId="64" xfId="0" applyNumberFormat="1" applyFont="1" applyFill="1" applyBorder="1" applyAlignment="1">
      <alignment horizontal="center" wrapText="1"/>
    </xf>
    <xf numFmtId="49" fontId="137" fillId="0" borderId="3" xfId="0" applyNumberFormat="1" applyFont="1" applyFill="1" applyBorder="1" applyAlignment="1">
      <alignment horizontal="center" wrapText="1"/>
    </xf>
    <xf numFmtId="49" fontId="120" fillId="0" borderId="43" xfId="0" applyNumberFormat="1" applyFont="1" applyFill="1" applyBorder="1" applyAlignment="1">
      <alignment horizontal="left" vertical="center" wrapText="1"/>
    </xf>
    <xf numFmtId="0" fontId="0" fillId="0" borderId="65" xfId="0" applyBorder="1"/>
    <xf numFmtId="0" fontId="121" fillId="0" borderId="0" xfId="0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center" vertical="center"/>
    </xf>
    <xf numFmtId="0" fontId="168" fillId="0" borderId="40" xfId="0" applyFont="1" applyFill="1" applyBorder="1" applyAlignment="1">
      <alignment horizontal="center" wrapText="1"/>
    </xf>
    <xf numFmtId="0" fontId="168" fillId="0" borderId="0" xfId="0" applyFont="1" applyFill="1" applyBorder="1" applyAlignment="1">
      <alignment horizontal="center" wrapText="1"/>
    </xf>
    <xf numFmtId="0" fontId="0" fillId="0" borderId="0" xfId="0" applyAlignment="1"/>
    <xf numFmtId="0" fontId="124" fillId="0" borderId="64" xfId="0" applyFont="1" applyBorder="1" applyAlignment="1">
      <alignment vertical="center"/>
    </xf>
    <xf numFmtId="0" fontId="124" fillId="0" borderId="18" xfId="0" applyFont="1" applyBorder="1" applyAlignment="1">
      <alignment vertical="center"/>
    </xf>
    <xf numFmtId="0" fontId="124" fillId="0" borderId="3" xfId="0" applyFont="1" applyBorder="1" applyAlignment="1">
      <alignment vertical="center"/>
    </xf>
    <xf numFmtId="0" fontId="122" fillId="0" borderId="71" xfId="0" applyFont="1" applyFill="1" applyBorder="1" applyAlignment="1">
      <alignment horizontal="center" vertical="center"/>
    </xf>
    <xf numFmtId="0" fontId="122" fillId="0" borderId="45" xfId="0" applyFont="1" applyFill="1" applyBorder="1" applyAlignment="1">
      <alignment horizontal="center" vertical="center"/>
    </xf>
    <xf numFmtId="0" fontId="122" fillId="0" borderId="47" xfId="0" applyFont="1" applyFill="1" applyBorder="1" applyAlignment="1">
      <alignment horizontal="center" vertical="center"/>
    </xf>
    <xf numFmtId="0" fontId="122" fillId="0" borderId="4" xfId="0" applyFont="1" applyFill="1" applyBorder="1" applyAlignment="1">
      <alignment horizontal="center" vertical="center"/>
    </xf>
    <xf numFmtId="0" fontId="122" fillId="0" borderId="40" xfId="0" applyFont="1" applyFill="1" applyBorder="1" applyAlignment="1">
      <alignment horizontal="center" vertical="center"/>
    </xf>
    <xf numFmtId="0" fontId="122" fillId="0" borderId="69" xfId="0" applyFont="1" applyFill="1" applyBorder="1" applyAlignment="1">
      <alignment horizontal="center" vertical="center"/>
    </xf>
    <xf numFmtId="49" fontId="124" fillId="0" borderId="14" xfId="0" applyNumberFormat="1" applyFont="1" applyFill="1" applyBorder="1" applyAlignment="1">
      <alignment horizontal="center" vertical="center" wrapText="1"/>
    </xf>
    <xf numFmtId="49" fontId="124" fillId="0" borderId="15" xfId="0" applyNumberFormat="1" applyFont="1" applyFill="1" applyBorder="1" applyAlignment="1">
      <alignment horizontal="center" vertical="center" wrapText="1"/>
    </xf>
    <xf numFmtId="0" fontId="122" fillId="0" borderId="43" xfId="0" applyFont="1" applyFill="1" applyBorder="1" applyAlignment="1">
      <alignment vertical="center"/>
    </xf>
    <xf numFmtId="0" fontId="124" fillId="0" borderId="71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4" xfId="0" applyBorder="1"/>
    <xf numFmtId="49" fontId="128" fillId="0" borderId="64" xfId="0" applyNumberFormat="1" applyFont="1" applyFill="1" applyBorder="1" applyAlignment="1">
      <alignment horizontal="center" vertical="center" wrapText="1"/>
    </xf>
    <xf numFmtId="49" fontId="128" fillId="0" borderId="3" xfId="0" applyNumberFormat="1" applyFont="1" applyFill="1" applyBorder="1" applyAlignment="1">
      <alignment horizontal="center" vertical="center" wrapText="1"/>
    </xf>
    <xf numFmtId="49" fontId="110" fillId="0" borderId="18" xfId="0" applyNumberFormat="1" applyFont="1" applyFill="1" applyBorder="1" applyAlignment="1">
      <alignment horizontal="center" vertical="center" wrapText="1"/>
    </xf>
    <xf numFmtId="0" fontId="122" fillId="0" borderId="43" xfId="0" applyFont="1" applyFill="1" applyBorder="1" applyAlignment="1">
      <alignment horizontal="center" vertical="center"/>
    </xf>
    <xf numFmtId="0" fontId="122" fillId="0" borderId="65" xfId="0" applyFont="1" applyFill="1" applyBorder="1" applyAlignment="1">
      <alignment horizontal="center" vertical="center"/>
    </xf>
    <xf numFmtId="0" fontId="122" fillId="0" borderId="66" xfId="0" applyFont="1" applyFill="1" applyBorder="1" applyAlignment="1">
      <alignment horizontal="center" vertical="center"/>
    </xf>
    <xf numFmtId="49" fontId="120" fillId="0" borderId="71" xfId="0" applyNumberFormat="1" applyFont="1" applyFill="1" applyBorder="1" applyAlignment="1">
      <alignment horizontal="center" vertical="center" wrapText="1"/>
    </xf>
    <xf numFmtId="49" fontId="120" fillId="0" borderId="45" xfId="0" applyNumberFormat="1" applyFont="1" applyFill="1" applyBorder="1" applyAlignment="1">
      <alignment horizontal="center" vertical="center" wrapText="1"/>
    </xf>
    <xf numFmtId="49" fontId="120" fillId="0" borderId="47" xfId="0" applyNumberFormat="1" applyFont="1" applyFill="1" applyBorder="1" applyAlignment="1">
      <alignment horizontal="center" vertical="center" wrapText="1"/>
    </xf>
    <xf numFmtId="49" fontId="120" fillId="0" borderId="4" xfId="0" applyNumberFormat="1" applyFont="1" applyFill="1" applyBorder="1" applyAlignment="1">
      <alignment horizontal="center" vertical="center" wrapText="1"/>
    </xf>
    <xf numFmtId="49" fontId="120" fillId="0" borderId="40" xfId="0" applyNumberFormat="1" applyFont="1" applyFill="1" applyBorder="1" applyAlignment="1">
      <alignment horizontal="center" vertical="center" wrapText="1"/>
    </xf>
    <xf numFmtId="49" fontId="120" fillId="0" borderId="69" xfId="0" applyNumberFormat="1" applyFont="1" applyFill="1" applyBorder="1" applyAlignment="1">
      <alignment horizontal="center" vertical="center" wrapText="1"/>
    </xf>
    <xf numFmtId="0" fontId="122" fillId="0" borderId="14" xfId="0" applyFont="1" applyFill="1" applyBorder="1" applyAlignment="1">
      <alignment horizontal="center" vertical="center" wrapText="1"/>
    </xf>
    <xf numFmtId="0" fontId="122" fillId="0" borderId="0" xfId="0" applyFont="1" applyFill="1" applyBorder="1" applyAlignment="1">
      <alignment horizontal="center" vertical="center" wrapText="1"/>
    </xf>
    <xf numFmtId="0" fontId="122" fillId="0" borderId="15" xfId="0" applyFont="1" applyFill="1" applyBorder="1" applyAlignment="1">
      <alignment horizontal="center" vertical="center" wrapText="1"/>
    </xf>
    <xf numFmtId="0" fontId="122" fillId="0" borderId="4" xfId="0" applyFont="1" applyFill="1" applyBorder="1" applyAlignment="1">
      <alignment horizontal="center" vertical="center" wrapText="1"/>
    </xf>
    <xf numFmtId="0" fontId="122" fillId="0" borderId="40" xfId="0" applyFont="1" applyFill="1" applyBorder="1" applyAlignment="1">
      <alignment horizontal="center" vertical="center" wrapText="1"/>
    </xf>
    <xf numFmtId="0" fontId="122" fillId="0" borderId="69" xfId="0" applyFont="1" applyFill="1" applyBorder="1" applyAlignment="1">
      <alignment horizontal="center" vertical="center" wrapText="1"/>
    </xf>
    <xf numFmtId="0" fontId="125" fillId="0" borderId="71" xfId="0" applyFont="1" applyFill="1" applyBorder="1" applyAlignment="1">
      <alignment horizontal="center" vertical="center" wrapText="1"/>
    </xf>
    <xf numFmtId="0" fontId="125" fillId="0" borderId="47" xfId="0" applyFont="1" applyFill="1" applyBorder="1" applyAlignment="1">
      <alignment horizontal="center" vertical="center" wrapText="1"/>
    </xf>
    <xf numFmtId="0" fontId="125" fillId="0" borderId="4" xfId="0" applyFont="1" applyFill="1" applyBorder="1" applyAlignment="1">
      <alignment horizontal="center" vertical="center" wrapText="1"/>
    </xf>
    <xf numFmtId="0" fontId="125" fillId="0" borderId="69" xfId="0" applyFont="1" applyFill="1" applyBorder="1" applyAlignment="1">
      <alignment horizontal="center" vertical="center" wrapText="1"/>
    </xf>
    <xf numFmtId="49" fontId="130" fillId="0" borderId="64" xfId="0" applyNumberFormat="1" applyFont="1" applyFill="1" applyBorder="1" applyAlignment="1">
      <alignment horizontal="center" vertical="center" wrapText="1"/>
    </xf>
    <xf numFmtId="49" fontId="130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22" fillId="0" borderId="14" xfId="0" applyFont="1" applyFill="1" applyBorder="1" applyAlignment="1">
      <alignment horizontal="center" vertical="center"/>
    </xf>
    <xf numFmtId="0" fontId="122" fillId="0" borderId="15" xfId="0" applyFont="1" applyFill="1" applyBorder="1" applyAlignment="1">
      <alignment horizontal="center" vertical="center"/>
    </xf>
    <xf numFmtId="0" fontId="121" fillId="0" borderId="0" xfId="0" applyFont="1" applyFill="1" applyBorder="1" applyAlignment="1">
      <alignment horizontal="right" vertical="center"/>
    </xf>
    <xf numFmtId="49" fontId="127" fillId="0" borderId="64" xfId="0" applyNumberFormat="1" applyFont="1" applyFill="1" applyBorder="1" applyAlignment="1">
      <alignment horizontal="center" vertical="center" wrapText="1"/>
    </xf>
    <xf numFmtId="49" fontId="127" fillId="0" borderId="3" xfId="0" applyNumberFormat="1" applyFont="1" applyFill="1" applyBorder="1" applyAlignment="1">
      <alignment horizontal="center" vertical="center" wrapText="1"/>
    </xf>
    <xf numFmtId="0" fontId="124" fillId="0" borderId="64" xfId="0" applyFont="1" applyFill="1" applyBorder="1" applyAlignment="1">
      <alignment horizontal="center" vertical="center" wrapText="1"/>
    </xf>
    <xf numFmtId="0" fontId="124" fillId="0" borderId="18" xfId="0" applyFont="1" applyFill="1" applyBorder="1" applyAlignment="1">
      <alignment horizontal="center" vertical="center" wrapText="1"/>
    </xf>
    <xf numFmtId="0" fontId="124" fillId="0" borderId="3" xfId="0" applyFont="1" applyFill="1" applyBorder="1" applyAlignment="1">
      <alignment horizontal="center" vertical="center" wrapText="1"/>
    </xf>
    <xf numFmtId="0" fontId="122" fillId="0" borderId="2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69" xfId="0" applyBorder="1" applyAlignment="1">
      <alignment horizontal="center"/>
    </xf>
    <xf numFmtId="0" fontId="15" fillId="0" borderId="0" xfId="0" applyFont="1" applyFill="1" applyAlignment="1">
      <alignment horizontal="left"/>
    </xf>
    <xf numFmtId="0" fontId="200" fillId="0" borderId="0" xfId="0" applyFont="1" applyFill="1" applyAlignment="1">
      <alignment horizontal="left"/>
    </xf>
    <xf numFmtId="0" fontId="27" fillId="0" borderId="64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7" fillId="0" borderId="7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right" wrapText="1"/>
    </xf>
    <xf numFmtId="0" fontId="29" fillId="0" borderId="40" xfId="0" applyFont="1" applyFill="1" applyBorder="1" applyAlignment="1">
      <alignment horizontal="right" vertical="top" wrapText="1"/>
    </xf>
    <xf numFmtId="0" fontId="75" fillId="0" borderId="2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7" fillId="0" borderId="2" xfId="0" applyFont="1" applyFill="1" applyBorder="1" applyAlignment="1">
      <alignment horizontal="center" wrapText="1"/>
    </xf>
    <xf numFmtId="0" fontId="27" fillId="0" borderId="43" xfId="0" applyFont="1" applyFill="1" applyBorder="1" applyAlignment="1">
      <alignment horizontal="center" wrapText="1"/>
    </xf>
    <xf numFmtId="0" fontId="27" fillId="0" borderId="65" xfId="0" applyFont="1" applyFill="1" applyBorder="1" applyAlignment="1">
      <alignment horizontal="center" wrapText="1"/>
    </xf>
    <xf numFmtId="0" fontId="27" fillId="0" borderId="66" xfId="0" applyFont="1" applyFill="1" applyBorder="1" applyAlignment="1">
      <alignment horizontal="center" wrapText="1"/>
    </xf>
    <xf numFmtId="0" fontId="27" fillId="0" borderId="64" xfId="0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wrapText="1"/>
    </xf>
    <xf numFmtId="0" fontId="27" fillId="0" borderId="67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4" fillId="0" borderId="0" xfId="196" applyFont="1" applyFill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1" fillId="0" borderId="0" xfId="196" applyFont="1" applyAlignment="1">
      <alignment horizontal="center" wrapText="1"/>
    </xf>
    <xf numFmtId="0" fontId="29" fillId="0" borderId="40" xfId="196" applyFont="1" applyBorder="1" applyAlignment="1">
      <alignment horizontal="right"/>
    </xf>
    <xf numFmtId="0" fontId="7" fillId="0" borderId="64" xfId="196" applyFont="1" applyBorder="1" applyAlignment="1">
      <alignment horizontal="center" vertical="center" wrapText="1"/>
    </xf>
    <xf numFmtId="0" fontId="7" fillId="0" borderId="3" xfId="196" applyFont="1" applyBorder="1" applyAlignment="1">
      <alignment horizontal="center" vertical="center" wrapText="1"/>
    </xf>
    <xf numFmtId="0" fontId="46" fillId="0" borderId="43" xfId="196" applyFont="1" applyBorder="1" applyAlignment="1">
      <alignment horizontal="center"/>
    </xf>
    <xf numFmtId="0" fontId="46" fillId="0" borderId="65" xfId="196" applyFont="1" applyBorder="1" applyAlignment="1">
      <alignment horizontal="center"/>
    </xf>
    <xf numFmtId="0" fontId="46" fillId="0" borderId="66" xfId="196" applyFont="1" applyBorder="1" applyAlignment="1">
      <alignment horizontal="center"/>
    </xf>
    <xf numFmtId="0" fontId="19" fillId="0" borderId="0" xfId="0" applyFont="1" applyAlignment="1">
      <alignment horizontal="left" vertical="center"/>
    </xf>
    <xf numFmtId="1" fontId="18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18" fillId="0" borderId="0" xfId="0" applyFont="1" applyBorder="1" applyAlignment="1">
      <alignment horizont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0" fillId="0" borderId="64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/>
    </xf>
    <xf numFmtId="0" fontId="16" fillId="0" borderId="40" xfId="0" applyFont="1" applyBorder="1" applyAlignment="1">
      <alignment horizontal="right" vertical="top" wrapText="1"/>
    </xf>
    <xf numFmtId="0" fontId="28" fillId="0" borderId="43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65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9" fillId="0" borderId="6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28" fillId="0" borderId="4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9" fillId="0" borderId="4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8" fillId="0" borderId="0" xfId="0" applyFont="1" applyFill="1" applyAlignment="1">
      <alignment horizontal="left" wrapText="1"/>
    </xf>
    <xf numFmtId="0" fontId="194" fillId="0" borderId="0" xfId="0" applyFont="1" applyFill="1" applyAlignment="1">
      <alignment horizontal="left"/>
    </xf>
    <xf numFmtId="0" fontId="21" fillId="0" borderId="0" xfId="0" applyFont="1" applyFill="1" applyAlignment="1">
      <alignment horizontal="right" wrapText="1"/>
    </xf>
    <xf numFmtId="0" fontId="29" fillId="0" borderId="68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47" fillId="0" borderId="68" xfId="0" applyFont="1" applyFill="1" applyBorder="1" applyAlignment="1">
      <alignment horizontal="center"/>
    </xf>
    <xf numFmtId="49" fontId="33" fillId="0" borderId="0" xfId="0" applyNumberFormat="1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  <xf numFmtId="0" fontId="3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right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6" fillId="0" borderId="44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wrapText="1"/>
    </xf>
    <xf numFmtId="0" fontId="13" fillId="0" borderId="53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wrapText="1"/>
    </xf>
    <xf numFmtId="0" fontId="17" fillId="0" borderId="53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41" fillId="0" borderId="0" xfId="0" applyFont="1" applyBorder="1" applyAlignment="1">
      <alignment horizontal="left" vertical="top" wrapText="1"/>
    </xf>
    <xf numFmtId="0" fontId="17" fillId="0" borderId="52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left" wrapText="1"/>
    </xf>
    <xf numFmtId="0" fontId="13" fillId="0" borderId="66" xfId="0" applyFont="1" applyBorder="1" applyAlignment="1">
      <alignment horizontal="center" wrapText="1"/>
    </xf>
    <xf numFmtId="0" fontId="13" fillId="0" borderId="7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20" fillId="0" borderId="8" xfId="0" applyFont="1" applyBorder="1" applyAlignment="1">
      <alignment wrapText="1"/>
    </xf>
    <xf numFmtId="0" fontId="64" fillId="0" borderId="8" xfId="0" applyFont="1" applyBorder="1" applyAlignment="1"/>
    <xf numFmtId="0" fontId="14" fillId="0" borderId="8" xfId="0" applyFont="1" applyBorder="1" applyAlignment="1"/>
    <xf numFmtId="0" fontId="19" fillId="0" borderId="0" xfId="0" applyFont="1" applyAlignment="1">
      <alignment horizontal="center" wrapText="1"/>
    </xf>
    <xf numFmtId="0" fontId="30" fillId="0" borderId="0" xfId="0" applyFont="1" applyBorder="1" applyAlignment="1">
      <alignment horizontal="left" wrapText="1"/>
    </xf>
    <xf numFmtId="0" fontId="19" fillId="0" borderId="40" xfId="0" applyFont="1" applyBorder="1" applyAlignment="1">
      <alignment horizontal="right" wrapText="1"/>
    </xf>
    <xf numFmtId="0" fontId="19" fillId="0" borderId="4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29" fillId="0" borderId="68" xfId="0" applyFont="1" applyBorder="1" applyAlignment="1">
      <alignment horizontal="right"/>
    </xf>
    <xf numFmtId="0" fontId="15" fillId="0" borderId="68" xfId="0" applyFont="1" applyBorder="1" applyAlignment="1">
      <alignment horizontal="right"/>
    </xf>
    <xf numFmtId="0" fontId="17" fillId="0" borderId="45" xfId="0" applyFont="1" applyFill="1" applyBorder="1" applyAlignment="1">
      <alignment horizontal="left" vertical="center" wrapText="1"/>
    </xf>
    <xf numFmtId="0" fontId="46" fillId="0" borderId="0" xfId="0" applyFont="1" applyAlignment="1">
      <alignment horizontal="center" wrapText="1"/>
    </xf>
    <xf numFmtId="0" fontId="29" fillId="0" borderId="43" xfId="0" applyFont="1" applyFill="1" applyBorder="1" applyAlignment="1">
      <alignment horizontal="center"/>
    </xf>
    <xf numFmtId="0" fontId="29" fillId="0" borderId="65" xfId="0" applyFont="1" applyFill="1" applyBorder="1" applyAlignment="1">
      <alignment horizontal="center"/>
    </xf>
    <xf numFmtId="0" fontId="29" fillId="0" borderId="66" xfId="0" applyFont="1" applyFill="1" applyBorder="1" applyAlignment="1">
      <alignment horizontal="center"/>
    </xf>
    <xf numFmtId="0" fontId="13" fillId="0" borderId="6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2" fontId="13" fillId="0" borderId="47" xfId="0" applyNumberFormat="1" applyFont="1" applyFill="1" applyBorder="1" applyAlignment="1">
      <alignment horizontal="center" vertical="center" wrapText="1"/>
    </xf>
    <xf numFmtId="2" fontId="13" fillId="0" borderId="50" xfId="0" applyNumberFormat="1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 wrapText="1"/>
    </xf>
    <xf numFmtId="0" fontId="13" fillId="0" borderId="7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9" fillId="0" borderId="0" xfId="0" applyFont="1" applyFill="1" applyBorder="1" applyAlignment="1">
      <alignment horizontal="center" wrapText="1"/>
    </xf>
    <xf numFmtId="0" fontId="27" fillId="0" borderId="45" xfId="0" applyFont="1" applyBorder="1" applyAlignment="1">
      <alignment horizontal="left" vertical="center" wrapText="1"/>
    </xf>
    <xf numFmtId="0" fontId="69" fillId="0" borderId="4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15" fillId="0" borderId="0" xfId="0" applyNumberFormat="1" applyFont="1" applyBorder="1" applyAlignment="1">
      <alignment horizontal="left"/>
    </xf>
    <xf numFmtId="0" fontId="29" fillId="0" borderId="64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23" fillId="0" borderId="66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5" fillId="0" borderId="64" xfId="0" applyFont="1" applyBorder="1" applyAlignme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29" fillId="0" borderId="68" xfId="0" applyFont="1" applyBorder="1" applyAlignment="1">
      <alignment horizontal="left" vertical="center"/>
    </xf>
    <xf numFmtId="0" fontId="15" fillId="0" borderId="68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49" fontId="7" fillId="0" borderId="68" xfId="0" applyNumberFormat="1" applyFont="1" applyBorder="1" applyAlignment="1">
      <alignment horizontal="left" vertical="top" wrapText="1"/>
    </xf>
    <xf numFmtId="0" fontId="2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4" fillId="0" borderId="0" xfId="0" applyFont="1" applyAlignment="1">
      <alignment horizontal="left"/>
    </xf>
    <xf numFmtId="0" fontId="167" fillId="0" borderId="0" xfId="0" applyFont="1" applyAlignment="1">
      <alignment horizontal="left"/>
    </xf>
    <xf numFmtId="2" fontId="34" fillId="0" borderId="0" xfId="0" applyNumberFormat="1" applyFont="1" applyFill="1" applyBorder="1" applyAlignment="1">
      <alignment horizontal="left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43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right" vertical="top" wrapText="1"/>
    </xf>
    <xf numFmtId="0" fontId="9" fillId="0" borderId="64" xfId="0" applyFont="1" applyBorder="1" applyAlignment="1">
      <alignment horizontal="center" vertical="center" wrapText="1"/>
    </xf>
    <xf numFmtId="2" fontId="34" fillId="0" borderId="0" xfId="0" applyNumberFormat="1" applyFont="1" applyBorder="1" applyAlignment="1">
      <alignment horizontal="left"/>
    </xf>
    <xf numFmtId="0" fontId="20" fillId="0" borderId="6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8" fillId="34" borderId="45" xfId="0" applyFont="1" applyFill="1" applyBorder="1" applyAlignment="1">
      <alignment horizontal="left" vertical="center" wrapText="1"/>
    </xf>
    <xf numFmtId="0" fontId="28" fillId="34" borderId="0" xfId="0" applyFont="1" applyFill="1" applyBorder="1" applyAlignment="1">
      <alignment horizontal="left" vertical="center" wrapText="1"/>
    </xf>
    <xf numFmtId="0" fontId="17" fillId="0" borderId="6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72" fillId="34" borderId="0" xfId="0" applyFont="1" applyFill="1" applyAlignment="1">
      <alignment horizontal="left" wrapText="1"/>
    </xf>
    <xf numFmtId="0" fontId="72" fillId="0" borderId="0" xfId="0" applyFont="1" applyFill="1" applyAlignment="1">
      <alignment horizontal="left" wrapText="1"/>
    </xf>
    <xf numFmtId="10" fontId="72" fillId="34" borderId="0" xfId="0" applyNumberFormat="1" applyFont="1" applyFill="1" applyAlignment="1">
      <alignment horizontal="left" wrapText="1"/>
    </xf>
    <xf numFmtId="10" fontId="72" fillId="0" borderId="0" xfId="0" applyNumberFormat="1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71" fillId="0" borderId="0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vertical="center" wrapText="1"/>
    </xf>
    <xf numFmtId="0" fontId="15" fillId="34" borderId="0" xfId="0" applyFont="1" applyFill="1" applyBorder="1" applyAlignment="1">
      <alignment horizontal="left" vertical="center" wrapText="1" indent="2"/>
    </xf>
    <xf numFmtId="0" fontId="38" fillId="34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vertical="center" wrapText="1" indent="2"/>
    </xf>
    <xf numFmtId="0" fontId="88" fillId="0" borderId="0" xfId="0" applyFont="1" applyFill="1" applyBorder="1" applyAlignment="1">
      <alignment horizontal="left" vertical="center" wrapText="1"/>
    </xf>
    <xf numFmtId="0" fontId="16" fillId="34" borderId="0" xfId="0" applyFont="1" applyFill="1" applyBorder="1" applyAlignment="1">
      <alignment horizontal="left" vertical="center" wrapText="1"/>
    </xf>
    <xf numFmtId="0" fontId="81" fillId="34" borderId="0" xfId="0" applyFont="1" applyFill="1" applyBorder="1" applyAlignment="1">
      <alignment horizontal="left"/>
    </xf>
    <xf numFmtId="0" fontId="77" fillId="34" borderId="0" xfId="0" applyFont="1" applyFill="1" applyBorder="1" applyAlignment="1">
      <alignment horizontal="left" vertical="justify" wrapText="1"/>
    </xf>
    <xf numFmtId="0" fontId="71" fillId="34" borderId="6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81" fillId="34" borderId="0" xfId="0" applyFont="1" applyFill="1" applyBorder="1" applyAlignment="1">
      <alignment horizontal="left" vertical="top" wrapText="1"/>
    </xf>
    <xf numFmtId="0" fontId="13" fillId="34" borderId="0" xfId="0" applyFont="1" applyFill="1" applyBorder="1" applyAlignment="1">
      <alignment horizontal="left" vertical="center" wrapText="1"/>
    </xf>
    <xf numFmtId="0" fontId="86" fillId="0" borderId="0" xfId="0" applyFont="1" applyFill="1" applyBorder="1" applyAlignment="1">
      <alignment horizontal="left" wrapText="1"/>
    </xf>
    <xf numFmtId="0" fontId="74" fillId="0" borderId="1" xfId="0" applyFont="1" applyBorder="1" applyAlignment="1">
      <alignment horizontal="left"/>
    </xf>
    <xf numFmtId="0" fontId="74" fillId="0" borderId="1" xfId="0" applyFont="1" applyBorder="1" applyAlignment="1">
      <alignment horizontal="right"/>
    </xf>
    <xf numFmtId="0" fontId="78" fillId="0" borderId="1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left" vertical="center" wrapText="1" indent="2"/>
    </xf>
    <xf numFmtId="0" fontId="27" fillId="34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wrapText="1"/>
    </xf>
    <xf numFmtId="0" fontId="72" fillId="34" borderId="0" xfId="0" applyFont="1" applyFill="1" applyBorder="1" applyAlignment="1">
      <alignment horizontal="left" vertical="center" wrapText="1" indent="2"/>
    </xf>
    <xf numFmtId="0" fontId="23" fillId="34" borderId="0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50" fillId="34" borderId="0" xfId="0" applyFont="1" applyFill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27" fillId="0" borderId="43" xfId="0" applyFont="1" applyBorder="1" applyAlignment="1">
      <alignment horizontal="left" vertical="center" wrapText="1"/>
    </xf>
    <xf numFmtId="0" fontId="27" fillId="0" borderId="65" xfId="0" applyFont="1" applyBorder="1" applyAlignment="1">
      <alignment horizontal="left" vertical="center" wrapText="1"/>
    </xf>
    <xf numFmtId="0" fontId="27" fillId="0" borderId="66" xfId="0" applyFont="1" applyBorder="1" applyAlignment="1">
      <alignment horizontal="left" vertical="center" wrapText="1"/>
    </xf>
    <xf numFmtId="0" fontId="29" fillId="0" borderId="71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23" fillId="0" borderId="45" xfId="0" applyFont="1" applyBorder="1" applyAlignment="1">
      <alignment horizontal="left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27" fillId="0" borderId="0" xfId="0" applyFont="1" applyAlignment="1">
      <alignment horizontal="left" wrapText="1"/>
    </xf>
    <xf numFmtId="0" fontId="39" fillId="34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161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61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29" fillId="0" borderId="45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8" fillId="0" borderId="0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left"/>
    </xf>
    <xf numFmtId="0" fontId="17" fillId="0" borderId="0" xfId="0" applyFont="1" applyFill="1" applyBorder="1" applyAlignment="1">
      <alignment horizontal="left" vertical="center" wrapText="1"/>
    </xf>
    <xf numFmtId="0" fontId="17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  <xf numFmtId="0" fontId="41" fillId="0" borderId="0" xfId="0" applyFont="1" applyBorder="1" applyAlignment="1">
      <alignment horizontal="left" vertical="center" wrapText="1"/>
    </xf>
    <xf numFmtId="0" fontId="62" fillId="0" borderId="0" xfId="0" applyFont="1" applyAlignment="1"/>
    <xf numFmtId="0" fontId="28" fillId="0" borderId="0" xfId="0" applyFont="1" applyBorder="1" applyAlignment="1">
      <alignment horizontal="left" wrapText="1"/>
    </xf>
    <xf numFmtId="0" fontId="16" fillId="0" borderId="40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top" wrapText="1"/>
    </xf>
    <xf numFmtId="0" fontId="14" fillId="0" borderId="0" xfId="0" applyFont="1" applyAlignment="1"/>
    <xf numFmtId="0" fontId="28" fillId="0" borderId="0" xfId="0" applyFont="1" applyAlignment="1">
      <alignment horizontal="right" vertical="top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left" wrapText="1"/>
    </xf>
    <xf numFmtId="0" fontId="13" fillId="0" borderId="40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top" wrapText="1"/>
    </xf>
    <xf numFmtId="0" fontId="28" fillId="0" borderId="41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6" fillId="0" borderId="4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9" fillId="0" borderId="4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wrapText="1"/>
    </xf>
    <xf numFmtId="0" fontId="36" fillId="0" borderId="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0" fontId="28" fillId="0" borderId="64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67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66" xfId="0" applyFont="1" applyFill="1" applyBorder="1" applyAlignment="1">
      <alignment horizontal="center" vertical="center" wrapText="1"/>
    </xf>
    <xf numFmtId="0" fontId="16" fillId="0" borderId="64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41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30" fillId="0" borderId="0" xfId="0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0" fontId="36" fillId="0" borderId="0" xfId="0" applyFont="1" applyAlignment="1">
      <alignment horizontal="left"/>
    </xf>
    <xf numFmtId="0" fontId="13" fillId="0" borderId="68" xfId="0" applyFont="1" applyBorder="1" applyAlignment="1">
      <alignment horizontal="right"/>
    </xf>
    <xf numFmtId="0" fontId="16" fillId="0" borderId="64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23" fillId="0" borderId="2" xfId="232" applyFont="1" applyBorder="1" applyAlignment="1">
      <alignment horizontal="center" vertical="center" wrapText="1"/>
    </xf>
    <xf numFmtId="0" fontId="176" fillId="0" borderId="2" xfId="0" applyFont="1" applyBorder="1" applyAlignment="1">
      <alignment horizontal="center" vertical="top" wrapText="1"/>
    </xf>
    <xf numFmtId="0" fontId="123" fillId="0" borderId="2" xfId="0" applyFont="1" applyBorder="1" applyAlignment="1">
      <alignment horizontal="center" vertical="top" wrapText="1"/>
    </xf>
    <xf numFmtId="0" fontId="36" fillId="0" borderId="0" xfId="0" applyFont="1" applyAlignment="1">
      <alignment horizontal="center" wrapText="1"/>
    </xf>
    <xf numFmtId="0" fontId="129" fillId="0" borderId="0" xfId="232" applyFont="1" applyBorder="1" applyAlignment="1">
      <alignment horizontal="center"/>
    </xf>
    <xf numFmtId="0" fontId="123" fillId="0" borderId="64" xfId="0" applyFont="1" applyBorder="1" applyAlignment="1">
      <alignment horizontal="center" vertical="top" wrapText="1"/>
    </xf>
    <xf numFmtId="0" fontId="123" fillId="0" borderId="3" xfId="0" applyFont="1" applyBorder="1" applyAlignment="1">
      <alignment horizontal="center" vertical="top" wrapText="1"/>
    </xf>
    <xf numFmtId="0" fontId="123" fillId="0" borderId="2" xfId="0" applyFont="1" applyBorder="1" applyAlignment="1">
      <alignment horizontal="center"/>
    </xf>
    <xf numFmtId="0" fontId="120" fillId="0" borderId="2" xfId="0" applyFont="1" applyBorder="1" applyAlignment="1">
      <alignment horizontal="center" vertical="top" wrapText="1"/>
    </xf>
    <xf numFmtId="0" fontId="123" fillId="0" borderId="43" xfId="0" applyFont="1" applyBorder="1" applyAlignment="1">
      <alignment horizontal="left"/>
    </xf>
    <xf numFmtId="0" fontId="123" fillId="0" borderId="65" xfId="0" applyFont="1" applyBorder="1" applyAlignment="1">
      <alignment horizontal="left"/>
    </xf>
    <xf numFmtId="0" fontId="123" fillId="0" borderId="66" xfId="0" applyFont="1" applyBorder="1" applyAlignment="1">
      <alignment horizontal="left"/>
    </xf>
    <xf numFmtId="0" fontId="162" fillId="0" borderId="0" xfId="0" applyFont="1" applyAlignment="1">
      <alignment horizontal="right"/>
    </xf>
    <xf numFmtId="0" fontId="162" fillId="0" borderId="0" xfId="232" applyFont="1" applyAlignment="1">
      <alignment horizontal="right" vertical="center" wrapText="1"/>
    </xf>
    <xf numFmtId="0" fontId="129" fillId="0" borderId="0" xfId="232" applyFont="1" applyBorder="1" applyAlignment="1">
      <alignment horizontal="right"/>
    </xf>
    <xf numFmtId="0" fontId="123" fillId="0" borderId="64" xfId="232" applyFont="1" applyBorder="1" applyAlignment="1">
      <alignment horizontal="center" vertical="center" wrapText="1"/>
    </xf>
    <xf numFmtId="0" fontId="123" fillId="0" borderId="18" xfId="232" applyFont="1" applyBorder="1" applyAlignment="1">
      <alignment horizontal="center" vertical="center" wrapText="1"/>
    </xf>
    <xf numFmtId="0" fontId="123" fillId="0" borderId="3" xfId="232" applyFont="1" applyBorder="1" applyAlignment="1">
      <alignment horizontal="center" vertical="center" wrapText="1"/>
    </xf>
    <xf numFmtId="0" fontId="163" fillId="0" borderId="2" xfId="0" applyFont="1" applyBorder="1" applyAlignment="1">
      <alignment horizontal="center" vertical="top" wrapText="1"/>
    </xf>
    <xf numFmtId="0" fontId="15" fillId="0" borderId="32" xfId="0" applyFont="1" applyBorder="1" applyAlignment="1">
      <alignment horizontal="left" vertical="center" textRotation="90"/>
    </xf>
    <xf numFmtId="0" fontId="15" fillId="0" borderId="48" xfId="0" applyFont="1" applyBorder="1" applyAlignment="1">
      <alignment horizontal="left" vertical="center" textRotation="90"/>
    </xf>
    <xf numFmtId="0" fontId="27" fillId="0" borderId="0" xfId="0" applyFont="1" applyAlignment="1">
      <alignment horizontal="center" vertical="top"/>
    </xf>
    <xf numFmtId="0" fontId="27" fillId="0" borderId="2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center" textRotation="90"/>
    </xf>
    <xf numFmtId="0" fontId="15" fillId="0" borderId="37" xfId="0" applyFont="1" applyBorder="1" applyAlignment="1">
      <alignment vertical="center" textRotation="90"/>
    </xf>
    <xf numFmtId="0" fontId="15" fillId="0" borderId="36" xfId="0" applyFont="1" applyBorder="1" applyAlignment="1">
      <alignment vertical="center" textRotation="90"/>
    </xf>
    <xf numFmtId="0" fontId="15" fillId="0" borderId="3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9" fontId="110" fillId="0" borderId="3" xfId="0" applyNumberFormat="1" applyFont="1" applyBorder="1" applyAlignment="1">
      <alignment horizontal="center" vertical="center" textRotation="88"/>
    </xf>
    <xf numFmtId="49" fontId="110" fillId="0" borderId="2" xfId="0" applyNumberFormat="1" applyFont="1" applyBorder="1" applyAlignment="1">
      <alignment horizontal="center" vertical="center" textRotation="88"/>
    </xf>
    <xf numFmtId="0" fontId="122" fillId="0" borderId="0" xfId="0" applyFont="1" applyBorder="1" applyAlignment="1">
      <alignment horizontal="center"/>
    </xf>
    <xf numFmtId="0" fontId="124" fillId="0" borderId="40" xfId="0" applyFont="1" applyBorder="1" applyAlignment="1">
      <alignment horizontal="right"/>
    </xf>
    <xf numFmtId="0" fontId="110" fillId="0" borderId="41" xfId="0" applyFont="1" applyBorder="1" applyAlignment="1">
      <alignment horizontal="right"/>
    </xf>
    <xf numFmtId="0" fontId="110" fillId="0" borderId="43" xfId="0" applyFont="1" applyBorder="1" applyAlignment="1">
      <alignment horizontal="center" vertical="center" wrapText="1"/>
    </xf>
    <xf numFmtId="0" fontId="110" fillId="0" borderId="42" xfId="0" applyFont="1" applyBorder="1" applyAlignment="1">
      <alignment horizontal="center" vertical="center" wrapText="1"/>
    </xf>
    <xf numFmtId="0" fontId="178" fillId="0" borderId="64" xfId="0" applyFont="1" applyBorder="1" applyAlignment="1">
      <alignment horizontal="center" vertical="top" wrapText="1"/>
    </xf>
    <xf numFmtId="0" fontId="178" fillId="0" borderId="3" xfId="0" applyFont="1" applyBorder="1" applyAlignment="1">
      <alignment horizontal="center" vertical="top" wrapText="1"/>
    </xf>
    <xf numFmtId="0" fontId="120" fillId="0" borderId="64" xfId="232" applyFont="1" applyBorder="1" applyAlignment="1">
      <alignment horizontal="center" vertical="center" wrapText="1"/>
    </xf>
    <xf numFmtId="0" fontId="120" fillId="0" borderId="18" xfId="232" applyFont="1" applyBorder="1" applyAlignment="1">
      <alignment horizontal="center" vertical="center" wrapText="1"/>
    </xf>
    <xf numFmtId="0" fontId="120" fillId="0" borderId="3" xfId="232" applyFont="1" applyBorder="1" applyAlignment="1">
      <alignment horizontal="center" vertical="center" wrapText="1"/>
    </xf>
    <xf numFmtId="0" fontId="162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24" fillId="0" borderId="68" xfId="232" applyFont="1" applyBorder="1" applyAlignment="1">
      <alignment horizontal="right" vertical="center"/>
    </xf>
    <xf numFmtId="0" fontId="12" fillId="0" borderId="68" xfId="0" applyFont="1" applyBorder="1" applyAlignment="1">
      <alignment horizontal="right" vertical="center"/>
    </xf>
    <xf numFmtId="0" fontId="163" fillId="0" borderId="43" xfId="0" applyFont="1" applyBorder="1" applyAlignment="1">
      <alignment horizontal="center"/>
    </xf>
    <xf numFmtId="0" fontId="62" fillId="0" borderId="65" xfId="0" applyFont="1" applyBorder="1"/>
    <xf numFmtId="0" fontId="62" fillId="0" borderId="66" xfId="0" applyFont="1" applyBorder="1"/>
    <xf numFmtId="0" fontId="123" fillId="0" borderId="43" xfId="0" applyFont="1" applyBorder="1" applyAlignment="1">
      <alignment horizontal="center"/>
    </xf>
    <xf numFmtId="0" fontId="123" fillId="0" borderId="65" xfId="0" applyFont="1" applyBorder="1" applyAlignment="1">
      <alignment horizontal="center"/>
    </xf>
    <xf numFmtId="0" fontId="123" fillId="0" borderId="66" xfId="0" applyFont="1" applyBorder="1" applyAlignment="1">
      <alignment horizontal="center"/>
    </xf>
    <xf numFmtId="0" fontId="163" fillId="0" borderId="43" xfId="0" applyFont="1" applyBorder="1" applyAlignment="1">
      <alignment horizontal="center" vertical="top" wrapText="1"/>
    </xf>
    <xf numFmtId="0" fontId="133" fillId="0" borderId="64" xfId="0" applyFont="1" applyBorder="1" applyAlignment="1">
      <alignment horizontal="center" vertical="top" wrapText="1"/>
    </xf>
    <xf numFmtId="0" fontId="190" fillId="0" borderId="0" xfId="196" applyFont="1" applyAlignment="1">
      <alignment horizontal="right" vertical="top"/>
    </xf>
    <xf numFmtId="0" fontId="190" fillId="0" borderId="0" xfId="196" applyFont="1" applyAlignment="1">
      <alignment horizontal="center" vertical="top"/>
    </xf>
    <xf numFmtId="0" fontId="190" fillId="0" borderId="0" xfId="196" applyFont="1" applyAlignment="1">
      <alignment vertical="top"/>
    </xf>
    <xf numFmtId="0" fontId="120" fillId="0" borderId="43" xfId="196" applyFont="1" applyBorder="1" applyAlignment="1">
      <alignment horizontal="center"/>
    </xf>
    <xf numFmtId="0" fontId="15" fillId="0" borderId="65" xfId="196" applyFont="1" applyBorder="1"/>
    <xf numFmtId="0" fontId="15" fillId="0" borderId="66" xfId="196" applyFont="1" applyBorder="1"/>
    <xf numFmtId="0" fontId="120" fillId="0" borderId="65" xfId="196" applyFont="1" applyBorder="1" applyAlignment="1">
      <alignment horizontal="center"/>
    </xf>
    <xf numFmtId="0" fontId="120" fillId="0" borderId="66" xfId="196" applyFont="1" applyBorder="1" applyAlignment="1">
      <alignment horizontal="center"/>
    </xf>
    <xf numFmtId="0" fontId="120" fillId="0" borderId="64" xfId="196" applyFont="1" applyBorder="1" applyAlignment="1">
      <alignment horizontal="left" vertical="center" wrapText="1"/>
    </xf>
    <xf numFmtId="0" fontId="15" fillId="0" borderId="3" xfId="196" applyFont="1" applyBorder="1" applyAlignment="1">
      <alignment horizontal="left" vertical="center"/>
    </xf>
    <xf numFmtId="0" fontId="120" fillId="0" borderId="43" xfId="196" applyFont="1" applyBorder="1" applyAlignment="1">
      <alignment horizontal="center" vertical="top" wrapText="1"/>
    </xf>
    <xf numFmtId="0" fontId="120" fillId="0" borderId="65" xfId="196" applyFont="1" applyBorder="1" applyAlignment="1">
      <alignment horizontal="center" vertical="top" wrapText="1"/>
    </xf>
    <xf numFmtId="0" fontId="120" fillId="0" borderId="66" xfId="196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0" borderId="0" xfId="0" applyFont="1" applyAlignment="1">
      <alignment wrapText="1"/>
    </xf>
  </cellXfs>
  <cellStyles count="276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60% - Accent1 2" xfId="61"/>
    <cellStyle name="60% - Accent1 3" xfId="62"/>
    <cellStyle name="60% - Accent1 4" xfId="63"/>
    <cellStyle name="60% - Accent1 5" xfId="64"/>
    <cellStyle name="60% - Accent1 6" xfId="65"/>
    <cellStyle name="60% - Accent2 2" xfId="66"/>
    <cellStyle name="60% - Accent2 3" xfId="67"/>
    <cellStyle name="60% - Accent2 4" xfId="68"/>
    <cellStyle name="60% - Accent2 5" xfId="69"/>
    <cellStyle name="60% - Accent2 6" xfId="70"/>
    <cellStyle name="60% - Accent3 2" xfId="71"/>
    <cellStyle name="60% - Accent3 3" xfId="72"/>
    <cellStyle name="60% - Accent3 4" xfId="73"/>
    <cellStyle name="60% - Accent3 5" xfId="74"/>
    <cellStyle name="60% - Accent3 6" xfId="75"/>
    <cellStyle name="60% - Accent4 2" xfId="76"/>
    <cellStyle name="60% - Accent4 3" xfId="77"/>
    <cellStyle name="60% - Accent4 4" xfId="78"/>
    <cellStyle name="60% - Accent4 5" xfId="79"/>
    <cellStyle name="60% - Accent4 6" xfId="80"/>
    <cellStyle name="60% - Accent5 2" xfId="81"/>
    <cellStyle name="60% - Accent5 3" xfId="82"/>
    <cellStyle name="60% - Accent5 4" xfId="83"/>
    <cellStyle name="60% - Accent5 5" xfId="84"/>
    <cellStyle name="60% - Accent5 6" xfId="85"/>
    <cellStyle name="60% - Accent6 2" xfId="86"/>
    <cellStyle name="60% - Accent6 3" xfId="87"/>
    <cellStyle name="60% - Accent6 4" xfId="88"/>
    <cellStyle name="60% - Accent6 5" xfId="89"/>
    <cellStyle name="60% - Accent6 6" xfId="90"/>
    <cellStyle name="Accent1 2" xfId="91"/>
    <cellStyle name="Accent1 3" xfId="92"/>
    <cellStyle name="Accent1 4" xfId="93"/>
    <cellStyle name="Accent1 5" xfId="94"/>
    <cellStyle name="Accent1 6" xfId="95"/>
    <cellStyle name="Accent2 2" xfId="96"/>
    <cellStyle name="Accent2 3" xfId="97"/>
    <cellStyle name="Accent2 4" xfId="98"/>
    <cellStyle name="Accent2 5" xfId="99"/>
    <cellStyle name="Accent2 6" xfId="100"/>
    <cellStyle name="Accent3 2" xfId="101"/>
    <cellStyle name="Accent3 3" xfId="102"/>
    <cellStyle name="Accent3 4" xfId="103"/>
    <cellStyle name="Accent3 5" xfId="104"/>
    <cellStyle name="Accent3 6" xfId="105"/>
    <cellStyle name="Accent4 2" xfId="106"/>
    <cellStyle name="Accent4 3" xfId="107"/>
    <cellStyle name="Accent4 4" xfId="108"/>
    <cellStyle name="Accent4 5" xfId="109"/>
    <cellStyle name="Accent4 6" xfId="110"/>
    <cellStyle name="Accent5 2" xfId="111"/>
    <cellStyle name="Accent5 3" xfId="112"/>
    <cellStyle name="Accent5 4" xfId="113"/>
    <cellStyle name="Accent5 5" xfId="114"/>
    <cellStyle name="Accent5 6" xfId="115"/>
    <cellStyle name="Accent6 2" xfId="116"/>
    <cellStyle name="Accent6 3" xfId="117"/>
    <cellStyle name="Accent6 4" xfId="118"/>
    <cellStyle name="Accent6 5" xfId="119"/>
    <cellStyle name="Accent6 6" xfId="120"/>
    <cellStyle name="Bad 2" xfId="121"/>
    <cellStyle name="Bad 3" xfId="122"/>
    <cellStyle name="Bad 4" xfId="123"/>
    <cellStyle name="Bad 5" xfId="124"/>
    <cellStyle name="Bad 6" xfId="125"/>
    <cellStyle name="Calculation 2" xfId="126"/>
    <cellStyle name="Calculation 3" xfId="127"/>
    <cellStyle name="Calculation 4" xfId="128"/>
    <cellStyle name="Calculation 5" xfId="129"/>
    <cellStyle name="Calculation 6" xfId="130"/>
    <cellStyle name="Check Cell 2" xfId="131"/>
    <cellStyle name="Check Cell 3" xfId="132"/>
    <cellStyle name="Check Cell 4" xfId="133"/>
    <cellStyle name="Check Cell 5" xfId="134"/>
    <cellStyle name="Check Cell 6" xfId="135"/>
    <cellStyle name="Comma" xfId="136" builtinId="3"/>
    <cellStyle name="Comma 2" xfId="137"/>
    <cellStyle name="Comma 2 2" xfId="234"/>
    <cellStyle name="Comma 2 3" xfId="265"/>
    <cellStyle name="Comma 2 4" xfId="270"/>
    <cellStyle name="Explanatory Text 2" xfId="138"/>
    <cellStyle name="Explanatory Text 3" xfId="139"/>
    <cellStyle name="Explanatory Text 4" xfId="140"/>
    <cellStyle name="Explanatory Text 5" xfId="141"/>
    <cellStyle name="Explanatory Text 6" xfId="142"/>
    <cellStyle name="Followed Hyperlink 2" xfId="143"/>
    <cellStyle name="Followed Hyperlink 3" xfId="144"/>
    <cellStyle name="Followed Hyperlink 4" xfId="145"/>
    <cellStyle name="Followed Hyperlink 5" xfId="146"/>
    <cellStyle name="Followed Hyperlink 6" xfId="147"/>
    <cellStyle name="Good 2" xfId="148"/>
    <cellStyle name="Good 3" xfId="149"/>
    <cellStyle name="Good 4" xfId="150"/>
    <cellStyle name="Good 5" xfId="151"/>
    <cellStyle name="Good 6" xfId="152"/>
    <cellStyle name="Heading 1 2" xfId="153"/>
    <cellStyle name="Heading 1 3" xfId="154"/>
    <cellStyle name="Heading 1 4" xfId="155"/>
    <cellStyle name="Heading 1 5" xfId="156"/>
    <cellStyle name="Heading 1 6" xfId="157"/>
    <cellStyle name="Heading 2 2" xfId="158"/>
    <cellStyle name="Heading 2 3" xfId="159"/>
    <cellStyle name="Heading 2 4" xfId="160"/>
    <cellStyle name="Heading 2 5" xfId="161"/>
    <cellStyle name="Heading 2 6" xfId="162"/>
    <cellStyle name="Heading 3 2" xfId="163"/>
    <cellStyle name="Heading 3 3" xfId="164"/>
    <cellStyle name="Heading 3 4" xfId="165"/>
    <cellStyle name="Heading 3 5" xfId="166"/>
    <cellStyle name="Heading 3 6" xfId="167"/>
    <cellStyle name="Heading 4 2" xfId="168"/>
    <cellStyle name="Heading 4 3" xfId="169"/>
    <cellStyle name="Heading 4 4" xfId="170"/>
    <cellStyle name="Heading 4 5" xfId="171"/>
    <cellStyle name="Heading 4 6" xfId="172"/>
    <cellStyle name="Hyperlink" xfId="173" builtinId="8"/>
    <cellStyle name="Hyperlink 2" xfId="174"/>
    <cellStyle name="Hyperlink 3" xfId="175"/>
    <cellStyle name="Hyperlink 4" xfId="176"/>
    <cellStyle name="Hyperlink 5" xfId="177"/>
    <cellStyle name="Hyperlink 6" xfId="178"/>
    <cellStyle name="Input 2" xfId="179"/>
    <cellStyle name="Input 3" xfId="180"/>
    <cellStyle name="Input 4" xfId="181"/>
    <cellStyle name="Input 5" xfId="182"/>
    <cellStyle name="Input 6" xfId="183"/>
    <cellStyle name="Linked Cell 2" xfId="184"/>
    <cellStyle name="Linked Cell 3" xfId="185"/>
    <cellStyle name="Linked Cell 4" xfId="186"/>
    <cellStyle name="Linked Cell 5" xfId="187"/>
    <cellStyle name="Linked Cell 6" xfId="188"/>
    <cellStyle name="Millares 10" xfId="249"/>
    <cellStyle name="Millares 8" xfId="252"/>
    <cellStyle name="Millares 9" xfId="250"/>
    <cellStyle name="Neutral 2" xfId="189"/>
    <cellStyle name="Neutral 3" xfId="190"/>
    <cellStyle name="Neutral 4" xfId="191"/>
    <cellStyle name="Neutral 5" xfId="192"/>
    <cellStyle name="Neutral 6" xfId="193"/>
    <cellStyle name="Normal" xfId="0" builtinId="0"/>
    <cellStyle name="Normal 10" xfId="194"/>
    <cellStyle name="Normal 10 2" xfId="235"/>
    <cellStyle name="Normal 11" xfId="261"/>
    <cellStyle name="Normal 12" xfId="264"/>
    <cellStyle name="Normal 13" xfId="195"/>
    <cellStyle name="Normal 13 2" xfId="236"/>
    <cellStyle name="Normal 138" xfId="254"/>
    <cellStyle name="Normal 139" xfId="255"/>
    <cellStyle name="Normal 14" xfId="232"/>
    <cellStyle name="Normal 14 2" xfId="247"/>
    <cellStyle name="Normal 14 3" xfId="271"/>
    <cellStyle name="Normal 15" xfId="272"/>
    <cellStyle name="Normal 16" xfId="273"/>
    <cellStyle name="Normal 18" xfId="274"/>
    <cellStyle name="Normal 2" xfId="196"/>
    <cellStyle name="Normal 2 10" xfId="269"/>
    <cellStyle name="Normal 2 2" xfId="197"/>
    <cellStyle name="Normal 2 2 2" xfId="237"/>
    <cellStyle name="Normal 2 3" xfId="233"/>
    <cellStyle name="Normal 2 3 2" xfId="257"/>
    <cellStyle name="Normal 2 4" xfId="260"/>
    <cellStyle name="Normal 2 5" xfId="263"/>
    <cellStyle name="Normal 2 6" xfId="266"/>
    <cellStyle name="Normal 2 7" xfId="275"/>
    <cellStyle name="Normal 2 8" xfId="267"/>
    <cellStyle name="Normal 2 9" xfId="268"/>
    <cellStyle name="Normal 20" xfId="198"/>
    <cellStyle name="Normal 20 2" xfId="238"/>
    <cellStyle name="Normal 3 2" xfId="199"/>
    <cellStyle name="Normal 3 2 2" xfId="239"/>
    <cellStyle name="Normal 3 3" xfId="248"/>
    <cellStyle name="Normal 3 4" xfId="259"/>
    <cellStyle name="Normal 3 5" xfId="262"/>
    <cellStyle name="Normal 4" xfId="251"/>
    <cellStyle name="Normal 4 2" xfId="200"/>
    <cellStyle name="Normal 4 2 2" xfId="240"/>
    <cellStyle name="Normal 5" xfId="258"/>
    <cellStyle name="Normal 5 2" xfId="201"/>
    <cellStyle name="Normal 5 2 2" xfId="241"/>
    <cellStyle name="Normal 51" xfId="256"/>
    <cellStyle name="Normal 55" xfId="253"/>
    <cellStyle name="Normal 6" xfId="202"/>
    <cellStyle name="Normal 6 2" xfId="203"/>
    <cellStyle name="Normal 6 2 2" xfId="243"/>
    <cellStyle name="Normal 6 3" xfId="242"/>
    <cellStyle name="Normal 7" xfId="204"/>
    <cellStyle name="Normal 7 2" xfId="244"/>
    <cellStyle name="Normal 8" xfId="205"/>
    <cellStyle name="Normal 8 2" xfId="245"/>
    <cellStyle name="Normal 9" xfId="206"/>
    <cellStyle name="Normal 9 2" xfId="246"/>
    <cellStyle name="Note 2" xfId="207"/>
    <cellStyle name="Note 3" xfId="208"/>
    <cellStyle name="Note 4" xfId="209"/>
    <cellStyle name="Note 5" xfId="210"/>
    <cellStyle name="Note 6" xfId="211"/>
    <cellStyle name="Output 2" xfId="212"/>
    <cellStyle name="Output 3" xfId="213"/>
    <cellStyle name="Output 4" xfId="214"/>
    <cellStyle name="Output 5" xfId="215"/>
    <cellStyle name="Output 6" xfId="216"/>
    <cellStyle name="Title 2" xfId="217"/>
    <cellStyle name="Title 3" xfId="218"/>
    <cellStyle name="Title 4" xfId="219"/>
    <cellStyle name="Title 5" xfId="220"/>
    <cellStyle name="Title 6" xfId="221"/>
    <cellStyle name="Total 2" xfId="222"/>
    <cellStyle name="Total 3" xfId="223"/>
    <cellStyle name="Total 4" xfId="224"/>
    <cellStyle name="Total 5" xfId="225"/>
    <cellStyle name="Total 6" xfId="226"/>
    <cellStyle name="Warning Text 2" xfId="227"/>
    <cellStyle name="Warning Text 3" xfId="228"/>
    <cellStyle name="Warning Text 4" xfId="229"/>
    <cellStyle name="Warning Text 5" xfId="230"/>
    <cellStyle name="Warning Text 6" xfId="231"/>
  </cellStyles>
  <dxfs count="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198595</xdr:colOff>
      <xdr:row>50</xdr:row>
      <xdr:rowOff>119065</xdr:rowOff>
    </xdr:from>
    <xdr:to>
      <xdr:col>7</xdr:col>
      <xdr:colOff>59530</xdr:colOff>
      <xdr:row>55</xdr:row>
      <xdr:rowOff>49942</xdr:rowOff>
    </xdr:to>
    <xdr:pic>
      <xdr:nvPicPr>
        <xdr:cNvPr id="4" name="Picture 1562">
          <a:extLst>
            <a:ext uri="{FF2B5EF4-FFF2-40B4-BE49-F238E27FC236}">
              <a16:creationId xmlns:a16="http://schemas.microsoft.com/office/drawing/2014/main" xmlns="" id="{00000000-0008-0000-0000-000002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39376" y="11394284"/>
          <a:ext cx="1003935" cy="954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152400</xdr:colOff>
      <xdr:row>5</xdr:row>
      <xdr:rowOff>38100</xdr:rowOff>
    </xdr:from>
    <xdr:to>
      <xdr:col>10</xdr:col>
      <xdr:colOff>190500</xdr:colOff>
      <xdr:row>34</xdr:row>
      <xdr:rowOff>35719</xdr:rowOff>
    </xdr:to>
    <xdr:grpSp>
      <xdr:nvGrpSpPr>
        <xdr:cNvPr id="2" name="docshapegroup1"/>
        <xdr:cNvGrpSpPr>
          <a:grpSpLocks/>
        </xdr:cNvGrpSpPr>
      </xdr:nvGrpSpPr>
      <xdr:grpSpPr bwMode="auto">
        <a:xfrm>
          <a:off x="438150" y="919163"/>
          <a:ext cx="5514975" cy="7629525"/>
          <a:chOff x="0" y="0"/>
          <a:chExt cx="10944" cy="14040"/>
        </a:xfrm>
      </xdr:grpSpPr>
      <xdr:pic>
        <xdr:nvPicPr>
          <xdr:cNvPr id="3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0" y="0"/>
            <a:ext cx="10944" cy="140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8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7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8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7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14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6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9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/>
          <a:srcRect/>
          <a:stretch>
            <a:fillRect/>
          </a:stretch>
        </xdr:blipFill>
        <xdr:spPr bwMode="auto">
          <a:xfrm>
            <a:off x="4168" y="2668"/>
            <a:ext cx="394" cy="3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" name="docshape19"/>
          <xdr:cNvSpPr>
            <a:spLocks/>
          </xdr:cNvSpPr>
        </xdr:nvSpPr>
        <xdr:spPr bwMode="auto">
          <a:xfrm>
            <a:off x="4168" y="2668"/>
            <a:ext cx="394" cy="353"/>
          </a:xfrm>
          <a:custGeom>
            <a:avLst/>
            <a:gdLst/>
            <a:ahLst/>
            <a:cxnLst>
              <a:cxn ang="0">
                <a:pos x="79" y="353"/>
              </a:cxn>
              <a:cxn ang="0">
                <a:pos x="39" y="353"/>
              </a:cxn>
              <a:cxn ang="0">
                <a:pos x="0" y="353"/>
              </a:cxn>
              <a:cxn ang="0">
                <a:pos x="0" y="0"/>
              </a:cxn>
              <a:cxn ang="0">
                <a:pos x="62" y="0"/>
              </a:cxn>
              <a:cxn ang="0">
                <a:pos x="124" y="0"/>
              </a:cxn>
              <a:cxn ang="0">
                <a:pos x="198" y="280"/>
              </a:cxn>
              <a:cxn ang="0">
                <a:pos x="271" y="0"/>
              </a:cxn>
              <a:cxn ang="0">
                <a:pos x="332" y="0"/>
              </a:cxn>
              <a:cxn ang="0">
                <a:pos x="393" y="0"/>
              </a:cxn>
              <a:cxn ang="0">
                <a:pos x="393" y="353"/>
              </a:cxn>
              <a:cxn ang="0">
                <a:pos x="354" y="353"/>
              </a:cxn>
              <a:cxn ang="0">
                <a:pos x="314" y="353"/>
              </a:cxn>
              <a:cxn ang="0">
                <a:pos x="314" y="57"/>
              </a:cxn>
              <a:cxn ang="0">
                <a:pos x="238" y="353"/>
              </a:cxn>
              <a:cxn ang="0">
                <a:pos x="196" y="353"/>
              </a:cxn>
              <a:cxn ang="0">
                <a:pos x="155" y="353"/>
              </a:cxn>
              <a:cxn ang="0">
                <a:pos x="79" y="50"/>
              </a:cxn>
              <a:cxn ang="0">
                <a:pos x="79" y="353"/>
              </a:cxn>
            </a:cxnLst>
            <a:rect l="0" t="0" r="r" b="b"/>
            <a:pathLst>
              <a:path w="394" h="353">
                <a:moveTo>
                  <a:pt x="79" y="353"/>
                </a:moveTo>
                <a:lnTo>
                  <a:pt x="39" y="353"/>
                </a:lnTo>
                <a:lnTo>
                  <a:pt x="0" y="353"/>
                </a:lnTo>
                <a:lnTo>
                  <a:pt x="0" y="0"/>
                </a:lnTo>
                <a:lnTo>
                  <a:pt x="62" y="0"/>
                </a:lnTo>
                <a:lnTo>
                  <a:pt x="124" y="0"/>
                </a:lnTo>
                <a:lnTo>
                  <a:pt x="198" y="280"/>
                </a:lnTo>
                <a:lnTo>
                  <a:pt x="271" y="0"/>
                </a:lnTo>
                <a:lnTo>
                  <a:pt x="332" y="0"/>
                </a:lnTo>
                <a:lnTo>
                  <a:pt x="393" y="0"/>
                </a:lnTo>
                <a:lnTo>
                  <a:pt x="393" y="353"/>
                </a:lnTo>
                <a:lnTo>
                  <a:pt x="354" y="353"/>
                </a:lnTo>
                <a:lnTo>
                  <a:pt x="314" y="353"/>
                </a:lnTo>
                <a:lnTo>
                  <a:pt x="314" y="57"/>
                </a:lnTo>
                <a:lnTo>
                  <a:pt x="238" y="353"/>
                </a:lnTo>
                <a:lnTo>
                  <a:pt x="196" y="353"/>
                </a:lnTo>
                <a:lnTo>
                  <a:pt x="155" y="353"/>
                </a:lnTo>
                <a:lnTo>
                  <a:pt x="79" y="50"/>
                </a:lnTo>
                <a:lnTo>
                  <a:pt x="79" y="353"/>
                </a:lnTo>
                <a:close/>
              </a:path>
            </a:pathLst>
          </a:custGeom>
          <a:noFill/>
          <a:ln w="9525">
            <a:solidFill>
              <a:srgbClr val="FFE22B"/>
            </a:solidFill>
            <a:prstDash val="solid"/>
            <a:round/>
            <a:headEnd/>
            <a:tailEnd/>
          </a:ln>
        </xdr:spPr>
      </xdr:sp>
      <xdr:pic>
        <xdr:nvPicPr>
          <xdr:cNvPr id="22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/>
          <a:srcRect/>
          <a:stretch>
            <a:fillRect/>
          </a:stretch>
        </xdr:blipFill>
        <xdr:spPr bwMode="auto">
          <a:xfrm>
            <a:off x="4609" y="2745"/>
            <a:ext cx="297" cy="2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3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 bwMode="auto">
          <a:xfrm>
            <a:off x="4943" y="2745"/>
            <a:ext cx="495" cy="2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4" name="docshape22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 bwMode="auto">
          <a:xfrm>
            <a:off x="5478" y="2660"/>
            <a:ext cx="287" cy="3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5" name="docshape23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/>
          <a:srcRect/>
          <a:stretch>
            <a:fillRect/>
          </a:stretch>
        </xdr:blipFill>
        <xdr:spPr bwMode="auto">
          <a:xfrm>
            <a:off x="5958" y="2663"/>
            <a:ext cx="1235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6" name="docshape24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/>
          <a:srcRect/>
          <a:stretch>
            <a:fillRect/>
          </a:stretch>
        </xdr:blipFill>
        <xdr:spPr bwMode="auto">
          <a:xfrm>
            <a:off x="176" y="2880"/>
            <a:ext cx="209" cy="2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7" name="docshape25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 cstate="print"/>
          <a:srcRect/>
          <a:stretch>
            <a:fillRect/>
          </a:stretch>
        </xdr:blipFill>
        <xdr:spPr bwMode="auto">
          <a:xfrm>
            <a:off x="172" y="3157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8" name="docshape26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/>
          <a:srcRect/>
          <a:stretch>
            <a:fillRect/>
          </a:stretch>
        </xdr:blipFill>
        <xdr:spPr bwMode="auto">
          <a:xfrm>
            <a:off x="173" y="3360"/>
            <a:ext cx="197" cy="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" name="docshape27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/>
          <a:srcRect/>
          <a:stretch>
            <a:fillRect/>
          </a:stretch>
        </xdr:blipFill>
        <xdr:spPr bwMode="auto">
          <a:xfrm>
            <a:off x="176" y="3670"/>
            <a:ext cx="221" cy="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0" name="docshape28"/>
          <xdr:cNvSpPr>
            <a:spLocks/>
          </xdr:cNvSpPr>
        </xdr:nvSpPr>
        <xdr:spPr bwMode="auto">
          <a:xfrm>
            <a:off x="107" y="3865"/>
            <a:ext cx="289" cy="220"/>
          </a:xfrm>
          <a:custGeom>
            <a:avLst/>
            <a:gdLst/>
            <a:ahLst/>
            <a:cxnLst>
              <a:cxn ang="0">
                <a:pos x="218" y="60"/>
              </a:cxn>
              <a:cxn ang="0">
                <a:pos x="77" y="124"/>
              </a:cxn>
              <a:cxn ang="0">
                <a:pos x="74" y="125"/>
              </a:cxn>
              <a:cxn ang="0">
                <a:pos x="71" y="125"/>
              </a:cxn>
              <a:cxn ang="0">
                <a:pos x="52" y="116"/>
              </a:cxn>
              <a:cxn ang="0">
                <a:pos x="42" y="105"/>
              </a:cxn>
              <a:cxn ang="0">
                <a:pos x="29" y="88"/>
              </a:cxn>
              <a:cxn ang="0">
                <a:pos x="25" y="78"/>
              </a:cxn>
              <a:cxn ang="0">
                <a:pos x="23" y="70"/>
              </a:cxn>
              <a:cxn ang="0">
                <a:pos x="0" y="78"/>
              </a:cxn>
              <a:cxn ang="0">
                <a:pos x="1" y="85"/>
              </a:cxn>
              <a:cxn ang="0">
                <a:pos x="4" y="94"/>
              </a:cxn>
              <a:cxn ang="0">
                <a:pos x="10" y="104"/>
              </a:cxn>
              <a:cxn ang="0">
                <a:pos x="17" y="115"/>
              </a:cxn>
              <a:cxn ang="0">
                <a:pos x="32" y="130"/>
              </a:cxn>
              <a:cxn ang="0">
                <a:pos x="51" y="144"/>
              </a:cxn>
              <a:cxn ang="0">
                <a:pos x="77" y="158"/>
              </a:cxn>
              <a:cxn ang="0">
                <a:pos x="111" y="174"/>
              </a:cxn>
              <a:cxn ang="0">
                <a:pos x="218" y="220"/>
              </a:cxn>
              <a:cxn ang="0">
                <a:pos x="218" y="187"/>
              </a:cxn>
              <a:cxn ang="0">
                <a:pos x="130" y="154"/>
              </a:cxn>
              <a:cxn ang="0">
                <a:pos x="119" y="149"/>
              </a:cxn>
              <a:cxn ang="0">
                <a:pos x="108" y="146"/>
              </a:cxn>
              <a:cxn ang="0">
                <a:pos x="99" y="143"/>
              </a:cxn>
              <a:cxn ang="0">
                <a:pos x="99" y="142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4"/>
              </a:cxn>
              <a:cxn ang="0">
                <a:pos x="218" y="60"/>
              </a:cxn>
              <a:cxn ang="0">
                <a:pos x="288" y="0"/>
              </a:cxn>
              <a:cxn ang="0">
                <a:pos x="68" y="0"/>
              </a:cxn>
              <a:cxn ang="0">
                <a:pos x="68" y="31"/>
              </a:cxn>
              <a:cxn ang="0">
                <a:pos x="288" y="31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0"/>
                </a:moveTo>
                <a:lnTo>
                  <a:pt x="77" y="124"/>
                </a:lnTo>
                <a:lnTo>
                  <a:pt x="74" y="125"/>
                </a:lnTo>
                <a:lnTo>
                  <a:pt x="71" y="125"/>
                </a:lnTo>
                <a:lnTo>
                  <a:pt x="52" y="116"/>
                </a:lnTo>
                <a:lnTo>
                  <a:pt x="42" y="105"/>
                </a:lnTo>
                <a:lnTo>
                  <a:pt x="29" y="88"/>
                </a:lnTo>
                <a:lnTo>
                  <a:pt x="25" y="78"/>
                </a:lnTo>
                <a:lnTo>
                  <a:pt x="23" y="70"/>
                </a:lnTo>
                <a:lnTo>
                  <a:pt x="0" y="78"/>
                </a:lnTo>
                <a:lnTo>
                  <a:pt x="1" y="85"/>
                </a:lnTo>
                <a:lnTo>
                  <a:pt x="4" y="94"/>
                </a:lnTo>
                <a:lnTo>
                  <a:pt x="10" y="104"/>
                </a:lnTo>
                <a:lnTo>
                  <a:pt x="17" y="115"/>
                </a:lnTo>
                <a:lnTo>
                  <a:pt x="32" y="130"/>
                </a:lnTo>
                <a:lnTo>
                  <a:pt x="51" y="144"/>
                </a:lnTo>
                <a:lnTo>
                  <a:pt x="77" y="158"/>
                </a:lnTo>
                <a:lnTo>
                  <a:pt x="111" y="174"/>
                </a:lnTo>
                <a:lnTo>
                  <a:pt x="218" y="220"/>
                </a:lnTo>
                <a:lnTo>
                  <a:pt x="218" y="187"/>
                </a:lnTo>
                <a:lnTo>
                  <a:pt x="130" y="154"/>
                </a:lnTo>
                <a:lnTo>
                  <a:pt x="119" y="149"/>
                </a:lnTo>
                <a:lnTo>
                  <a:pt x="108" y="146"/>
                </a:lnTo>
                <a:lnTo>
                  <a:pt x="99" y="143"/>
                </a:lnTo>
                <a:lnTo>
                  <a:pt x="99" y="142"/>
                </a:lnTo>
                <a:lnTo>
                  <a:pt x="108" y="139"/>
                </a:lnTo>
                <a:lnTo>
                  <a:pt x="130" y="131"/>
                </a:lnTo>
                <a:lnTo>
                  <a:pt x="218" y="94"/>
                </a:lnTo>
                <a:lnTo>
                  <a:pt x="218" y="60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1"/>
                </a:lnTo>
                <a:lnTo>
                  <a:pt x="288" y="31"/>
                </a:lnTo>
                <a:lnTo>
                  <a:pt x="288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31" name="docshape29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/>
          <a:srcRect/>
          <a:stretch>
            <a:fillRect/>
          </a:stretch>
        </xdr:blipFill>
        <xdr:spPr bwMode="auto">
          <a:xfrm>
            <a:off x="172" y="4188"/>
            <a:ext cx="213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48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/>
          <a:srcRect/>
          <a:stretch>
            <a:fillRect/>
          </a:stretch>
        </xdr:blipFill>
        <xdr:spPr bwMode="auto">
          <a:xfrm>
            <a:off x="176" y="4703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97" name="docshape31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 cstate="print"/>
          <a:srcRect/>
          <a:stretch>
            <a:fillRect/>
          </a:stretch>
        </xdr:blipFill>
        <xdr:spPr bwMode="auto">
          <a:xfrm>
            <a:off x="172" y="4887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98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/>
          <a:srcRect/>
          <a:stretch>
            <a:fillRect/>
          </a:stretch>
        </xdr:blipFill>
        <xdr:spPr bwMode="auto">
          <a:xfrm>
            <a:off x="176" y="5090"/>
            <a:ext cx="154" cy="2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99" name="docshape33"/>
          <xdr:cNvSpPr>
            <a:spLocks/>
          </xdr:cNvSpPr>
        </xdr:nvSpPr>
        <xdr:spPr bwMode="auto">
          <a:xfrm>
            <a:off x="176" y="5380"/>
            <a:ext cx="210" cy="39"/>
          </a:xfrm>
          <a:custGeom>
            <a:avLst/>
            <a:gdLst/>
            <a:ahLst/>
            <a:cxnLst>
              <a:cxn ang="0">
                <a:pos x="150" y="4"/>
              </a:cxn>
              <a:cxn ang="0">
                <a:pos x="0" y="4"/>
              </a:cxn>
              <a:cxn ang="0">
                <a:pos x="0" y="35"/>
              </a:cxn>
              <a:cxn ang="0">
                <a:pos x="150" y="35"/>
              </a:cxn>
              <a:cxn ang="0">
                <a:pos x="150" y="4"/>
              </a:cxn>
              <a:cxn ang="0">
                <a:pos x="209" y="8"/>
              </a:cxn>
              <a:cxn ang="0">
                <a:pos x="202" y="0"/>
              </a:cxn>
              <a:cxn ang="0">
                <a:pos x="183" y="0"/>
              </a:cxn>
              <a:cxn ang="0">
                <a:pos x="176" y="8"/>
              </a:cxn>
              <a:cxn ang="0">
                <a:pos x="176" y="31"/>
              </a:cxn>
              <a:cxn ang="0">
                <a:pos x="183" y="39"/>
              </a:cxn>
              <a:cxn ang="0">
                <a:pos x="192" y="38"/>
              </a:cxn>
              <a:cxn ang="0">
                <a:pos x="202" y="38"/>
              </a:cxn>
              <a:cxn ang="0">
                <a:pos x="209" y="31"/>
              </a:cxn>
              <a:cxn ang="0">
                <a:pos x="209" y="19"/>
              </a:cxn>
              <a:cxn ang="0">
                <a:pos x="209" y="8"/>
              </a:cxn>
            </a:cxnLst>
            <a:rect l="0" t="0" r="r" b="b"/>
            <a:pathLst>
              <a:path w="210" h="39">
                <a:moveTo>
                  <a:pt x="150" y="4"/>
                </a:moveTo>
                <a:lnTo>
                  <a:pt x="0" y="4"/>
                </a:lnTo>
                <a:lnTo>
                  <a:pt x="0" y="35"/>
                </a:lnTo>
                <a:lnTo>
                  <a:pt x="150" y="35"/>
                </a:lnTo>
                <a:lnTo>
                  <a:pt x="150" y="4"/>
                </a:lnTo>
                <a:close/>
                <a:moveTo>
                  <a:pt x="209" y="8"/>
                </a:moveTo>
                <a:lnTo>
                  <a:pt x="202" y="0"/>
                </a:lnTo>
                <a:lnTo>
                  <a:pt x="183" y="0"/>
                </a:lnTo>
                <a:lnTo>
                  <a:pt x="176" y="8"/>
                </a:lnTo>
                <a:lnTo>
                  <a:pt x="176" y="31"/>
                </a:lnTo>
                <a:lnTo>
                  <a:pt x="183" y="39"/>
                </a:lnTo>
                <a:lnTo>
                  <a:pt x="192" y="38"/>
                </a:lnTo>
                <a:lnTo>
                  <a:pt x="202" y="38"/>
                </a:lnTo>
                <a:lnTo>
                  <a:pt x="209" y="31"/>
                </a:lnTo>
                <a:lnTo>
                  <a:pt x="209" y="19"/>
                </a:lnTo>
                <a:lnTo>
                  <a:pt x="209" y="8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2100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/>
          <a:srcRect/>
          <a:stretch>
            <a:fillRect/>
          </a:stretch>
        </xdr:blipFill>
        <xdr:spPr bwMode="auto">
          <a:xfrm>
            <a:off x="173" y="5453"/>
            <a:ext cx="157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01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/>
          <a:srcRect/>
          <a:stretch>
            <a:fillRect/>
          </a:stretch>
        </xdr:blipFill>
        <xdr:spPr bwMode="auto">
          <a:xfrm>
            <a:off x="173" y="5670"/>
            <a:ext cx="213" cy="4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02" name="docshape36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/>
          <a:srcRect/>
          <a:stretch>
            <a:fillRect/>
          </a:stretch>
        </xdr:blipFill>
        <xdr:spPr bwMode="auto">
          <a:xfrm>
            <a:off x="176" y="6140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03" name="docshape37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/>
          <a:srcRect/>
          <a:stretch>
            <a:fillRect/>
          </a:stretch>
        </xdr:blipFill>
        <xdr:spPr bwMode="auto">
          <a:xfrm>
            <a:off x="172" y="6323"/>
            <a:ext cx="224" cy="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04" name="docshape38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/>
          <a:srcRect/>
          <a:stretch>
            <a:fillRect/>
          </a:stretch>
        </xdr:blipFill>
        <xdr:spPr bwMode="auto">
          <a:xfrm>
            <a:off x="173" y="6521"/>
            <a:ext cx="157" cy="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05" name="docshape39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 cstate="print"/>
          <a:srcRect/>
          <a:stretch>
            <a:fillRect/>
          </a:stretch>
        </xdr:blipFill>
        <xdr:spPr bwMode="auto">
          <a:xfrm>
            <a:off x="181" y="8960"/>
            <a:ext cx="190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06" name="docshape40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/>
          <a:srcRect/>
          <a:stretch>
            <a:fillRect/>
          </a:stretch>
        </xdr:blipFill>
        <xdr:spPr bwMode="auto">
          <a:xfrm>
            <a:off x="181" y="9386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07" name="docshape41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/>
          <a:srcRect/>
          <a:stretch>
            <a:fillRect/>
          </a:stretch>
        </xdr:blipFill>
        <xdr:spPr bwMode="auto">
          <a:xfrm>
            <a:off x="181" y="9550"/>
            <a:ext cx="141" cy="3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08" name="docshape42"/>
          <xdr:cNvSpPr>
            <a:spLocks/>
          </xdr:cNvSpPr>
        </xdr:nvSpPr>
        <xdr:spPr bwMode="auto">
          <a:xfrm>
            <a:off x="184" y="10042"/>
            <a:ext cx="187" cy="132"/>
          </a:xfrm>
          <a:custGeom>
            <a:avLst/>
            <a:gdLst/>
            <a:ahLst/>
            <a:cxnLst>
              <a:cxn ang="0">
                <a:pos x="187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7" y="28"/>
              </a:cxn>
              <a:cxn ang="0">
                <a:pos x="187" y="0"/>
              </a:cxn>
            </a:cxnLst>
            <a:rect l="0" t="0" r="r" b="b"/>
            <a:pathLst>
              <a:path w="187" h="132">
                <a:moveTo>
                  <a:pt x="187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7" y="28"/>
                </a:lnTo>
                <a:lnTo>
                  <a:pt x="187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2109" name="docshape43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/>
          <a:srcRect/>
          <a:stretch>
            <a:fillRect/>
          </a:stretch>
        </xdr:blipFill>
        <xdr:spPr bwMode="auto">
          <a:xfrm>
            <a:off x="184" y="10534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0" name="docshape44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 cstate="print"/>
          <a:srcRect/>
          <a:stretch>
            <a:fillRect/>
          </a:stretch>
        </xdr:blipFill>
        <xdr:spPr bwMode="auto">
          <a:xfrm>
            <a:off x="181" y="10734"/>
            <a:ext cx="141" cy="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11" name="docshape45"/>
          <xdr:cNvSpPr>
            <a:spLocks noChangeArrowheads="1"/>
          </xdr:cNvSpPr>
        </xdr:nvSpPr>
        <xdr:spPr bwMode="auto">
          <a:xfrm>
            <a:off x="184" y="10914"/>
            <a:ext cx="27" cy="30"/>
          </a:xfrm>
          <a:prstGeom prst="rect">
            <a:avLst/>
          </a:prstGeom>
          <a:solidFill>
            <a:srgbClr val="007091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2112" name="docshape46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/>
          <a:srcRect/>
          <a:stretch>
            <a:fillRect/>
          </a:stretch>
        </xdr:blipFill>
        <xdr:spPr bwMode="auto">
          <a:xfrm>
            <a:off x="181" y="11063"/>
            <a:ext cx="191" cy="3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3" name="docshape47"/>
          <xdr:cNvPicPr>
            <a:picLocks noChangeAspect="1" noChangeArrowheads="1"/>
          </xdr:cNvPicPr>
        </xdr:nvPicPr>
        <xdr:blipFill>
          <a:blip xmlns:r="http://schemas.openxmlformats.org/officeDocument/2006/relationships" r:embed="rId39"/>
          <a:srcRect/>
          <a:stretch>
            <a:fillRect/>
          </a:stretch>
        </xdr:blipFill>
        <xdr:spPr bwMode="auto">
          <a:xfrm>
            <a:off x="178" y="6999"/>
            <a:ext cx="187" cy="2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4" name="docshape48"/>
          <xdr:cNvPicPr>
            <a:picLocks noChangeAspect="1" noChangeArrowheads="1"/>
          </xdr:cNvPicPr>
        </xdr:nvPicPr>
        <xdr:blipFill>
          <a:blip xmlns:r="http://schemas.openxmlformats.org/officeDocument/2006/relationships" r:embed="rId40"/>
          <a:srcRect/>
          <a:stretch>
            <a:fillRect/>
          </a:stretch>
        </xdr:blipFill>
        <xdr:spPr bwMode="auto">
          <a:xfrm>
            <a:off x="175" y="7232"/>
            <a:ext cx="141" cy="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5" name="docshape49"/>
          <xdr:cNvPicPr>
            <a:picLocks noChangeAspect="1" noChangeArrowheads="1"/>
          </xdr:cNvPicPr>
        </xdr:nvPicPr>
        <xdr:blipFill>
          <a:blip xmlns:r="http://schemas.openxmlformats.org/officeDocument/2006/relationships" r:embed="rId41"/>
          <a:srcRect/>
          <a:stretch>
            <a:fillRect/>
          </a:stretch>
        </xdr:blipFill>
        <xdr:spPr bwMode="auto">
          <a:xfrm>
            <a:off x="175" y="7404"/>
            <a:ext cx="190" cy="3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6" name="docshape50"/>
          <xdr:cNvPicPr>
            <a:picLocks noChangeAspect="1" noChangeArrowheads="1"/>
          </xdr:cNvPicPr>
        </xdr:nvPicPr>
        <xdr:blipFill>
          <a:blip xmlns:r="http://schemas.openxmlformats.org/officeDocument/2006/relationships" r:embed="rId42"/>
          <a:srcRect/>
          <a:stretch>
            <a:fillRect/>
          </a:stretch>
        </xdr:blipFill>
        <xdr:spPr bwMode="auto">
          <a:xfrm>
            <a:off x="175" y="7965"/>
            <a:ext cx="191" cy="6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CR629"/>
  <sheetViews>
    <sheetView showGridLines="0" tabSelected="1" zoomScale="80" zoomScaleNormal="80" workbookViewId="0">
      <selection activeCell="J39" sqref="J39"/>
    </sheetView>
  </sheetViews>
  <sheetFormatPr defaultRowHeight="12.75"/>
  <cols>
    <col min="1" max="1" width="4.28515625" style="184" customWidth="1"/>
    <col min="2" max="2" width="3.28515625" style="777" customWidth="1"/>
    <col min="3" max="3" width="6.5703125" customWidth="1"/>
    <col min="4" max="4" width="12.85546875" customWidth="1"/>
    <col min="5" max="5" width="9.5703125" customWidth="1"/>
    <col min="6" max="6" width="7.42578125" customWidth="1"/>
    <col min="7" max="7" width="9.7109375" customWidth="1"/>
    <col min="8" max="8" width="9.42578125" customWidth="1"/>
    <col min="9" max="10" width="11.5703125" customWidth="1"/>
    <col min="11" max="11" width="6.85546875" customWidth="1"/>
    <col min="12" max="12" width="3.5703125" style="193" customWidth="1"/>
    <col min="13" max="13" width="3.140625" style="193" customWidth="1"/>
    <col min="14" max="14" width="7.42578125" style="193" customWidth="1"/>
    <col min="15" max="15" width="8.5703125" style="193" customWidth="1"/>
    <col min="16" max="18" width="9.140625" style="193" customWidth="1"/>
    <col min="19" max="19" width="11" style="193" customWidth="1"/>
    <col min="20" max="20" width="12.5703125" style="193" customWidth="1"/>
    <col min="21" max="96" width="9.140625" style="193" customWidth="1"/>
  </cols>
  <sheetData>
    <row r="1" spans="1:96">
      <c r="B1" s="396"/>
      <c r="C1" s="196"/>
      <c r="D1" s="196"/>
      <c r="E1" s="196"/>
      <c r="F1" s="196"/>
      <c r="G1" s="196"/>
      <c r="H1" s="196"/>
      <c r="I1" s="196"/>
      <c r="J1" s="184"/>
      <c r="K1" s="184"/>
      <c r="L1" s="396"/>
    </row>
    <row r="2" spans="1:96">
      <c r="B2" s="397"/>
      <c r="C2" s="196"/>
      <c r="D2" s="196"/>
      <c r="E2" s="196"/>
      <c r="F2" s="196"/>
      <c r="G2" s="196"/>
      <c r="H2" s="196"/>
      <c r="I2" s="196"/>
      <c r="J2" s="184"/>
      <c r="K2" s="196"/>
    </row>
    <row r="3" spans="1:96">
      <c r="B3" s="397"/>
      <c r="C3" s="196"/>
      <c r="D3" s="196"/>
      <c r="E3" s="196"/>
      <c r="F3" s="196"/>
      <c r="G3" s="196"/>
      <c r="H3" s="196"/>
      <c r="I3" s="196"/>
      <c r="J3" s="184"/>
      <c r="K3" s="196"/>
    </row>
    <row r="4" spans="1:96">
      <c r="B4" s="397"/>
      <c r="C4" s="196"/>
      <c r="D4" s="196"/>
      <c r="E4" s="196"/>
      <c r="F4" s="196"/>
      <c r="G4" s="196"/>
      <c r="H4" s="196"/>
      <c r="I4" s="196"/>
      <c r="J4" s="184"/>
      <c r="K4" s="196"/>
      <c r="M4" s="194"/>
    </row>
    <row r="5" spans="1:96" ht="16.5" customHeight="1" thickBot="1">
      <c r="B5" s="397"/>
      <c r="C5" s="196"/>
      <c r="D5" s="196"/>
      <c r="E5" s="196"/>
      <c r="F5" s="196"/>
      <c r="G5" s="196"/>
      <c r="H5" s="196"/>
      <c r="I5" s="196"/>
      <c r="J5" s="196"/>
      <c r="K5" s="196"/>
    </row>
    <row r="6" spans="1:96" ht="11.25" customHeight="1">
      <c r="B6" s="397"/>
      <c r="C6" s="196"/>
      <c r="D6" s="196"/>
      <c r="F6" s="196"/>
      <c r="G6" s="196"/>
      <c r="H6" s="196"/>
      <c r="I6" s="196"/>
      <c r="J6" s="196"/>
      <c r="K6" s="196"/>
      <c r="M6" s="365"/>
      <c r="N6" s="366"/>
      <c r="O6" s="366"/>
      <c r="P6" s="366"/>
      <c r="Q6" s="366"/>
      <c r="R6" s="366"/>
      <c r="S6" s="366"/>
      <c r="T6" s="367"/>
    </row>
    <row r="7" spans="1:96" s="1154" customFormat="1" ht="31.5" customHeight="1">
      <c r="A7" s="184"/>
      <c r="B7" s="397"/>
      <c r="C7" s="196"/>
      <c r="D7" s="196"/>
      <c r="F7" s="196"/>
      <c r="G7" s="196"/>
      <c r="H7" s="196"/>
      <c r="I7" s="196"/>
      <c r="J7" s="196"/>
      <c r="K7" s="196"/>
      <c r="L7" s="193"/>
      <c r="M7" s="368"/>
      <c r="N7" s="194"/>
      <c r="O7" s="194"/>
      <c r="P7" s="194"/>
      <c r="Q7" s="1193" t="s">
        <v>2169</v>
      </c>
      <c r="R7" s="194"/>
      <c r="S7" s="194"/>
      <c r="T7" s="369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</row>
    <row r="8" spans="1:96" s="1154" customFormat="1" ht="18" customHeight="1">
      <c r="A8" s="184"/>
      <c r="B8" s="397"/>
      <c r="C8" s="196"/>
      <c r="D8" s="196"/>
      <c r="F8" s="196"/>
      <c r="G8" s="196"/>
      <c r="H8" s="196"/>
      <c r="I8" s="196"/>
      <c r="J8" s="196"/>
      <c r="K8" s="196"/>
      <c r="L8" s="193"/>
      <c r="M8" s="368"/>
      <c r="N8" s="194"/>
      <c r="O8" s="1885" t="s">
        <v>2476</v>
      </c>
      <c r="P8" s="1885"/>
      <c r="Q8" s="1885"/>
      <c r="R8" s="1885"/>
      <c r="S8" s="1885"/>
      <c r="T8" s="369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</row>
    <row r="9" spans="1:96" s="1154" customFormat="1" ht="15" customHeight="1">
      <c r="A9" s="184"/>
      <c r="B9" s="397"/>
      <c r="C9" s="196"/>
      <c r="D9" s="196"/>
      <c r="F9" s="196"/>
      <c r="G9" s="196"/>
      <c r="H9" s="196"/>
      <c r="I9" s="196"/>
      <c r="J9" s="196"/>
      <c r="K9" s="196"/>
      <c r="L9" s="193"/>
      <c r="M9" s="368"/>
      <c r="N9" s="194"/>
      <c r="O9" s="1194"/>
      <c r="P9" s="1195" t="s">
        <v>2170</v>
      </c>
      <c r="Q9" s="1196"/>
      <c r="R9" s="1196"/>
      <c r="S9" s="1196"/>
      <c r="T9" s="369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</row>
    <row r="10" spans="1:96" ht="15.75">
      <c r="A10" s="185"/>
      <c r="B10" s="397"/>
      <c r="C10" s="185"/>
      <c r="D10" s="357"/>
      <c r="E10" s="185"/>
      <c r="F10" s="185"/>
      <c r="G10" s="185"/>
      <c r="H10" s="196"/>
      <c r="I10" s="185"/>
      <c r="J10" s="185"/>
      <c r="K10" s="185"/>
      <c r="M10" s="368"/>
      <c r="N10" s="669"/>
      <c r="O10" s="669"/>
      <c r="P10" s="669"/>
      <c r="Q10" s="669"/>
      <c r="R10" s="669"/>
      <c r="S10" s="669"/>
      <c r="T10" s="369"/>
    </row>
    <row r="11" spans="1:96" ht="21">
      <c r="A11" s="185"/>
      <c r="B11" s="397"/>
      <c r="C11" s="185"/>
      <c r="D11" s="357"/>
      <c r="E11" s="185"/>
      <c r="F11" s="185"/>
      <c r="G11" s="185"/>
      <c r="H11" s="185"/>
      <c r="I11" s="185"/>
      <c r="J11" s="185"/>
      <c r="K11" s="185"/>
      <c r="M11" s="368"/>
      <c r="N11" s="669"/>
      <c r="O11" s="669"/>
      <c r="P11" s="680"/>
      <c r="Q11" s="681" t="s">
        <v>798</v>
      </c>
      <c r="R11" s="680"/>
      <c r="S11" s="669"/>
      <c r="T11" s="369"/>
    </row>
    <row r="12" spans="1:96" ht="14.25" customHeight="1">
      <c r="A12" s="185"/>
      <c r="B12" s="397"/>
      <c r="C12" s="185"/>
      <c r="D12" s="357"/>
      <c r="E12" s="185"/>
      <c r="F12" s="185"/>
      <c r="G12" s="185"/>
      <c r="H12" s="185"/>
      <c r="I12" s="185"/>
      <c r="J12" s="185"/>
      <c r="K12" s="185"/>
      <c r="M12" s="368"/>
      <c r="N12" s="669"/>
      <c r="O12" s="669"/>
      <c r="P12" s="674"/>
      <c r="Q12" s="674"/>
      <c r="R12" s="674"/>
      <c r="S12" s="669"/>
      <c r="T12" s="369"/>
    </row>
    <row r="13" spans="1:96" ht="18.75" customHeight="1">
      <c r="A13" s="185"/>
      <c r="B13" s="397"/>
      <c r="C13" s="185"/>
      <c r="D13" s="357"/>
      <c r="E13" s="185"/>
      <c r="F13" s="185"/>
      <c r="G13" s="185"/>
      <c r="H13" s="185"/>
      <c r="I13" s="185"/>
      <c r="J13" s="185"/>
      <c r="K13" s="185"/>
      <c r="M13" s="368"/>
      <c r="N13" s="669"/>
      <c r="O13" s="669"/>
      <c r="P13" s="674"/>
      <c r="Q13" s="1559" t="s">
        <v>2429</v>
      </c>
      <c r="R13" s="674"/>
      <c r="S13" s="669"/>
      <c r="T13" s="369"/>
    </row>
    <row r="14" spans="1:96" ht="16.5" customHeight="1">
      <c r="A14" s="185"/>
      <c r="B14" s="397"/>
      <c r="C14" s="185"/>
      <c r="D14" s="357"/>
      <c r="E14" s="185"/>
      <c r="F14" s="185"/>
      <c r="G14" s="185"/>
      <c r="H14" s="185"/>
      <c r="I14" s="185"/>
      <c r="J14" s="185"/>
      <c r="K14" s="185"/>
      <c r="M14" s="368"/>
      <c r="N14" s="873"/>
      <c r="O14" s="1887" t="s">
        <v>2957</v>
      </c>
      <c r="P14" s="1887"/>
      <c r="Q14" s="1887"/>
      <c r="R14" s="1887"/>
      <c r="S14" s="1887"/>
      <c r="T14" s="369"/>
    </row>
    <row r="15" spans="1:96" ht="19.5" customHeight="1">
      <c r="A15" s="185"/>
      <c r="B15" s="397"/>
      <c r="C15" s="185"/>
      <c r="D15" s="357"/>
      <c r="E15" s="185"/>
      <c r="F15" s="185"/>
      <c r="G15" s="185"/>
      <c r="H15" s="185"/>
      <c r="I15" s="185"/>
      <c r="J15" s="185"/>
      <c r="K15" s="185"/>
      <c r="M15" s="368"/>
      <c r="N15" s="1886" t="s">
        <v>1613</v>
      </c>
      <c r="O15" s="1886"/>
      <c r="P15" s="1886"/>
      <c r="Q15" s="1886"/>
      <c r="R15" s="1886"/>
      <c r="S15" s="1886"/>
      <c r="T15" s="369"/>
    </row>
    <row r="16" spans="1:96" ht="36" customHeight="1">
      <c r="A16" s="185"/>
      <c r="B16" s="397"/>
      <c r="C16" s="185"/>
      <c r="D16" s="357"/>
      <c r="E16" s="185"/>
      <c r="F16" s="1865"/>
      <c r="G16" s="1865"/>
      <c r="H16" s="1865"/>
      <c r="I16" s="1865"/>
      <c r="J16" s="1865"/>
      <c r="K16" s="185"/>
      <c r="M16" s="368"/>
      <c r="N16" s="669"/>
      <c r="O16" s="669"/>
      <c r="P16" s="1877" t="s">
        <v>2430</v>
      </c>
      <c r="Q16" s="1877"/>
      <c r="R16" s="674"/>
      <c r="S16" s="669"/>
      <c r="T16" s="369"/>
    </row>
    <row r="17" spans="1:96" ht="45.75" customHeight="1">
      <c r="A17" s="185"/>
      <c r="B17" s="397"/>
      <c r="C17" s="185"/>
      <c r="D17" s="357"/>
      <c r="E17" s="1866"/>
      <c r="F17" s="1866"/>
      <c r="G17" s="1866"/>
      <c r="H17" s="1866"/>
      <c r="I17" s="1866"/>
      <c r="J17" s="1866"/>
      <c r="K17" s="1866"/>
      <c r="M17" s="368"/>
      <c r="N17" s="669"/>
      <c r="O17" s="669"/>
      <c r="P17" s="1882" t="s">
        <v>2159</v>
      </c>
      <c r="Q17" s="1882"/>
      <c r="R17" s="1882"/>
      <c r="S17" s="1882"/>
      <c r="T17" s="369"/>
    </row>
    <row r="18" spans="1:96" s="1154" customFormat="1" ht="26.25" customHeight="1">
      <c r="A18" s="185"/>
      <c r="B18" s="397"/>
      <c r="C18" s="185"/>
      <c r="D18" s="357"/>
      <c r="E18" s="1475"/>
      <c r="F18" s="1475"/>
      <c r="G18" s="1475"/>
      <c r="H18" s="1475"/>
      <c r="I18" s="1475"/>
      <c r="J18" s="1475"/>
      <c r="K18" s="1475"/>
      <c r="L18" s="193"/>
      <c r="M18" s="368"/>
      <c r="N18" s="669"/>
      <c r="O18" s="669"/>
      <c r="P18" s="1877" t="s">
        <v>2431</v>
      </c>
      <c r="Q18" s="1877"/>
      <c r="R18" s="1877"/>
      <c r="S18" s="1558"/>
      <c r="T18" s="369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</row>
    <row r="19" spans="1:96" ht="36" customHeight="1">
      <c r="A19" s="185"/>
      <c r="B19" s="397"/>
      <c r="C19" s="185"/>
      <c r="D19" s="357"/>
      <c r="E19" s="358"/>
      <c r="F19" s="1883"/>
      <c r="G19" s="1883"/>
      <c r="H19" s="1883"/>
      <c r="I19" s="1883"/>
      <c r="J19" s="1883"/>
      <c r="K19" s="358"/>
      <c r="M19" s="368"/>
      <c r="N19" s="669"/>
      <c r="O19" s="669"/>
      <c r="P19" s="1884" t="s">
        <v>2873</v>
      </c>
      <c r="Q19" s="1884"/>
      <c r="R19" s="1884"/>
      <c r="S19" s="1884"/>
      <c r="T19" s="369"/>
    </row>
    <row r="20" spans="1:96" s="1528" customFormat="1" ht="25.5" customHeight="1">
      <c r="A20" s="185"/>
      <c r="B20" s="397"/>
      <c r="C20" s="185"/>
      <c r="D20" s="357"/>
      <c r="E20" s="358"/>
      <c r="F20" s="1747"/>
      <c r="G20" s="1747"/>
      <c r="H20" s="1747"/>
      <c r="I20" s="1747"/>
      <c r="J20" s="1747"/>
      <c r="K20" s="358"/>
      <c r="L20" s="193"/>
      <c r="M20" s="368"/>
      <c r="N20" s="669"/>
      <c r="O20" s="669"/>
      <c r="P20" s="1748"/>
      <c r="Q20" s="1748"/>
      <c r="R20" s="1748"/>
      <c r="S20" s="1748"/>
      <c r="T20" s="369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</row>
    <row r="21" spans="1:96" s="1528" customFormat="1" ht="34.5" customHeight="1">
      <c r="A21" s="185"/>
      <c r="B21" s="397"/>
      <c r="C21" s="185"/>
      <c r="D21" s="357"/>
      <c r="E21" s="358"/>
      <c r="F21" s="1747"/>
      <c r="G21" s="1747"/>
      <c r="H21" s="1747"/>
      <c r="I21" s="1747"/>
      <c r="J21" s="1747"/>
      <c r="K21" s="358"/>
      <c r="L21" s="193"/>
      <c r="M21" s="368"/>
      <c r="N21" s="669"/>
      <c r="O21" s="669"/>
      <c r="P21" s="1884" t="s">
        <v>2889</v>
      </c>
      <c r="Q21" s="1884"/>
      <c r="R21" s="1884"/>
      <c r="S21" s="1884"/>
      <c r="T21" s="369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</row>
    <row r="22" spans="1:96" s="1528" customFormat="1" ht="20.25" customHeight="1">
      <c r="A22" s="185"/>
      <c r="B22" s="397"/>
      <c r="C22" s="185"/>
      <c r="D22" s="357"/>
      <c r="E22" s="358"/>
      <c r="F22" s="1747"/>
      <c r="G22" s="1747"/>
      <c r="H22" s="1747"/>
      <c r="I22" s="1747"/>
      <c r="J22" s="1747"/>
      <c r="K22" s="358"/>
      <c r="L22" s="193"/>
      <c r="M22" s="368"/>
      <c r="N22" s="669"/>
      <c r="O22" s="669"/>
      <c r="P22" s="1748"/>
      <c r="Q22" s="1748"/>
      <c r="R22" s="1748"/>
      <c r="S22" s="1748"/>
      <c r="T22" s="369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</row>
    <row r="23" spans="1:96" ht="10.5" customHeight="1">
      <c r="A23" s="185"/>
      <c r="B23" s="397"/>
      <c r="C23" s="185"/>
      <c r="D23" s="357"/>
      <c r="E23" s="185"/>
      <c r="F23" s="185"/>
      <c r="G23" s="185"/>
      <c r="H23" s="185"/>
      <c r="I23" s="185"/>
      <c r="J23" s="185"/>
      <c r="K23" s="185"/>
      <c r="M23" s="368"/>
      <c r="N23" s="669"/>
      <c r="O23" s="838"/>
      <c r="P23" s="1879" t="s">
        <v>2874</v>
      </c>
      <c r="Q23" s="1879"/>
      <c r="R23" s="1879"/>
      <c r="S23" s="1879"/>
      <c r="T23" s="369"/>
    </row>
    <row r="24" spans="1:96" ht="18" customHeight="1">
      <c r="A24" s="185"/>
      <c r="B24" s="397"/>
      <c r="C24" s="185"/>
      <c r="D24" s="357"/>
      <c r="E24" s="185"/>
      <c r="F24" s="185"/>
      <c r="G24" s="185"/>
      <c r="H24" s="185"/>
      <c r="I24" s="185"/>
      <c r="J24" s="185"/>
      <c r="K24" s="185"/>
      <c r="M24" s="368"/>
      <c r="N24" s="669"/>
      <c r="O24" s="838"/>
      <c r="P24" s="1879"/>
      <c r="Q24" s="1879"/>
      <c r="R24" s="1879"/>
      <c r="S24" s="1879"/>
      <c r="T24" s="369"/>
      <c r="W24" s="1322"/>
    </row>
    <row r="25" spans="1:96" ht="16.5" customHeight="1">
      <c r="A25" s="185"/>
      <c r="B25" s="397"/>
      <c r="C25" s="185"/>
      <c r="D25" s="357"/>
      <c r="E25" s="185"/>
      <c r="F25" s="185"/>
      <c r="G25" s="185"/>
      <c r="H25" s="185"/>
      <c r="I25" s="185"/>
      <c r="J25" s="185"/>
      <c r="K25" s="185"/>
      <c r="M25" s="368"/>
      <c r="N25" s="669"/>
      <c r="O25" s="838"/>
      <c r="P25" s="1879"/>
      <c r="Q25" s="1879"/>
      <c r="R25" s="1879"/>
      <c r="S25" s="1879"/>
      <c r="T25" s="369"/>
    </row>
    <row r="26" spans="1:96" ht="18" customHeight="1">
      <c r="A26" s="185"/>
      <c r="B26" s="397"/>
      <c r="C26" s="185"/>
      <c r="D26" s="357"/>
      <c r="E26" s="185"/>
      <c r="F26" s="185"/>
      <c r="G26" s="185"/>
      <c r="H26" s="185"/>
      <c r="I26" s="185"/>
      <c r="J26" s="185"/>
      <c r="K26" s="185"/>
      <c r="M26" s="368"/>
      <c r="N26" s="669"/>
      <c r="O26" s="839"/>
      <c r="P26" s="840" t="s">
        <v>2876</v>
      </c>
      <c r="Q26" s="840"/>
      <c r="R26" s="840"/>
      <c r="S26" s="837"/>
      <c r="T26" s="369"/>
    </row>
    <row r="27" spans="1:96" ht="18" customHeight="1">
      <c r="A27" s="185"/>
      <c r="B27" s="397"/>
      <c r="C27" s="185"/>
      <c r="D27" s="357"/>
      <c r="E27" s="185"/>
      <c r="F27" s="185"/>
      <c r="G27" s="185"/>
      <c r="H27" s="185"/>
      <c r="I27" s="185"/>
      <c r="J27" s="185"/>
      <c r="K27" s="185"/>
      <c r="M27" s="368"/>
      <c r="N27" s="669"/>
      <c r="O27" s="669"/>
      <c r="P27" s="841" t="s">
        <v>2875</v>
      </c>
      <c r="Q27" s="841"/>
      <c r="R27" s="841"/>
      <c r="S27" s="836"/>
      <c r="T27" s="369"/>
      <c r="U27" s="772"/>
    </row>
    <row r="28" spans="1:96" ht="12.75" customHeight="1">
      <c r="A28" s="185"/>
      <c r="B28" s="397"/>
      <c r="C28" s="185"/>
      <c r="D28" s="357"/>
      <c r="E28" s="185"/>
      <c r="F28" s="185"/>
      <c r="G28" s="185"/>
      <c r="H28" s="185"/>
      <c r="I28" s="185"/>
      <c r="J28" s="185"/>
      <c r="K28" s="185"/>
      <c r="M28" s="368"/>
      <c r="N28" s="669"/>
      <c r="O28" s="669"/>
      <c r="P28" s="840"/>
      <c r="Q28" s="840"/>
      <c r="R28" s="837"/>
      <c r="S28" s="1564"/>
      <c r="T28" s="369"/>
    </row>
    <row r="29" spans="1:96" ht="16.5" customHeight="1">
      <c r="A29" s="185"/>
      <c r="B29" s="397"/>
      <c r="C29" s="185"/>
      <c r="D29" s="357"/>
      <c r="E29" s="185"/>
      <c r="F29" s="185"/>
      <c r="G29" s="185"/>
      <c r="H29" s="185"/>
      <c r="I29" s="185"/>
      <c r="J29" s="185"/>
      <c r="K29" s="185"/>
      <c r="M29" s="368"/>
      <c r="N29" s="669"/>
      <c r="O29" s="669"/>
      <c r="P29" s="840" t="s">
        <v>2675</v>
      </c>
      <c r="Q29" s="840"/>
      <c r="R29" s="840"/>
      <c r="S29" s="669"/>
      <c r="T29" s="369"/>
    </row>
    <row r="30" spans="1:96" ht="17.25" customHeight="1">
      <c r="A30" s="185"/>
      <c r="B30" s="397"/>
      <c r="C30" s="185"/>
      <c r="D30" s="357"/>
      <c r="E30" s="185"/>
      <c r="F30" s="185"/>
      <c r="G30" s="185"/>
      <c r="H30" s="185"/>
      <c r="I30" s="185"/>
      <c r="J30" s="185"/>
      <c r="K30" s="185"/>
      <c r="M30" s="368"/>
      <c r="P30" s="841" t="s">
        <v>2281</v>
      </c>
      <c r="Q30" s="841"/>
      <c r="R30" s="841"/>
      <c r="T30" s="369"/>
    </row>
    <row r="31" spans="1:96" s="1849" customFormat="1" ht="17.25" customHeight="1">
      <c r="A31" s="185"/>
      <c r="B31" s="397"/>
      <c r="C31" s="185"/>
      <c r="D31" s="357"/>
      <c r="E31" s="185"/>
      <c r="F31" s="185"/>
      <c r="G31" s="185"/>
      <c r="H31" s="185"/>
      <c r="I31" s="185"/>
      <c r="J31" s="185"/>
      <c r="K31" s="185"/>
      <c r="L31" s="193"/>
      <c r="M31" s="368"/>
      <c r="N31" s="193"/>
      <c r="O31" s="193"/>
      <c r="P31" s="841"/>
      <c r="Q31" s="841"/>
      <c r="R31" s="841"/>
      <c r="S31" s="193"/>
      <c r="T31" s="369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</row>
    <row r="32" spans="1:96" s="1849" customFormat="1" ht="17.25" customHeight="1">
      <c r="A32" s="185"/>
      <c r="B32" s="397"/>
      <c r="C32" s="185"/>
      <c r="D32" s="357"/>
      <c r="E32" s="185"/>
      <c r="F32" s="185"/>
      <c r="G32" s="185"/>
      <c r="H32" s="185"/>
      <c r="I32" s="185"/>
      <c r="J32" s="185"/>
      <c r="K32" s="185"/>
      <c r="L32" s="193"/>
      <c r="M32" s="368"/>
      <c r="N32" s="193"/>
      <c r="O32" s="193"/>
      <c r="P32" s="840" t="s">
        <v>2958</v>
      </c>
      <c r="Q32" s="840"/>
      <c r="R32" s="841"/>
      <c r="S32" s="193"/>
      <c r="T32" s="369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</row>
    <row r="33" spans="1:96" s="1154" customFormat="1" ht="17.25" customHeight="1">
      <c r="A33" s="185"/>
      <c r="B33" s="397"/>
      <c r="C33" s="185"/>
      <c r="D33" s="357"/>
      <c r="E33" s="185"/>
      <c r="F33" s="185"/>
      <c r="G33" s="185"/>
      <c r="H33" s="185"/>
      <c r="I33" s="185"/>
      <c r="J33" s="185"/>
      <c r="K33" s="185"/>
      <c r="L33" s="193"/>
      <c r="M33" s="368"/>
      <c r="N33" s="194"/>
      <c r="O33" s="194"/>
      <c r="P33" s="841" t="s">
        <v>2281</v>
      </c>
      <c r="Q33" s="841"/>
      <c r="R33" s="194"/>
      <c r="S33" s="194"/>
      <c r="T33" s="369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</row>
    <row r="34" spans="1:96" s="1154" customFormat="1" ht="17.25" customHeight="1" thickBot="1">
      <c r="A34" s="185"/>
      <c r="B34" s="397"/>
      <c r="C34" s="185"/>
      <c r="D34" s="357"/>
      <c r="E34" s="185"/>
      <c r="F34" s="185"/>
      <c r="G34" s="185"/>
      <c r="H34" s="185"/>
      <c r="I34" s="185"/>
      <c r="J34" s="185"/>
      <c r="K34" s="185"/>
      <c r="L34" s="193"/>
      <c r="M34" s="370"/>
      <c r="N34" s="1565"/>
      <c r="O34" s="1565"/>
      <c r="P34" s="1565"/>
      <c r="Q34" s="1565"/>
      <c r="R34" s="1565"/>
      <c r="S34" s="1565"/>
      <c r="T34" s="371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</row>
    <row r="35" spans="1:96" s="1154" customFormat="1" ht="17.25" customHeight="1">
      <c r="A35" s="185"/>
      <c r="B35" s="397"/>
      <c r="C35" s="185"/>
      <c r="D35" s="357"/>
      <c r="E35" s="185"/>
      <c r="F35" s="185"/>
      <c r="G35" s="185"/>
      <c r="H35" s="185"/>
      <c r="I35" s="185"/>
      <c r="J35" s="185"/>
      <c r="K35" s="185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</row>
    <row r="36" spans="1:96" s="1154" customFormat="1" ht="17.25" customHeight="1">
      <c r="A36" s="185"/>
      <c r="B36" s="397"/>
      <c r="C36" s="185"/>
      <c r="D36" s="357"/>
      <c r="E36" s="185"/>
      <c r="F36" s="185"/>
      <c r="G36" s="185"/>
      <c r="H36" s="185"/>
      <c r="I36" s="185"/>
      <c r="J36" s="185"/>
      <c r="K36" s="185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</row>
    <row r="37" spans="1:96" s="1154" customFormat="1" ht="17.25" customHeight="1">
      <c r="A37" s="185"/>
      <c r="B37" s="397"/>
      <c r="C37" s="185"/>
      <c r="D37" s="357"/>
      <c r="E37" s="185"/>
      <c r="F37" s="185"/>
      <c r="G37" s="185"/>
      <c r="H37" s="185"/>
      <c r="I37" s="185"/>
      <c r="J37" s="185"/>
      <c r="K37" s="185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</row>
    <row r="38" spans="1:96" s="1154" customFormat="1" ht="17.25" customHeight="1">
      <c r="A38" s="185"/>
      <c r="B38" s="397"/>
      <c r="C38" s="185"/>
      <c r="D38" s="357"/>
      <c r="E38" s="185"/>
      <c r="F38" s="185"/>
      <c r="G38" s="185"/>
      <c r="H38" s="185"/>
      <c r="I38" s="185"/>
      <c r="J38" s="185"/>
      <c r="K38" s="185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</row>
    <row r="39" spans="1:96" ht="15" customHeight="1">
      <c r="A39" s="185"/>
      <c r="B39" s="397"/>
      <c r="C39" s="185"/>
      <c r="D39" s="357"/>
      <c r="E39" s="185"/>
      <c r="F39" s="185"/>
      <c r="G39" s="185"/>
      <c r="H39" s="185"/>
      <c r="I39" s="185"/>
      <c r="J39" s="185"/>
      <c r="K39" s="185"/>
    </row>
    <row r="40" spans="1:96" ht="15" customHeight="1">
      <c r="A40" s="185"/>
      <c r="B40" s="397"/>
      <c r="C40" s="185"/>
      <c r="D40" s="357"/>
      <c r="E40" s="185"/>
      <c r="F40" s="185"/>
      <c r="G40" s="185"/>
      <c r="H40" s="185"/>
      <c r="I40" s="185"/>
      <c r="J40" s="185"/>
      <c r="K40" s="185"/>
    </row>
    <row r="41" spans="1:96" ht="15" customHeight="1">
      <c r="A41" s="185"/>
      <c r="B41" s="397"/>
      <c r="C41" s="185"/>
      <c r="D41" s="357"/>
      <c r="E41" s="185"/>
      <c r="F41" s="185"/>
      <c r="G41" s="185"/>
      <c r="H41" s="185"/>
      <c r="I41" s="185"/>
      <c r="J41" s="185"/>
      <c r="K41" s="185"/>
    </row>
    <row r="42" spans="1:96" ht="12.75" customHeight="1">
      <c r="A42" s="185"/>
      <c r="B42" s="397"/>
      <c r="C42" s="185"/>
      <c r="D42" s="357"/>
      <c r="E42" s="185"/>
      <c r="F42" s="185"/>
      <c r="G42" s="185"/>
      <c r="H42" s="185"/>
      <c r="I42" s="185"/>
      <c r="J42" s="185"/>
      <c r="K42" s="185"/>
      <c r="N42" s="194"/>
      <c r="O42" s="194"/>
      <c r="P42" s="211"/>
      <c r="Q42" s="1880"/>
      <c r="R42" s="1881"/>
      <c r="S42" s="1881"/>
      <c r="T42" s="194"/>
    </row>
    <row r="43" spans="1:96" ht="21.75" customHeight="1" thickBot="1">
      <c r="A43" s="185"/>
      <c r="B43" s="397"/>
      <c r="C43" s="185"/>
      <c r="D43" s="357"/>
      <c r="E43" s="185"/>
      <c r="F43" s="185"/>
      <c r="G43" s="185"/>
      <c r="H43" s="185"/>
      <c r="I43" s="185"/>
      <c r="J43" s="185"/>
      <c r="K43" s="185"/>
      <c r="N43" s="194"/>
      <c r="O43" s="194"/>
      <c r="P43" s="194"/>
      <c r="Q43" s="194"/>
      <c r="R43" s="194"/>
      <c r="S43" s="194"/>
      <c r="T43" s="194"/>
    </row>
    <row r="44" spans="1:96" ht="30.75" customHeight="1">
      <c r="A44" s="185"/>
      <c r="B44" s="397"/>
      <c r="C44" s="682"/>
      <c r="D44" s="683"/>
      <c r="E44" s="683"/>
      <c r="F44" s="683"/>
      <c r="G44" s="683"/>
      <c r="H44" s="683"/>
      <c r="I44" s="683"/>
      <c r="J44" s="684"/>
      <c r="K44" s="185"/>
      <c r="M44" s="1870" t="s">
        <v>1324</v>
      </c>
      <c r="N44" s="1871"/>
      <c r="O44" s="1871"/>
      <c r="P44" s="1871"/>
      <c r="Q44" s="1871"/>
      <c r="R44" s="1871"/>
      <c r="S44" s="1871"/>
      <c r="T44" s="1872"/>
      <c r="CK44"/>
      <c r="CL44"/>
      <c r="CM44"/>
      <c r="CN44"/>
      <c r="CO44"/>
      <c r="CP44"/>
      <c r="CQ44"/>
      <c r="CR44"/>
    </row>
    <row r="45" spans="1:96" s="774" customFormat="1" ht="21" customHeight="1">
      <c r="A45" s="773"/>
      <c r="B45" s="397"/>
      <c r="C45" s="1867" t="s">
        <v>866</v>
      </c>
      <c r="D45" s="1868"/>
      <c r="E45" s="1868"/>
      <c r="F45" s="1868"/>
      <c r="G45" s="1868"/>
      <c r="H45" s="1868"/>
      <c r="I45" s="1868"/>
      <c r="J45" s="1869"/>
      <c r="K45" s="373"/>
      <c r="L45" s="772"/>
      <c r="M45" s="1873"/>
      <c r="N45" s="1874"/>
      <c r="O45" s="1874"/>
      <c r="P45" s="1874"/>
      <c r="Q45" s="1874"/>
      <c r="R45" s="1874"/>
      <c r="S45" s="1874"/>
      <c r="T45" s="1875"/>
      <c r="U45" s="772"/>
      <c r="V45" s="772"/>
      <c r="W45" s="772"/>
      <c r="X45" s="772"/>
      <c r="Y45" s="772"/>
      <c r="Z45" s="772"/>
      <c r="AA45" s="772"/>
      <c r="AB45" s="772"/>
      <c r="AC45" s="772"/>
      <c r="AD45" s="772"/>
      <c r="AE45" s="772"/>
      <c r="AF45" s="772"/>
      <c r="AG45" s="772"/>
      <c r="AH45" s="772"/>
      <c r="AI45" s="772"/>
      <c r="AJ45" s="772"/>
      <c r="AK45" s="772"/>
      <c r="AL45" s="772"/>
      <c r="AM45" s="772"/>
      <c r="AN45" s="772"/>
      <c r="AO45" s="772"/>
      <c r="AP45" s="772"/>
      <c r="AQ45" s="772"/>
      <c r="AR45" s="772"/>
      <c r="AS45" s="772"/>
      <c r="AT45" s="772"/>
      <c r="AU45" s="772"/>
      <c r="AV45" s="772"/>
      <c r="AW45" s="772"/>
      <c r="AX45" s="772"/>
      <c r="AY45" s="772"/>
      <c r="AZ45" s="772"/>
      <c r="BA45" s="772"/>
      <c r="BB45" s="772"/>
      <c r="BC45" s="772"/>
      <c r="BD45" s="772"/>
      <c r="BE45" s="772"/>
      <c r="BF45" s="772"/>
      <c r="BG45" s="772"/>
      <c r="BH45" s="772"/>
      <c r="BI45" s="772"/>
      <c r="BJ45" s="772"/>
      <c r="BK45" s="772"/>
      <c r="BL45" s="772"/>
      <c r="BM45" s="772"/>
      <c r="BN45" s="772"/>
      <c r="BO45" s="772"/>
      <c r="BP45" s="772"/>
      <c r="BQ45" s="772"/>
      <c r="BR45" s="772"/>
      <c r="BS45" s="772"/>
      <c r="BT45" s="772"/>
      <c r="BU45" s="772"/>
      <c r="BV45" s="772"/>
      <c r="BW45" s="772"/>
      <c r="BX45" s="772"/>
      <c r="BY45" s="772"/>
      <c r="BZ45" s="772"/>
      <c r="CA45" s="772"/>
      <c r="CB45" s="772"/>
      <c r="CC45" s="772"/>
      <c r="CD45" s="772"/>
      <c r="CE45" s="772"/>
      <c r="CF45" s="772"/>
      <c r="CG45" s="772"/>
      <c r="CH45" s="772"/>
      <c r="CI45" s="772"/>
      <c r="CJ45" s="772"/>
    </row>
    <row r="46" spans="1:96" s="776" customFormat="1" ht="19.5" customHeight="1">
      <c r="A46" s="773"/>
      <c r="B46" s="359"/>
      <c r="C46" s="1878" t="s">
        <v>867</v>
      </c>
      <c r="D46" s="1868"/>
      <c r="E46" s="1868"/>
      <c r="F46" s="1868"/>
      <c r="G46" s="1868"/>
      <c r="H46" s="1868"/>
      <c r="I46" s="1868"/>
      <c r="J46" s="1869"/>
      <c r="K46" s="374"/>
      <c r="L46" s="775"/>
      <c r="M46" s="1873"/>
      <c r="N46" s="1874"/>
      <c r="O46" s="1874"/>
      <c r="P46" s="1874"/>
      <c r="Q46" s="1874"/>
      <c r="R46" s="1874"/>
      <c r="S46" s="1874"/>
      <c r="T46" s="1875"/>
      <c r="U46" s="775"/>
      <c r="V46" s="775"/>
      <c r="W46" s="775"/>
      <c r="X46" s="775"/>
      <c r="Y46" s="775"/>
      <c r="Z46" s="775"/>
      <c r="AA46" s="775"/>
      <c r="AB46" s="775"/>
      <c r="AC46" s="775"/>
      <c r="AD46" s="775"/>
      <c r="AE46" s="775"/>
      <c r="AF46" s="775"/>
      <c r="AG46" s="775"/>
      <c r="AH46" s="775"/>
      <c r="AI46" s="775"/>
      <c r="AJ46" s="775"/>
      <c r="AK46" s="775"/>
      <c r="AL46" s="775"/>
      <c r="AM46" s="775"/>
      <c r="AN46" s="775"/>
      <c r="AO46" s="775"/>
      <c r="AP46" s="775"/>
      <c r="AQ46" s="775"/>
      <c r="AR46" s="775"/>
      <c r="AS46" s="775"/>
      <c r="AT46" s="775"/>
      <c r="AU46" s="775"/>
      <c r="AV46" s="775"/>
      <c r="AW46" s="775"/>
      <c r="AX46" s="775"/>
      <c r="AY46" s="775"/>
      <c r="AZ46" s="775"/>
      <c r="BA46" s="775"/>
      <c r="BB46" s="775"/>
      <c r="BC46" s="775"/>
      <c r="BD46" s="775"/>
      <c r="BE46" s="775"/>
      <c r="BF46" s="775"/>
      <c r="BG46" s="775"/>
      <c r="BH46" s="775"/>
      <c r="BI46" s="775"/>
      <c r="BJ46" s="775"/>
      <c r="BK46" s="775"/>
      <c r="BL46" s="775"/>
      <c r="BM46" s="775"/>
      <c r="BN46" s="775"/>
      <c r="BO46" s="775"/>
      <c r="BP46" s="775"/>
      <c r="BQ46" s="775"/>
      <c r="BR46" s="775"/>
      <c r="BS46" s="775"/>
      <c r="BT46" s="775"/>
      <c r="BU46" s="775"/>
      <c r="BV46" s="775"/>
      <c r="BW46" s="775"/>
      <c r="BX46" s="775"/>
      <c r="BY46" s="775"/>
      <c r="BZ46" s="775"/>
      <c r="CA46" s="775"/>
      <c r="CB46" s="775"/>
      <c r="CC46" s="775"/>
      <c r="CD46" s="775"/>
      <c r="CE46" s="775"/>
      <c r="CF46" s="775"/>
      <c r="CG46" s="775"/>
      <c r="CH46" s="775"/>
      <c r="CI46" s="775"/>
      <c r="CJ46" s="775"/>
    </row>
    <row r="47" spans="1:96" s="776" customFormat="1" ht="18.75" customHeight="1">
      <c r="A47" s="773"/>
      <c r="B47" s="359"/>
      <c r="C47" s="1876" t="s">
        <v>2960</v>
      </c>
      <c r="D47" s="1868"/>
      <c r="E47" s="1868"/>
      <c r="F47" s="1868"/>
      <c r="G47" s="1868"/>
      <c r="H47" s="1868"/>
      <c r="I47" s="1868"/>
      <c r="J47" s="1869"/>
      <c r="K47" s="375"/>
      <c r="L47" s="775"/>
      <c r="M47" s="1873"/>
      <c r="N47" s="1874"/>
      <c r="O47" s="1874"/>
      <c r="P47" s="1874"/>
      <c r="Q47" s="1874"/>
      <c r="R47" s="1874"/>
      <c r="S47" s="1874"/>
      <c r="T47" s="1875"/>
      <c r="U47" s="775"/>
      <c r="V47" s="775"/>
      <c r="W47" s="775"/>
      <c r="X47" s="775"/>
      <c r="Y47" s="775"/>
      <c r="Z47" s="775"/>
      <c r="AA47" s="775"/>
      <c r="AB47" s="775"/>
      <c r="AC47" s="775"/>
      <c r="AD47" s="775"/>
      <c r="AE47" s="775"/>
      <c r="AF47" s="775"/>
      <c r="AG47" s="775"/>
      <c r="AH47" s="775"/>
      <c r="AI47" s="775"/>
      <c r="AJ47" s="775"/>
      <c r="AK47" s="775"/>
      <c r="AL47" s="775"/>
      <c r="AM47" s="775"/>
      <c r="AN47" s="775"/>
      <c r="AO47" s="775"/>
      <c r="AP47" s="775"/>
      <c r="AQ47" s="775"/>
      <c r="AR47" s="775"/>
      <c r="AS47" s="775"/>
      <c r="AT47" s="775"/>
      <c r="AU47" s="775"/>
      <c r="AV47" s="775"/>
      <c r="AW47" s="775"/>
      <c r="AX47" s="775"/>
      <c r="AY47" s="775"/>
      <c r="AZ47" s="775"/>
      <c r="BA47" s="775"/>
      <c r="BB47" s="775"/>
      <c r="BC47" s="775"/>
      <c r="BD47" s="775"/>
      <c r="BE47" s="775"/>
      <c r="BF47" s="775"/>
      <c r="BG47" s="775"/>
      <c r="BH47" s="775"/>
      <c r="BI47" s="775"/>
      <c r="BJ47" s="775"/>
      <c r="BK47" s="775"/>
      <c r="BL47" s="775"/>
      <c r="BM47" s="775"/>
      <c r="BN47" s="775"/>
      <c r="BO47" s="775"/>
      <c r="BP47" s="775"/>
      <c r="BQ47" s="775"/>
      <c r="BR47" s="775"/>
      <c r="BS47" s="775"/>
      <c r="BT47" s="775"/>
      <c r="BU47" s="775"/>
      <c r="BV47" s="775"/>
      <c r="BW47" s="775"/>
      <c r="BX47" s="775"/>
      <c r="BY47" s="775"/>
      <c r="BZ47" s="775"/>
      <c r="CA47" s="775"/>
      <c r="CB47" s="775"/>
      <c r="CC47" s="775"/>
      <c r="CD47" s="775"/>
      <c r="CE47" s="775"/>
      <c r="CF47" s="775"/>
      <c r="CG47" s="775"/>
      <c r="CH47" s="775"/>
      <c r="CI47" s="775"/>
      <c r="CJ47" s="775"/>
    </row>
    <row r="48" spans="1:96" s="193" customFormat="1" ht="20.25" customHeight="1">
      <c r="B48" s="777"/>
      <c r="C48" s="677"/>
      <c r="D48" s="678"/>
      <c r="E48" s="678"/>
      <c r="F48" s="678"/>
      <c r="G48" s="678"/>
      <c r="H48" s="678"/>
      <c r="I48" s="678"/>
      <c r="J48" s="679"/>
      <c r="K48" s="372"/>
      <c r="M48" s="671"/>
      <c r="N48" s="672"/>
      <c r="O48" s="1862" t="s">
        <v>2428</v>
      </c>
      <c r="P48" s="1862"/>
      <c r="Q48" s="1862"/>
      <c r="R48" s="1862"/>
      <c r="S48" s="1862"/>
      <c r="T48" s="1294"/>
    </row>
    <row r="49" spans="2:20" s="193" customFormat="1" ht="15.75" customHeight="1">
      <c r="B49" s="777"/>
      <c r="C49" s="677"/>
      <c r="D49" s="678"/>
      <c r="E49" s="678"/>
      <c r="F49" s="678"/>
      <c r="G49" s="678"/>
      <c r="H49" s="678"/>
      <c r="I49" s="678"/>
      <c r="J49" s="679"/>
      <c r="K49" s="372"/>
      <c r="M49" s="673"/>
      <c r="N49" s="674"/>
      <c r="O49" s="1864" t="s">
        <v>2427</v>
      </c>
      <c r="P49" s="1864"/>
      <c r="Q49" s="1864"/>
      <c r="R49" s="1864"/>
      <c r="S49" s="842"/>
      <c r="T49" s="843"/>
    </row>
    <row r="50" spans="2:20" s="193" customFormat="1" ht="17.25" customHeight="1">
      <c r="B50" s="777"/>
      <c r="C50" s="677"/>
      <c r="D50" s="678"/>
      <c r="E50" s="678"/>
      <c r="F50" s="678"/>
      <c r="G50" s="678"/>
      <c r="H50" s="678"/>
      <c r="I50" s="678"/>
      <c r="J50" s="679"/>
      <c r="K50" s="372"/>
      <c r="M50" s="673"/>
      <c r="N50" s="674"/>
      <c r="O50" s="1864" t="s">
        <v>799</v>
      </c>
      <c r="P50" s="1864"/>
      <c r="Q50" s="1864"/>
      <c r="R50" s="1557"/>
      <c r="S50" s="844"/>
      <c r="T50" s="845"/>
    </row>
    <row r="51" spans="2:20" s="193" customFormat="1" ht="17.25" customHeight="1">
      <c r="B51" s="777"/>
      <c r="C51" s="685"/>
      <c r="D51" s="686"/>
      <c r="E51" s="686"/>
      <c r="F51" s="686"/>
      <c r="G51" s="686"/>
      <c r="H51" s="686"/>
      <c r="I51" s="686"/>
      <c r="J51" s="687"/>
      <c r="K51" s="372"/>
      <c r="M51" s="673"/>
      <c r="N51" s="670"/>
      <c r="O51" s="1864" t="s">
        <v>800</v>
      </c>
      <c r="P51" s="1864"/>
      <c r="Q51" s="1864"/>
      <c r="R51" s="1557"/>
      <c r="S51" s="1556"/>
      <c r="T51" s="845"/>
    </row>
    <row r="52" spans="2:20" s="193" customFormat="1" ht="24.75" customHeight="1">
      <c r="B52" s="777"/>
      <c r="C52" s="1476"/>
      <c r="D52" s="1477"/>
      <c r="E52" s="1477"/>
      <c r="F52" s="1477"/>
      <c r="G52" s="1477"/>
      <c r="H52" s="1477"/>
      <c r="I52" s="1477"/>
      <c r="J52" s="1478"/>
      <c r="K52" s="372"/>
      <c r="M52" s="676"/>
      <c r="N52" s="670"/>
      <c r="O52" s="1864" t="s">
        <v>1325</v>
      </c>
      <c r="P52" s="1864"/>
      <c r="Q52" s="1864"/>
      <c r="R52" s="1557"/>
      <c r="S52" s="1556"/>
      <c r="T52" s="845"/>
    </row>
    <row r="53" spans="2:20" s="193" customFormat="1" ht="15.75" customHeight="1">
      <c r="B53" s="777"/>
      <c r="C53" s="1476"/>
      <c r="D53" s="1477"/>
      <c r="E53" s="1477"/>
      <c r="F53" s="1477"/>
      <c r="G53" s="1477"/>
      <c r="H53" s="1477"/>
      <c r="I53" s="1477"/>
      <c r="J53" s="1478"/>
      <c r="K53" s="372"/>
      <c r="M53" s="676"/>
      <c r="N53" s="670"/>
      <c r="O53" s="1557"/>
      <c r="P53" s="1557"/>
      <c r="Q53" s="1557"/>
      <c r="R53" s="1557"/>
      <c r="S53" s="1556"/>
      <c r="T53" s="845"/>
    </row>
    <row r="54" spans="2:20" s="193" customFormat="1" ht="18" customHeight="1">
      <c r="B54" s="777"/>
      <c r="C54" s="688"/>
      <c r="D54" s="689"/>
      <c r="E54" s="689"/>
      <c r="F54" s="689"/>
      <c r="G54" s="689"/>
      <c r="H54" s="689"/>
      <c r="I54" s="689"/>
      <c r="J54" s="690"/>
      <c r="K54" s="376"/>
      <c r="M54" s="676"/>
      <c r="N54" s="670"/>
      <c r="O54" s="1862" t="s">
        <v>2877</v>
      </c>
      <c r="P54" s="1862"/>
      <c r="Q54" s="1862"/>
      <c r="R54" s="1862"/>
      <c r="S54" s="1862"/>
      <c r="T54" s="675"/>
    </row>
    <row r="55" spans="2:20" s="193" customFormat="1" ht="18.75" customHeight="1">
      <c r="B55" s="777"/>
      <c r="C55" s="688"/>
      <c r="D55" s="689"/>
      <c r="E55" s="689"/>
      <c r="F55" s="689"/>
      <c r="G55" s="689"/>
      <c r="H55" s="689"/>
      <c r="I55" s="689"/>
      <c r="J55" s="690"/>
      <c r="K55" s="376"/>
      <c r="M55" s="676"/>
      <c r="N55" s="670"/>
      <c r="O55" s="1864" t="s">
        <v>2152</v>
      </c>
      <c r="P55" s="1864"/>
      <c r="Q55" s="1864"/>
      <c r="R55" s="1864"/>
      <c r="S55" s="842"/>
      <c r="T55" s="675"/>
    </row>
    <row r="56" spans="2:20" s="193" customFormat="1" ht="14.25" customHeight="1">
      <c r="B56" s="777"/>
      <c r="C56" s="1476"/>
      <c r="D56" s="1477"/>
      <c r="E56" s="1477"/>
      <c r="F56" s="1477"/>
      <c r="G56" s="1477"/>
      <c r="H56" s="1477"/>
      <c r="I56" s="1477"/>
      <c r="J56" s="1478"/>
      <c r="K56" s="194"/>
      <c r="M56" s="676"/>
      <c r="N56" s="670"/>
      <c r="O56" s="1864" t="s">
        <v>799</v>
      </c>
      <c r="P56" s="1864"/>
      <c r="Q56" s="1864"/>
      <c r="R56" s="1557"/>
      <c r="S56" s="844"/>
      <c r="T56" s="675"/>
    </row>
    <row r="57" spans="2:20" s="193" customFormat="1" ht="14.25" customHeight="1">
      <c r="B57" s="777"/>
      <c r="C57" s="1744"/>
      <c r="D57" s="1745"/>
      <c r="E57" s="1745"/>
      <c r="F57" s="1745"/>
      <c r="G57" s="1745"/>
      <c r="H57" s="1745"/>
      <c r="I57" s="1745"/>
      <c r="J57" s="1746"/>
      <c r="K57" s="194"/>
      <c r="M57" s="673"/>
      <c r="N57" s="674"/>
      <c r="O57" s="1864" t="s">
        <v>800</v>
      </c>
      <c r="P57" s="1864"/>
      <c r="Q57" s="1864"/>
      <c r="R57" s="1557"/>
      <c r="S57" s="1556"/>
      <c r="T57" s="675"/>
    </row>
    <row r="58" spans="2:20" s="193" customFormat="1" ht="20.25" customHeight="1">
      <c r="B58" s="777"/>
      <c r="C58" s="1744"/>
      <c r="D58" s="1745"/>
      <c r="E58" s="1745"/>
      <c r="F58" s="1745"/>
      <c r="G58" s="1745"/>
      <c r="H58" s="1745"/>
      <c r="I58" s="1745"/>
      <c r="J58" s="1746"/>
      <c r="K58" s="194"/>
      <c r="M58" s="673"/>
      <c r="N58" s="674"/>
      <c r="O58" s="1864" t="s">
        <v>1325</v>
      </c>
      <c r="P58" s="1864"/>
      <c r="Q58" s="1864"/>
      <c r="R58" s="1557"/>
      <c r="S58" s="1556"/>
      <c r="T58" s="675"/>
    </row>
    <row r="59" spans="2:20" s="193" customFormat="1" ht="20.25" customHeight="1">
      <c r="B59" s="777"/>
      <c r="C59" s="1744"/>
      <c r="D59" s="1745"/>
      <c r="E59" s="1745"/>
      <c r="F59" s="1745"/>
      <c r="G59" s="1745"/>
      <c r="H59" s="1745"/>
      <c r="I59" s="1745"/>
      <c r="J59" s="1746"/>
      <c r="K59" s="194"/>
      <c r="M59" s="673"/>
      <c r="N59" s="674"/>
      <c r="O59" s="1742"/>
      <c r="P59" s="1742"/>
      <c r="Q59" s="1742"/>
      <c r="R59" s="1742"/>
      <c r="S59" s="1743"/>
      <c r="T59" s="675"/>
    </row>
    <row r="60" spans="2:20" s="193" customFormat="1" ht="20.25" customHeight="1">
      <c r="B60" s="777"/>
      <c r="C60" s="1744"/>
      <c r="D60" s="1745"/>
      <c r="E60" s="1745"/>
      <c r="F60" s="1745"/>
      <c r="G60" s="1745"/>
      <c r="H60" s="1745"/>
      <c r="I60" s="1745"/>
      <c r="J60" s="1746"/>
      <c r="K60" s="194"/>
      <c r="M60" s="673"/>
      <c r="N60" s="674"/>
      <c r="O60" s="1862" t="s">
        <v>2890</v>
      </c>
      <c r="P60" s="1862"/>
      <c r="Q60" s="1862"/>
      <c r="R60" s="1862"/>
      <c r="S60" s="1862"/>
      <c r="T60" s="675"/>
    </row>
    <row r="61" spans="2:20" s="193" customFormat="1" ht="20.25" customHeight="1">
      <c r="B61" s="777"/>
      <c r="C61" s="1889" t="s">
        <v>1892</v>
      </c>
      <c r="D61" s="1890"/>
      <c r="E61" s="1890"/>
      <c r="F61" s="1890"/>
      <c r="G61" s="1890"/>
      <c r="H61" s="1890"/>
      <c r="I61" s="1890"/>
      <c r="J61" s="1891"/>
      <c r="K61" s="194"/>
      <c r="M61" s="673"/>
      <c r="N61" s="674"/>
      <c r="O61" s="1864" t="s">
        <v>2152</v>
      </c>
      <c r="P61" s="1864"/>
      <c r="Q61" s="1864"/>
      <c r="R61" s="1864"/>
      <c r="S61" s="842"/>
      <c r="T61" s="675"/>
    </row>
    <row r="62" spans="2:20" s="193" customFormat="1" ht="20.25" customHeight="1">
      <c r="B62" s="777"/>
      <c r="C62" s="1476"/>
      <c r="D62" s="1477"/>
      <c r="E62" s="1477"/>
      <c r="F62" s="1477"/>
      <c r="G62" s="1477"/>
      <c r="H62" s="1477"/>
      <c r="I62" s="1477"/>
      <c r="J62" s="1478"/>
      <c r="K62" s="194"/>
      <c r="M62" s="673"/>
      <c r="N62" s="674"/>
      <c r="O62" s="1864" t="s">
        <v>799</v>
      </c>
      <c r="P62" s="1864"/>
      <c r="Q62" s="1864"/>
      <c r="R62" s="1742"/>
      <c r="S62" s="844"/>
      <c r="T62" s="675"/>
    </row>
    <row r="63" spans="2:20" s="193" customFormat="1" ht="20.25" customHeight="1">
      <c r="B63" s="777"/>
      <c r="C63" s="1744"/>
      <c r="D63" s="1745"/>
      <c r="E63" s="1745"/>
      <c r="F63" s="1745"/>
      <c r="G63" s="1745"/>
      <c r="H63" s="1745"/>
      <c r="I63" s="1745"/>
      <c r="J63" s="1746"/>
      <c r="K63" s="194"/>
      <c r="M63" s="673"/>
      <c r="N63" s="674"/>
      <c r="O63" s="1864" t="s">
        <v>800</v>
      </c>
      <c r="P63" s="1864"/>
      <c r="Q63" s="1864"/>
      <c r="R63" s="1742"/>
      <c r="S63" s="1743"/>
      <c r="T63" s="675"/>
    </row>
    <row r="64" spans="2:20" s="193" customFormat="1" ht="19.5" customHeight="1">
      <c r="B64" s="777"/>
      <c r="C64" s="688"/>
      <c r="D64" s="689"/>
      <c r="E64" s="689"/>
      <c r="F64" s="689"/>
      <c r="G64" s="689"/>
      <c r="H64" s="689"/>
      <c r="I64" s="689"/>
      <c r="J64" s="690"/>
      <c r="K64" s="194"/>
      <c r="M64" s="673"/>
      <c r="N64" s="674"/>
      <c r="O64" s="1864" t="s">
        <v>1325</v>
      </c>
      <c r="P64" s="1864"/>
      <c r="Q64" s="1864"/>
      <c r="R64" s="1742"/>
      <c r="S64" s="1743"/>
      <c r="T64" s="675"/>
    </row>
    <row r="65" spans="2:20" s="193" customFormat="1" ht="19.5" customHeight="1">
      <c r="B65" s="777"/>
      <c r="C65" s="688"/>
      <c r="D65" s="689"/>
      <c r="E65" s="689"/>
      <c r="F65" s="689"/>
      <c r="G65" s="689"/>
      <c r="H65" s="689"/>
      <c r="I65" s="689"/>
      <c r="J65" s="690"/>
      <c r="K65" s="194"/>
      <c r="M65" s="673"/>
      <c r="N65" s="674"/>
      <c r="O65" s="1742"/>
      <c r="P65" s="1742"/>
      <c r="Q65" s="1742"/>
      <c r="R65" s="1742"/>
      <c r="S65" s="1743"/>
      <c r="T65" s="675"/>
    </row>
    <row r="66" spans="2:20" s="193" customFormat="1" ht="15.75" customHeight="1">
      <c r="B66" s="777"/>
      <c r="C66" s="688"/>
      <c r="D66" s="689"/>
      <c r="E66" s="689"/>
      <c r="F66" s="689"/>
      <c r="G66" s="689"/>
      <c r="H66" s="689"/>
      <c r="I66" s="689"/>
      <c r="J66" s="690"/>
      <c r="K66" s="194"/>
      <c r="M66" s="673"/>
      <c r="N66" s="674"/>
      <c r="O66" s="1862" t="s">
        <v>2879</v>
      </c>
      <c r="P66" s="1862"/>
      <c r="Q66" s="1862"/>
      <c r="R66" s="1862"/>
      <c r="S66" s="1862"/>
      <c r="T66" s="675"/>
    </row>
    <row r="67" spans="2:20" s="193" customFormat="1" ht="14.25" customHeight="1">
      <c r="B67" s="777"/>
      <c r="C67" s="688"/>
      <c r="D67" s="689"/>
      <c r="E67" s="689"/>
      <c r="F67" s="689"/>
      <c r="G67" s="689"/>
      <c r="H67" s="689"/>
      <c r="I67" s="689"/>
      <c r="J67" s="690"/>
      <c r="K67" s="194"/>
      <c r="M67" s="673"/>
      <c r="N67" s="674"/>
      <c r="O67" s="1864" t="s">
        <v>1532</v>
      </c>
      <c r="P67" s="1864"/>
      <c r="Q67" s="1864"/>
      <c r="R67" s="1864"/>
      <c r="S67" s="842"/>
      <c r="T67" s="1294"/>
    </row>
    <row r="68" spans="2:20" s="193" customFormat="1" ht="16.5" customHeight="1">
      <c r="B68" s="777"/>
      <c r="C68" s="688"/>
      <c r="D68" s="689"/>
      <c r="E68" s="689"/>
      <c r="F68" s="689"/>
      <c r="G68" s="689"/>
      <c r="H68" s="689"/>
      <c r="I68" s="689"/>
      <c r="J68" s="690"/>
      <c r="K68" s="194"/>
      <c r="M68" s="673"/>
      <c r="N68" s="674"/>
      <c r="O68" s="1864" t="s">
        <v>799</v>
      </c>
      <c r="P68" s="1864"/>
      <c r="Q68" s="1864"/>
      <c r="R68" s="1557"/>
      <c r="S68" s="844"/>
      <c r="T68" s="675"/>
    </row>
    <row r="69" spans="2:20" s="193" customFormat="1" ht="16.5" customHeight="1">
      <c r="B69" s="777"/>
      <c r="C69" s="688"/>
      <c r="D69" s="689"/>
      <c r="E69" s="689"/>
      <c r="F69" s="689"/>
      <c r="G69" s="689"/>
      <c r="H69" s="689"/>
      <c r="I69" s="689"/>
      <c r="J69" s="690"/>
      <c r="K69" s="194"/>
      <c r="M69" s="673"/>
      <c r="N69" s="674"/>
      <c r="O69" s="1864" t="s">
        <v>800</v>
      </c>
      <c r="P69" s="1864"/>
      <c r="Q69" s="1864"/>
      <c r="R69" s="1557"/>
      <c r="S69" s="1556"/>
      <c r="T69" s="675"/>
    </row>
    <row r="70" spans="2:20" s="193" customFormat="1" ht="16.5" customHeight="1">
      <c r="B70" s="777"/>
      <c r="C70" s="688"/>
      <c r="D70" s="689"/>
      <c r="E70" s="689"/>
      <c r="F70" s="689"/>
      <c r="G70" s="689"/>
      <c r="H70" s="689"/>
      <c r="I70" s="689"/>
      <c r="J70" s="690"/>
      <c r="K70" s="194"/>
      <c r="M70" s="673"/>
      <c r="N70" s="674"/>
      <c r="O70" s="1864" t="s">
        <v>1533</v>
      </c>
      <c r="P70" s="1864"/>
      <c r="Q70" s="1864"/>
      <c r="R70" s="1557"/>
      <c r="S70" s="1556"/>
      <c r="T70" s="675"/>
    </row>
    <row r="71" spans="2:20" s="193" customFormat="1" ht="21" customHeight="1">
      <c r="B71" s="777"/>
      <c r="C71" s="1889" t="s">
        <v>865</v>
      </c>
      <c r="D71" s="1890"/>
      <c r="E71" s="1890"/>
      <c r="F71" s="1890"/>
      <c r="G71" s="1890"/>
      <c r="H71" s="1890"/>
      <c r="I71" s="1890"/>
      <c r="J71" s="1891"/>
      <c r="K71" s="194"/>
      <c r="M71" s="673"/>
      <c r="N71" s="674"/>
      <c r="O71" s="1736"/>
      <c r="P71" s="1736"/>
      <c r="Q71" s="1736"/>
      <c r="R71" s="1736"/>
      <c r="S71" s="1737"/>
      <c r="T71" s="675"/>
    </row>
    <row r="72" spans="2:20" s="193" customFormat="1" ht="15.75" customHeight="1">
      <c r="B72" s="777"/>
      <c r="C72" s="688"/>
      <c r="D72" s="689"/>
      <c r="E72" s="689"/>
      <c r="F72" s="689"/>
      <c r="G72" s="689"/>
      <c r="H72" s="689"/>
      <c r="I72" s="689"/>
      <c r="J72" s="690"/>
      <c r="K72" s="194"/>
      <c r="M72" s="673"/>
      <c r="N72" s="674"/>
      <c r="O72" s="1862" t="s">
        <v>2880</v>
      </c>
      <c r="P72" s="1862"/>
      <c r="Q72" s="1862"/>
      <c r="R72" s="1862"/>
      <c r="S72" s="1862"/>
      <c r="T72" s="675"/>
    </row>
    <row r="73" spans="2:20" s="193" customFormat="1" ht="23.25" customHeight="1">
      <c r="B73" s="777"/>
      <c r="C73" s="688"/>
      <c r="D73" s="689"/>
      <c r="E73" s="689"/>
      <c r="F73" s="689"/>
      <c r="G73" s="689"/>
      <c r="H73" s="689"/>
      <c r="I73" s="689"/>
      <c r="J73" s="690"/>
      <c r="K73" s="194"/>
      <c r="M73" s="673"/>
      <c r="N73" s="674"/>
      <c r="O73" s="1864" t="s">
        <v>2878</v>
      </c>
      <c r="P73" s="1864"/>
      <c r="Q73" s="1864"/>
      <c r="R73" s="1864"/>
      <c r="S73" s="842"/>
      <c r="T73" s="675"/>
    </row>
    <row r="74" spans="2:20" s="193" customFormat="1" ht="16.5" customHeight="1">
      <c r="B74" s="777"/>
      <c r="C74" s="688"/>
      <c r="D74" s="689"/>
      <c r="E74" s="689"/>
      <c r="F74" s="689"/>
      <c r="G74" s="689"/>
      <c r="H74" s="689"/>
      <c r="I74" s="689"/>
      <c r="J74" s="690"/>
      <c r="K74" s="194"/>
      <c r="M74" s="673"/>
      <c r="N74" s="674"/>
      <c r="O74" s="1864" t="s">
        <v>799</v>
      </c>
      <c r="P74" s="1864"/>
      <c r="Q74" s="1864"/>
      <c r="R74" s="1736"/>
      <c r="S74" s="844"/>
      <c r="T74" s="675"/>
    </row>
    <row r="75" spans="2:20" s="193" customFormat="1" ht="16.5" customHeight="1">
      <c r="B75" s="777"/>
      <c r="C75" s="688"/>
      <c r="D75" s="689"/>
      <c r="E75" s="689"/>
      <c r="F75" s="689"/>
      <c r="G75" s="689"/>
      <c r="H75" s="689"/>
      <c r="I75" s="689"/>
      <c r="J75" s="690"/>
      <c r="K75" s="194"/>
      <c r="M75" s="673"/>
      <c r="N75" s="674"/>
      <c r="O75" s="1864" t="s">
        <v>800</v>
      </c>
      <c r="P75" s="1864"/>
      <c r="Q75" s="1864"/>
      <c r="R75" s="1736"/>
      <c r="S75" s="1737"/>
      <c r="T75" s="675"/>
    </row>
    <row r="76" spans="2:20" s="193" customFormat="1" ht="16.5" customHeight="1">
      <c r="B76" s="777"/>
      <c r="C76" s="688"/>
      <c r="D76" s="689"/>
      <c r="E76" s="689"/>
      <c r="F76" s="689"/>
      <c r="G76" s="689"/>
      <c r="H76" s="689"/>
      <c r="I76" s="689"/>
      <c r="J76" s="690"/>
      <c r="K76" s="194"/>
      <c r="M76" s="673"/>
      <c r="N76" s="674"/>
      <c r="O76" s="1864" t="s">
        <v>1533</v>
      </c>
      <c r="P76" s="1864"/>
      <c r="Q76" s="1864"/>
      <c r="R76" s="1736"/>
      <c r="S76" s="1737"/>
      <c r="T76" s="675"/>
    </row>
    <row r="77" spans="2:20" s="193" customFormat="1" ht="16.5" customHeight="1">
      <c r="B77" s="777"/>
      <c r="C77" s="688"/>
      <c r="D77" s="689"/>
      <c r="E77" s="689"/>
      <c r="F77" s="689"/>
      <c r="G77" s="689"/>
      <c r="H77" s="689"/>
      <c r="I77" s="689"/>
      <c r="J77" s="690"/>
      <c r="K77" s="194"/>
      <c r="M77" s="673"/>
      <c r="N77" s="674"/>
      <c r="O77" s="1736"/>
      <c r="P77" s="1736"/>
      <c r="Q77" s="1736"/>
      <c r="R77" s="1736"/>
      <c r="S77" s="1737"/>
      <c r="T77" s="675"/>
    </row>
    <row r="78" spans="2:20" s="193" customFormat="1" ht="18" customHeight="1">
      <c r="B78" s="777"/>
      <c r="C78" s="688"/>
      <c r="D78" s="689"/>
      <c r="E78" s="689"/>
      <c r="F78" s="689"/>
      <c r="G78" s="689"/>
      <c r="H78" s="689"/>
      <c r="I78" s="689"/>
      <c r="J78" s="690"/>
      <c r="K78" s="194"/>
      <c r="M78" s="673"/>
      <c r="N78" s="674"/>
      <c r="O78" s="1862" t="s">
        <v>2674</v>
      </c>
      <c r="P78" s="1862"/>
      <c r="Q78" s="1862"/>
      <c r="R78" s="1862"/>
      <c r="S78" s="1862"/>
      <c r="T78" s="675"/>
    </row>
    <row r="79" spans="2:20" s="193" customFormat="1" ht="19.5" customHeight="1">
      <c r="B79" s="777"/>
      <c r="C79" s="688"/>
      <c r="D79" s="689"/>
      <c r="E79" s="689"/>
      <c r="F79" s="689"/>
      <c r="G79" s="689"/>
      <c r="H79" s="689"/>
      <c r="I79" s="689"/>
      <c r="J79" s="690"/>
      <c r="K79" s="194"/>
      <c r="M79" s="688"/>
      <c r="N79" s="689"/>
      <c r="O79" s="1863" t="s">
        <v>2267</v>
      </c>
      <c r="P79" s="1863"/>
      <c r="Q79" s="1863"/>
      <c r="R79" s="674"/>
      <c r="S79" s="674"/>
      <c r="T79" s="690"/>
    </row>
    <row r="80" spans="2:20" s="193" customFormat="1" ht="15.75" customHeight="1">
      <c r="B80" s="777"/>
      <c r="C80" s="688"/>
      <c r="D80" s="689"/>
      <c r="E80" s="689"/>
      <c r="F80" s="689"/>
      <c r="G80" s="689"/>
      <c r="H80" s="689"/>
      <c r="I80" s="689"/>
      <c r="J80" s="690"/>
      <c r="K80" s="194"/>
      <c r="M80" s="688"/>
      <c r="N80" s="689"/>
      <c r="O80" s="1863" t="s">
        <v>799</v>
      </c>
      <c r="P80" s="1863"/>
      <c r="Q80" s="1863"/>
      <c r="R80" s="674"/>
      <c r="S80" s="674"/>
      <c r="T80" s="690"/>
    </row>
    <row r="81" spans="2:20" s="193" customFormat="1" ht="18" customHeight="1">
      <c r="B81" s="777"/>
      <c r="C81" s="688"/>
      <c r="D81" s="689"/>
      <c r="E81" s="689"/>
      <c r="F81" s="689"/>
      <c r="G81" s="689"/>
      <c r="H81" s="689"/>
      <c r="I81" s="689"/>
      <c r="J81" s="690"/>
      <c r="K81" s="194"/>
      <c r="M81" s="688"/>
      <c r="N81" s="689"/>
      <c r="O81" s="1863" t="s">
        <v>800</v>
      </c>
      <c r="P81" s="1863"/>
      <c r="Q81" s="1863"/>
      <c r="R81" s="674"/>
      <c r="S81" s="674"/>
      <c r="T81" s="690"/>
    </row>
    <row r="82" spans="2:20" s="193" customFormat="1" ht="18" customHeight="1">
      <c r="B82" s="777"/>
      <c r="C82" s="688"/>
      <c r="D82" s="689"/>
      <c r="E82" s="689"/>
      <c r="F82" s="689"/>
      <c r="G82" s="689"/>
      <c r="H82" s="689"/>
      <c r="I82" s="689"/>
      <c r="J82" s="690"/>
      <c r="M82" s="688"/>
      <c r="N82" s="689"/>
      <c r="O82" s="1864" t="s">
        <v>1533</v>
      </c>
      <c r="P82" s="1864"/>
      <c r="Q82" s="1864"/>
      <c r="R82" s="674"/>
      <c r="S82" s="674"/>
      <c r="T82" s="690"/>
    </row>
    <row r="83" spans="2:20" s="193" customFormat="1" ht="18" customHeight="1">
      <c r="B83" s="777"/>
      <c r="C83" s="688"/>
      <c r="D83" s="689"/>
      <c r="E83" s="689"/>
      <c r="F83" s="689"/>
      <c r="G83" s="689"/>
      <c r="H83" s="689"/>
      <c r="I83" s="689"/>
      <c r="J83" s="690"/>
      <c r="M83" s="688"/>
      <c r="N83" s="689"/>
      <c r="O83" s="1848"/>
      <c r="P83" s="1848"/>
      <c r="Q83" s="1848"/>
      <c r="R83" s="674"/>
      <c r="S83" s="674"/>
      <c r="T83" s="690"/>
    </row>
    <row r="84" spans="2:20" s="193" customFormat="1" ht="18" customHeight="1">
      <c r="B84" s="777"/>
      <c r="C84" s="688"/>
      <c r="D84" s="689"/>
      <c r="E84" s="689"/>
      <c r="F84" s="689"/>
      <c r="G84" s="689"/>
      <c r="H84" s="689"/>
      <c r="I84" s="689"/>
      <c r="J84" s="690"/>
      <c r="M84" s="688"/>
      <c r="N84" s="689"/>
      <c r="O84" s="1862" t="s">
        <v>2959</v>
      </c>
      <c r="P84" s="1862"/>
      <c r="Q84" s="1862"/>
      <c r="R84" s="1862"/>
      <c r="S84" s="1862"/>
      <c r="T84" s="690"/>
    </row>
    <row r="85" spans="2:20" s="193" customFormat="1" ht="18" customHeight="1">
      <c r="B85" s="777"/>
      <c r="C85" s="688"/>
      <c r="D85" s="689"/>
      <c r="E85" s="689"/>
      <c r="F85" s="689"/>
      <c r="G85" s="689"/>
      <c r="H85" s="689"/>
      <c r="I85" s="689"/>
      <c r="J85" s="690"/>
      <c r="M85" s="688"/>
      <c r="N85" s="689"/>
      <c r="O85" s="1863" t="s">
        <v>2267</v>
      </c>
      <c r="P85" s="1863"/>
      <c r="Q85" s="1863"/>
      <c r="R85" s="674"/>
      <c r="S85" s="674"/>
      <c r="T85" s="690"/>
    </row>
    <row r="86" spans="2:20" s="193" customFormat="1" ht="18" customHeight="1">
      <c r="B86" s="777"/>
      <c r="C86" s="688"/>
      <c r="D86" s="689"/>
      <c r="E86" s="689"/>
      <c r="F86" s="689"/>
      <c r="G86" s="689"/>
      <c r="H86" s="689"/>
      <c r="I86" s="689"/>
      <c r="J86" s="690"/>
      <c r="M86" s="688"/>
      <c r="N86" s="689"/>
      <c r="O86" s="1863" t="s">
        <v>799</v>
      </c>
      <c r="P86" s="1863"/>
      <c r="Q86" s="1863"/>
      <c r="R86" s="674"/>
      <c r="S86" s="674"/>
      <c r="T86" s="690"/>
    </row>
    <row r="87" spans="2:20" s="193" customFormat="1" ht="18" customHeight="1">
      <c r="B87" s="777"/>
      <c r="C87" s="688"/>
      <c r="D87" s="689"/>
      <c r="E87" s="689"/>
      <c r="F87" s="689"/>
      <c r="G87" s="689"/>
      <c r="H87" s="689"/>
      <c r="I87" s="689"/>
      <c r="J87" s="690"/>
      <c r="M87" s="688"/>
      <c r="N87" s="689"/>
      <c r="O87" s="1863" t="s">
        <v>800</v>
      </c>
      <c r="P87" s="1863"/>
      <c r="Q87" s="1863"/>
      <c r="R87" s="674"/>
      <c r="S87" s="674"/>
      <c r="T87" s="690"/>
    </row>
    <row r="88" spans="2:20" s="193" customFormat="1" ht="18" customHeight="1">
      <c r="B88" s="777"/>
      <c r="C88" s="688"/>
      <c r="D88" s="689"/>
      <c r="E88" s="689"/>
      <c r="F88" s="689"/>
      <c r="G88" s="689"/>
      <c r="H88" s="689"/>
      <c r="I88" s="689"/>
      <c r="J88" s="690"/>
      <c r="M88" s="688"/>
      <c r="N88" s="689"/>
      <c r="O88" s="1864" t="s">
        <v>1533</v>
      </c>
      <c r="P88" s="1864"/>
      <c r="Q88" s="1864"/>
      <c r="R88" s="674"/>
      <c r="S88" s="674"/>
      <c r="T88" s="690"/>
    </row>
    <row r="89" spans="2:20" s="193" customFormat="1" ht="20.100000000000001" customHeight="1" thickBot="1">
      <c r="B89" s="777"/>
      <c r="C89" s="1566"/>
      <c r="D89" s="1565"/>
      <c r="E89" s="1888"/>
      <c r="F89" s="1888"/>
      <c r="G89" s="1888"/>
      <c r="H89" s="1565"/>
      <c r="I89" s="1565"/>
      <c r="J89" s="1567"/>
      <c r="M89" s="1566"/>
      <c r="N89" s="1565"/>
      <c r="O89" s="1888"/>
      <c r="P89" s="1888"/>
      <c r="Q89" s="1888"/>
      <c r="R89" s="1565"/>
      <c r="S89" s="1565"/>
      <c r="T89" s="1567"/>
    </row>
    <row r="90" spans="2:20" s="193" customFormat="1">
      <c r="B90" s="777"/>
    </row>
    <row r="91" spans="2:20" s="193" customFormat="1">
      <c r="B91" s="777"/>
    </row>
    <row r="92" spans="2:20" s="193" customFormat="1">
      <c r="B92" s="777"/>
    </row>
    <row r="93" spans="2:20" s="193" customFormat="1">
      <c r="B93" s="777"/>
    </row>
    <row r="94" spans="2:20" s="193" customFormat="1">
      <c r="B94" s="777"/>
    </row>
    <row r="95" spans="2:20" s="193" customFormat="1">
      <c r="B95" s="777"/>
    </row>
    <row r="96" spans="2:20" s="193" customFormat="1">
      <c r="B96" s="777"/>
    </row>
    <row r="97" spans="2:2" s="193" customFormat="1">
      <c r="B97" s="777"/>
    </row>
    <row r="98" spans="2:2" s="193" customFormat="1">
      <c r="B98" s="777"/>
    </row>
    <row r="99" spans="2:2" s="193" customFormat="1">
      <c r="B99" s="777"/>
    </row>
    <row r="100" spans="2:2" s="193" customFormat="1">
      <c r="B100" s="777"/>
    </row>
    <row r="101" spans="2:2" s="193" customFormat="1">
      <c r="B101" s="777"/>
    </row>
    <row r="102" spans="2:2" s="193" customFormat="1">
      <c r="B102" s="777"/>
    </row>
    <row r="103" spans="2:2" s="193" customFormat="1">
      <c r="B103" s="777"/>
    </row>
    <row r="104" spans="2:2" s="193" customFormat="1">
      <c r="B104" s="777"/>
    </row>
    <row r="105" spans="2:2" s="193" customFormat="1">
      <c r="B105" s="777"/>
    </row>
    <row r="106" spans="2:2" s="193" customFormat="1">
      <c r="B106" s="777"/>
    </row>
    <row r="107" spans="2:2" s="193" customFormat="1">
      <c r="B107" s="777"/>
    </row>
    <row r="108" spans="2:2" s="193" customFormat="1">
      <c r="B108" s="777"/>
    </row>
    <row r="109" spans="2:2" s="193" customFormat="1">
      <c r="B109" s="777"/>
    </row>
    <row r="110" spans="2:2" s="193" customFormat="1">
      <c r="B110" s="777"/>
    </row>
    <row r="111" spans="2:2" s="193" customFormat="1">
      <c r="B111" s="777"/>
    </row>
    <row r="112" spans="2:2" s="193" customFormat="1">
      <c r="B112" s="777"/>
    </row>
    <row r="113" spans="2:2" s="193" customFormat="1">
      <c r="B113" s="777"/>
    </row>
    <row r="114" spans="2:2" s="193" customFormat="1">
      <c r="B114" s="777"/>
    </row>
    <row r="115" spans="2:2" s="193" customFormat="1">
      <c r="B115" s="777"/>
    </row>
    <row r="116" spans="2:2" s="193" customFormat="1">
      <c r="B116" s="777"/>
    </row>
    <row r="117" spans="2:2" s="193" customFormat="1">
      <c r="B117" s="777"/>
    </row>
    <row r="118" spans="2:2" s="193" customFormat="1">
      <c r="B118" s="777"/>
    </row>
    <row r="119" spans="2:2" s="193" customFormat="1">
      <c r="B119" s="777"/>
    </row>
    <row r="120" spans="2:2" s="193" customFormat="1">
      <c r="B120" s="777"/>
    </row>
    <row r="121" spans="2:2" s="193" customFormat="1">
      <c r="B121" s="777"/>
    </row>
    <row r="122" spans="2:2" s="193" customFormat="1">
      <c r="B122" s="777"/>
    </row>
    <row r="123" spans="2:2" s="193" customFormat="1">
      <c r="B123" s="777"/>
    </row>
    <row r="124" spans="2:2" s="193" customFormat="1">
      <c r="B124" s="777"/>
    </row>
    <row r="125" spans="2:2" s="193" customFormat="1">
      <c r="B125" s="777"/>
    </row>
    <row r="126" spans="2:2" s="193" customFormat="1">
      <c r="B126" s="777"/>
    </row>
    <row r="127" spans="2:2" s="193" customFormat="1">
      <c r="B127" s="777"/>
    </row>
    <row r="128" spans="2:2" s="193" customFormat="1">
      <c r="B128" s="777"/>
    </row>
    <row r="129" spans="2:2" s="193" customFormat="1">
      <c r="B129" s="777"/>
    </row>
    <row r="130" spans="2:2" s="193" customFormat="1">
      <c r="B130" s="777"/>
    </row>
    <row r="131" spans="2:2" s="193" customFormat="1">
      <c r="B131" s="777"/>
    </row>
    <row r="132" spans="2:2" s="193" customFormat="1">
      <c r="B132" s="777"/>
    </row>
    <row r="133" spans="2:2" s="193" customFormat="1">
      <c r="B133" s="777"/>
    </row>
    <row r="134" spans="2:2" s="193" customFormat="1">
      <c r="B134" s="777"/>
    </row>
    <row r="135" spans="2:2" s="193" customFormat="1">
      <c r="B135" s="777"/>
    </row>
    <row r="136" spans="2:2" s="193" customFormat="1">
      <c r="B136" s="777"/>
    </row>
    <row r="137" spans="2:2" s="193" customFormat="1">
      <c r="B137" s="777"/>
    </row>
    <row r="138" spans="2:2" s="193" customFormat="1">
      <c r="B138" s="777"/>
    </row>
    <row r="139" spans="2:2" s="193" customFormat="1">
      <c r="B139" s="777"/>
    </row>
    <row r="140" spans="2:2" s="193" customFormat="1">
      <c r="B140" s="777"/>
    </row>
    <row r="141" spans="2:2" s="193" customFormat="1">
      <c r="B141" s="777"/>
    </row>
    <row r="142" spans="2:2" s="193" customFormat="1">
      <c r="B142" s="777"/>
    </row>
    <row r="143" spans="2:2" s="193" customFormat="1">
      <c r="B143" s="777"/>
    </row>
    <row r="144" spans="2:2" s="193" customFormat="1">
      <c r="B144" s="777"/>
    </row>
    <row r="145" spans="2:2" s="193" customFormat="1">
      <c r="B145" s="777"/>
    </row>
    <row r="146" spans="2:2" s="193" customFormat="1">
      <c r="B146" s="777"/>
    </row>
    <row r="147" spans="2:2" s="193" customFormat="1">
      <c r="B147" s="777"/>
    </row>
    <row r="148" spans="2:2" s="193" customFormat="1">
      <c r="B148" s="777"/>
    </row>
    <row r="149" spans="2:2" s="193" customFormat="1">
      <c r="B149" s="777"/>
    </row>
    <row r="150" spans="2:2" s="193" customFormat="1">
      <c r="B150" s="777"/>
    </row>
    <row r="151" spans="2:2" s="193" customFormat="1">
      <c r="B151" s="777"/>
    </row>
    <row r="152" spans="2:2" s="193" customFormat="1">
      <c r="B152" s="777"/>
    </row>
    <row r="153" spans="2:2" s="193" customFormat="1">
      <c r="B153" s="777"/>
    </row>
    <row r="154" spans="2:2" s="193" customFormat="1">
      <c r="B154" s="777"/>
    </row>
    <row r="155" spans="2:2" s="193" customFormat="1">
      <c r="B155" s="777"/>
    </row>
    <row r="156" spans="2:2" s="193" customFormat="1">
      <c r="B156" s="777"/>
    </row>
    <row r="157" spans="2:2" s="193" customFormat="1">
      <c r="B157" s="777"/>
    </row>
    <row r="158" spans="2:2" s="193" customFormat="1">
      <c r="B158" s="777"/>
    </row>
    <row r="159" spans="2:2" s="193" customFormat="1">
      <c r="B159" s="777"/>
    </row>
    <row r="160" spans="2:2" s="193" customFormat="1">
      <c r="B160" s="777"/>
    </row>
    <row r="161" spans="2:2" s="193" customFormat="1">
      <c r="B161" s="777"/>
    </row>
    <row r="162" spans="2:2" s="193" customFormat="1">
      <c r="B162" s="777"/>
    </row>
    <row r="163" spans="2:2" s="193" customFormat="1">
      <c r="B163" s="777"/>
    </row>
    <row r="164" spans="2:2" s="193" customFormat="1">
      <c r="B164" s="777"/>
    </row>
    <row r="165" spans="2:2" s="193" customFormat="1">
      <c r="B165" s="777"/>
    </row>
    <row r="166" spans="2:2" s="193" customFormat="1">
      <c r="B166" s="777"/>
    </row>
    <row r="167" spans="2:2" s="193" customFormat="1">
      <c r="B167" s="777"/>
    </row>
    <row r="168" spans="2:2" s="193" customFormat="1">
      <c r="B168" s="777"/>
    </row>
    <row r="169" spans="2:2" s="193" customFormat="1">
      <c r="B169" s="777"/>
    </row>
    <row r="170" spans="2:2" s="193" customFormat="1">
      <c r="B170" s="777"/>
    </row>
    <row r="171" spans="2:2" s="193" customFormat="1">
      <c r="B171" s="777"/>
    </row>
    <row r="172" spans="2:2" s="193" customFormat="1">
      <c r="B172" s="777"/>
    </row>
    <row r="173" spans="2:2" s="193" customFormat="1">
      <c r="B173" s="777"/>
    </row>
    <row r="174" spans="2:2" s="193" customFormat="1">
      <c r="B174" s="777"/>
    </row>
    <row r="175" spans="2:2" s="193" customFormat="1">
      <c r="B175" s="777"/>
    </row>
    <row r="176" spans="2:2" s="193" customFormat="1">
      <c r="B176" s="777"/>
    </row>
    <row r="177" spans="2:2" s="193" customFormat="1">
      <c r="B177" s="777"/>
    </row>
    <row r="178" spans="2:2" s="193" customFormat="1">
      <c r="B178" s="777"/>
    </row>
    <row r="179" spans="2:2" s="193" customFormat="1">
      <c r="B179" s="777"/>
    </row>
    <row r="180" spans="2:2" s="193" customFormat="1">
      <c r="B180" s="777"/>
    </row>
    <row r="181" spans="2:2" s="193" customFormat="1">
      <c r="B181" s="777"/>
    </row>
    <row r="182" spans="2:2" s="193" customFormat="1">
      <c r="B182" s="777"/>
    </row>
    <row r="183" spans="2:2" s="193" customFormat="1">
      <c r="B183" s="777"/>
    </row>
    <row r="184" spans="2:2" s="193" customFormat="1">
      <c r="B184" s="777"/>
    </row>
    <row r="185" spans="2:2" s="193" customFormat="1">
      <c r="B185" s="777"/>
    </row>
    <row r="186" spans="2:2" s="193" customFormat="1">
      <c r="B186" s="777"/>
    </row>
    <row r="187" spans="2:2" s="193" customFormat="1">
      <c r="B187" s="777"/>
    </row>
    <row r="188" spans="2:2" s="193" customFormat="1">
      <c r="B188" s="777"/>
    </row>
    <row r="189" spans="2:2" s="193" customFormat="1">
      <c r="B189" s="777"/>
    </row>
    <row r="190" spans="2:2" s="193" customFormat="1">
      <c r="B190" s="777"/>
    </row>
    <row r="191" spans="2:2" s="193" customFormat="1">
      <c r="B191" s="777"/>
    </row>
    <row r="192" spans="2:2" s="193" customFormat="1">
      <c r="B192" s="777"/>
    </row>
    <row r="193" spans="2:2" s="193" customFormat="1">
      <c r="B193" s="777"/>
    </row>
    <row r="194" spans="2:2" s="193" customFormat="1">
      <c r="B194" s="777"/>
    </row>
    <row r="195" spans="2:2" s="193" customFormat="1">
      <c r="B195" s="777"/>
    </row>
    <row r="196" spans="2:2" s="193" customFormat="1">
      <c r="B196" s="777"/>
    </row>
    <row r="197" spans="2:2" s="193" customFormat="1">
      <c r="B197" s="777"/>
    </row>
    <row r="198" spans="2:2" s="193" customFormat="1">
      <c r="B198" s="777"/>
    </row>
    <row r="199" spans="2:2" s="193" customFormat="1">
      <c r="B199" s="777"/>
    </row>
    <row r="200" spans="2:2" s="193" customFormat="1">
      <c r="B200" s="777"/>
    </row>
    <row r="201" spans="2:2" s="193" customFormat="1">
      <c r="B201" s="777"/>
    </row>
    <row r="202" spans="2:2" s="193" customFormat="1">
      <c r="B202" s="777"/>
    </row>
    <row r="203" spans="2:2" s="193" customFormat="1">
      <c r="B203" s="777"/>
    </row>
    <row r="204" spans="2:2" s="193" customFormat="1">
      <c r="B204" s="777"/>
    </row>
    <row r="205" spans="2:2" s="193" customFormat="1">
      <c r="B205" s="777"/>
    </row>
    <row r="206" spans="2:2" s="193" customFormat="1">
      <c r="B206" s="777"/>
    </row>
    <row r="207" spans="2:2" s="193" customFormat="1">
      <c r="B207" s="777"/>
    </row>
    <row r="208" spans="2:2" s="193" customFormat="1">
      <c r="B208" s="777"/>
    </row>
    <row r="209" spans="2:2" s="193" customFormat="1">
      <c r="B209" s="777"/>
    </row>
    <row r="210" spans="2:2" s="193" customFormat="1">
      <c r="B210" s="777"/>
    </row>
    <row r="211" spans="2:2" s="193" customFormat="1">
      <c r="B211" s="777"/>
    </row>
    <row r="212" spans="2:2" s="193" customFormat="1">
      <c r="B212" s="777"/>
    </row>
    <row r="213" spans="2:2" s="193" customFormat="1">
      <c r="B213" s="777"/>
    </row>
    <row r="214" spans="2:2" s="193" customFormat="1">
      <c r="B214" s="777"/>
    </row>
    <row r="215" spans="2:2" s="193" customFormat="1">
      <c r="B215" s="777"/>
    </row>
    <row r="216" spans="2:2" s="193" customFormat="1">
      <c r="B216" s="777"/>
    </row>
    <row r="217" spans="2:2" s="193" customFormat="1">
      <c r="B217" s="777"/>
    </row>
    <row r="218" spans="2:2" s="193" customFormat="1">
      <c r="B218" s="777"/>
    </row>
    <row r="219" spans="2:2" s="193" customFormat="1">
      <c r="B219" s="777"/>
    </row>
    <row r="220" spans="2:2" s="193" customFormat="1">
      <c r="B220" s="777"/>
    </row>
    <row r="221" spans="2:2" s="193" customFormat="1">
      <c r="B221" s="777"/>
    </row>
    <row r="222" spans="2:2" s="193" customFormat="1">
      <c r="B222" s="777"/>
    </row>
    <row r="223" spans="2:2" s="193" customFormat="1">
      <c r="B223" s="777"/>
    </row>
    <row r="224" spans="2:2" s="193" customFormat="1">
      <c r="B224" s="777"/>
    </row>
    <row r="225" spans="2:2" s="193" customFormat="1">
      <c r="B225" s="777"/>
    </row>
    <row r="226" spans="2:2" s="193" customFormat="1">
      <c r="B226" s="777"/>
    </row>
    <row r="227" spans="2:2" s="193" customFormat="1">
      <c r="B227" s="777"/>
    </row>
    <row r="228" spans="2:2" s="193" customFormat="1">
      <c r="B228" s="777"/>
    </row>
    <row r="229" spans="2:2" s="193" customFormat="1">
      <c r="B229" s="777"/>
    </row>
    <row r="230" spans="2:2" s="193" customFormat="1">
      <c r="B230" s="777"/>
    </row>
    <row r="231" spans="2:2" s="193" customFormat="1">
      <c r="B231" s="777"/>
    </row>
    <row r="232" spans="2:2" s="193" customFormat="1">
      <c r="B232" s="777"/>
    </row>
    <row r="233" spans="2:2" s="193" customFormat="1">
      <c r="B233" s="777"/>
    </row>
    <row r="234" spans="2:2" s="193" customFormat="1">
      <c r="B234" s="777"/>
    </row>
    <row r="235" spans="2:2" s="193" customFormat="1">
      <c r="B235" s="777"/>
    </row>
    <row r="236" spans="2:2" s="193" customFormat="1">
      <c r="B236" s="777"/>
    </row>
    <row r="237" spans="2:2" s="193" customFormat="1">
      <c r="B237" s="777"/>
    </row>
    <row r="238" spans="2:2" s="193" customFormat="1">
      <c r="B238" s="777"/>
    </row>
    <row r="239" spans="2:2" s="193" customFormat="1">
      <c r="B239" s="777"/>
    </row>
    <row r="240" spans="2:2" s="193" customFormat="1">
      <c r="B240" s="777"/>
    </row>
    <row r="241" spans="2:2" s="193" customFormat="1">
      <c r="B241" s="777"/>
    </row>
    <row r="242" spans="2:2" s="193" customFormat="1">
      <c r="B242" s="777"/>
    </row>
    <row r="243" spans="2:2" s="193" customFormat="1">
      <c r="B243" s="777"/>
    </row>
    <row r="244" spans="2:2" s="193" customFormat="1">
      <c r="B244" s="777"/>
    </row>
    <row r="245" spans="2:2" s="193" customFormat="1">
      <c r="B245" s="777"/>
    </row>
    <row r="246" spans="2:2" s="193" customFormat="1">
      <c r="B246" s="777"/>
    </row>
    <row r="247" spans="2:2" s="193" customFormat="1">
      <c r="B247" s="777"/>
    </row>
    <row r="248" spans="2:2" s="193" customFormat="1">
      <c r="B248" s="777"/>
    </row>
    <row r="249" spans="2:2" s="193" customFormat="1">
      <c r="B249" s="777"/>
    </row>
    <row r="250" spans="2:2" s="193" customFormat="1">
      <c r="B250" s="777"/>
    </row>
    <row r="251" spans="2:2" s="193" customFormat="1">
      <c r="B251" s="777"/>
    </row>
    <row r="252" spans="2:2" s="193" customFormat="1">
      <c r="B252" s="777"/>
    </row>
    <row r="253" spans="2:2" s="193" customFormat="1">
      <c r="B253" s="777"/>
    </row>
    <row r="254" spans="2:2" s="193" customFormat="1">
      <c r="B254" s="777"/>
    </row>
    <row r="255" spans="2:2" s="193" customFormat="1">
      <c r="B255" s="777"/>
    </row>
    <row r="256" spans="2:2" s="193" customFormat="1">
      <c r="B256" s="777"/>
    </row>
    <row r="257" spans="2:2" s="193" customFormat="1">
      <c r="B257" s="777"/>
    </row>
    <row r="258" spans="2:2" s="193" customFormat="1">
      <c r="B258" s="777"/>
    </row>
    <row r="259" spans="2:2" s="193" customFormat="1">
      <c r="B259" s="777"/>
    </row>
    <row r="260" spans="2:2" s="193" customFormat="1">
      <c r="B260" s="777"/>
    </row>
    <row r="261" spans="2:2" s="193" customFormat="1">
      <c r="B261" s="777"/>
    </row>
    <row r="262" spans="2:2" s="193" customFormat="1">
      <c r="B262" s="777"/>
    </row>
    <row r="263" spans="2:2" s="193" customFormat="1">
      <c r="B263" s="777"/>
    </row>
    <row r="264" spans="2:2" s="193" customFormat="1">
      <c r="B264" s="777"/>
    </row>
    <row r="265" spans="2:2" s="193" customFormat="1">
      <c r="B265" s="777"/>
    </row>
    <row r="266" spans="2:2" s="193" customFormat="1">
      <c r="B266" s="777"/>
    </row>
    <row r="267" spans="2:2" s="193" customFormat="1">
      <c r="B267" s="777"/>
    </row>
    <row r="268" spans="2:2" s="193" customFormat="1">
      <c r="B268" s="777"/>
    </row>
    <row r="269" spans="2:2" s="193" customFormat="1">
      <c r="B269" s="777"/>
    </row>
    <row r="270" spans="2:2" s="193" customFormat="1">
      <c r="B270" s="777"/>
    </row>
    <row r="271" spans="2:2" s="193" customFormat="1">
      <c r="B271" s="777"/>
    </row>
    <row r="272" spans="2:2" s="193" customFormat="1">
      <c r="B272" s="777"/>
    </row>
    <row r="273" spans="2:2" s="193" customFormat="1">
      <c r="B273" s="777"/>
    </row>
    <row r="274" spans="2:2" s="193" customFormat="1">
      <c r="B274" s="777"/>
    </row>
    <row r="275" spans="2:2" s="193" customFormat="1">
      <c r="B275" s="777"/>
    </row>
    <row r="276" spans="2:2" s="193" customFormat="1">
      <c r="B276" s="777"/>
    </row>
    <row r="277" spans="2:2" s="193" customFormat="1">
      <c r="B277" s="777"/>
    </row>
    <row r="278" spans="2:2" s="193" customFormat="1">
      <c r="B278" s="777"/>
    </row>
    <row r="279" spans="2:2" s="193" customFormat="1">
      <c r="B279" s="777"/>
    </row>
    <row r="280" spans="2:2" s="193" customFormat="1">
      <c r="B280" s="777"/>
    </row>
    <row r="281" spans="2:2" s="193" customFormat="1">
      <c r="B281" s="777"/>
    </row>
    <row r="282" spans="2:2" s="193" customFormat="1">
      <c r="B282" s="777"/>
    </row>
    <row r="283" spans="2:2" s="193" customFormat="1">
      <c r="B283" s="777"/>
    </row>
    <row r="284" spans="2:2" s="193" customFormat="1">
      <c r="B284" s="777"/>
    </row>
    <row r="285" spans="2:2" s="193" customFormat="1">
      <c r="B285" s="777"/>
    </row>
    <row r="286" spans="2:2" s="193" customFormat="1">
      <c r="B286" s="777"/>
    </row>
    <row r="287" spans="2:2" s="193" customFormat="1">
      <c r="B287" s="777"/>
    </row>
    <row r="288" spans="2:2" s="193" customFormat="1">
      <c r="B288" s="777"/>
    </row>
    <row r="289" spans="2:2" s="193" customFormat="1">
      <c r="B289" s="777"/>
    </row>
    <row r="290" spans="2:2" s="193" customFormat="1">
      <c r="B290" s="777"/>
    </row>
    <row r="291" spans="2:2" s="193" customFormat="1">
      <c r="B291" s="777"/>
    </row>
    <row r="292" spans="2:2" s="193" customFormat="1">
      <c r="B292" s="777"/>
    </row>
    <row r="293" spans="2:2" s="193" customFormat="1">
      <c r="B293" s="777"/>
    </row>
    <row r="294" spans="2:2" s="193" customFormat="1">
      <c r="B294" s="777"/>
    </row>
    <row r="295" spans="2:2" s="193" customFormat="1">
      <c r="B295" s="777"/>
    </row>
    <row r="296" spans="2:2" s="193" customFormat="1">
      <c r="B296" s="777"/>
    </row>
    <row r="297" spans="2:2" s="193" customFormat="1">
      <c r="B297" s="777"/>
    </row>
    <row r="298" spans="2:2" s="193" customFormat="1">
      <c r="B298" s="777"/>
    </row>
    <row r="299" spans="2:2" s="193" customFormat="1">
      <c r="B299" s="777"/>
    </row>
    <row r="300" spans="2:2" s="193" customFormat="1">
      <c r="B300" s="777"/>
    </row>
    <row r="301" spans="2:2" s="193" customFormat="1">
      <c r="B301" s="777"/>
    </row>
    <row r="302" spans="2:2" s="193" customFormat="1">
      <c r="B302" s="777"/>
    </row>
    <row r="303" spans="2:2" s="193" customFormat="1">
      <c r="B303" s="777"/>
    </row>
    <row r="304" spans="2:2" s="193" customFormat="1">
      <c r="B304" s="777"/>
    </row>
    <row r="305" spans="2:2" s="193" customFormat="1">
      <c r="B305" s="777"/>
    </row>
    <row r="306" spans="2:2" s="193" customFormat="1">
      <c r="B306" s="777"/>
    </row>
    <row r="307" spans="2:2" s="193" customFormat="1">
      <c r="B307" s="777"/>
    </row>
    <row r="308" spans="2:2" s="193" customFormat="1">
      <c r="B308" s="777"/>
    </row>
    <row r="309" spans="2:2" s="193" customFormat="1">
      <c r="B309" s="777"/>
    </row>
    <row r="310" spans="2:2" s="193" customFormat="1">
      <c r="B310" s="777"/>
    </row>
    <row r="311" spans="2:2" s="193" customFormat="1">
      <c r="B311" s="777"/>
    </row>
    <row r="312" spans="2:2" s="193" customFormat="1">
      <c r="B312" s="777"/>
    </row>
    <row r="313" spans="2:2" s="193" customFormat="1">
      <c r="B313" s="777"/>
    </row>
    <row r="314" spans="2:2" s="193" customFormat="1">
      <c r="B314" s="777"/>
    </row>
    <row r="315" spans="2:2" s="193" customFormat="1">
      <c r="B315" s="777"/>
    </row>
    <row r="316" spans="2:2" s="193" customFormat="1">
      <c r="B316" s="777"/>
    </row>
    <row r="317" spans="2:2" s="193" customFormat="1">
      <c r="B317" s="777"/>
    </row>
    <row r="318" spans="2:2" s="193" customFormat="1">
      <c r="B318" s="777"/>
    </row>
    <row r="319" spans="2:2" s="193" customFormat="1">
      <c r="B319" s="777"/>
    </row>
    <row r="320" spans="2:2" s="193" customFormat="1">
      <c r="B320" s="777"/>
    </row>
    <row r="321" spans="2:2" s="193" customFormat="1">
      <c r="B321" s="777"/>
    </row>
    <row r="322" spans="2:2" s="193" customFormat="1">
      <c r="B322" s="777"/>
    </row>
    <row r="323" spans="2:2" s="193" customFormat="1">
      <c r="B323" s="777"/>
    </row>
    <row r="324" spans="2:2" s="193" customFormat="1">
      <c r="B324" s="777"/>
    </row>
    <row r="325" spans="2:2" s="193" customFormat="1">
      <c r="B325" s="777"/>
    </row>
    <row r="326" spans="2:2" s="193" customFormat="1">
      <c r="B326" s="777"/>
    </row>
    <row r="327" spans="2:2" s="193" customFormat="1">
      <c r="B327" s="777"/>
    </row>
    <row r="328" spans="2:2" s="193" customFormat="1">
      <c r="B328" s="777"/>
    </row>
    <row r="329" spans="2:2" s="193" customFormat="1">
      <c r="B329" s="777"/>
    </row>
    <row r="330" spans="2:2" s="193" customFormat="1">
      <c r="B330" s="777"/>
    </row>
    <row r="331" spans="2:2" s="193" customFormat="1">
      <c r="B331" s="777"/>
    </row>
    <row r="332" spans="2:2" s="193" customFormat="1">
      <c r="B332" s="777"/>
    </row>
    <row r="333" spans="2:2" s="193" customFormat="1">
      <c r="B333" s="777"/>
    </row>
    <row r="334" spans="2:2" s="193" customFormat="1">
      <c r="B334" s="777"/>
    </row>
    <row r="335" spans="2:2" s="193" customFormat="1">
      <c r="B335" s="777"/>
    </row>
    <row r="336" spans="2:2" s="193" customFormat="1">
      <c r="B336" s="777"/>
    </row>
    <row r="337" spans="2:2" s="193" customFormat="1">
      <c r="B337" s="777"/>
    </row>
    <row r="338" spans="2:2" s="193" customFormat="1">
      <c r="B338" s="777"/>
    </row>
    <row r="339" spans="2:2" s="193" customFormat="1">
      <c r="B339" s="777"/>
    </row>
    <row r="340" spans="2:2" s="193" customFormat="1">
      <c r="B340" s="777"/>
    </row>
    <row r="341" spans="2:2" s="193" customFormat="1">
      <c r="B341" s="777"/>
    </row>
    <row r="342" spans="2:2" s="193" customFormat="1">
      <c r="B342" s="777"/>
    </row>
    <row r="343" spans="2:2" s="193" customFormat="1">
      <c r="B343" s="777"/>
    </row>
    <row r="344" spans="2:2" s="193" customFormat="1">
      <c r="B344" s="777"/>
    </row>
    <row r="345" spans="2:2" s="193" customFormat="1">
      <c r="B345" s="777"/>
    </row>
    <row r="346" spans="2:2" s="193" customFormat="1">
      <c r="B346" s="777"/>
    </row>
    <row r="347" spans="2:2" s="193" customFormat="1">
      <c r="B347" s="777"/>
    </row>
    <row r="348" spans="2:2" s="193" customFormat="1">
      <c r="B348" s="777"/>
    </row>
    <row r="349" spans="2:2" s="193" customFormat="1">
      <c r="B349" s="777"/>
    </row>
    <row r="350" spans="2:2" s="193" customFormat="1">
      <c r="B350" s="777"/>
    </row>
    <row r="351" spans="2:2" s="193" customFormat="1">
      <c r="B351" s="777"/>
    </row>
    <row r="352" spans="2:2" s="193" customFormat="1">
      <c r="B352" s="777"/>
    </row>
    <row r="353" spans="2:2" s="193" customFormat="1">
      <c r="B353" s="777"/>
    </row>
    <row r="354" spans="2:2" s="193" customFormat="1">
      <c r="B354" s="777"/>
    </row>
    <row r="355" spans="2:2" s="193" customFormat="1">
      <c r="B355" s="777"/>
    </row>
    <row r="356" spans="2:2" s="193" customFormat="1">
      <c r="B356" s="777"/>
    </row>
    <row r="357" spans="2:2" s="193" customFormat="1">
      <c r="B357" s="777"/>
    </row>
    <row r="358" spans="2:2" s="193" customFormat="1">
      <c r="B358" s="777"/>
    </row>
    <row r="359" spans="2:2" s="193" customFormat="1">
      <c r="B359" s="777"/>
    </row>
    <row r="360" spans="2:2" s="193" customFormat="1">
      <c r="B360" s="777"/>
    </row>
    <row r="361" spans="2:2" s="193" customFormat="1">
      <c r="B361" s="777"/>
    </row>
    <row r="362" spans="2:2" s="193" customFormat="1">
      <c r="B362" s="777"/>
    </row>
    <row r="363" spans="2:2" s="193" customFormat="1">
      <c r="B363" s="777"/>
    </row>
    <row r="364" spans="2:2" s="193" customFormat="1">
      <c r="B364" s="777"/>
    </row>
    <row r="365" spans="2:2" s="193" customFormat="1">
      <c r="B365" s="777"/>
    </row>
    <row r="366" spans="2:2" s="193" customFormat="1">
      <c r="B366" s="777"/>
    </row>
    <row r="367" spans="2:2" s="193" customFormat="1">
      <c r="B367" s="777"/>
    </row>
    <row r="368" spans="2:2" s="193" customFormat="1">
      <c r="B368" s="777"/>
    </row>
    <row r="369" spans="2:2" s="193" customFormat="1">
      <c r="B369" s="777"/>
    </row>
    <row r="370" spans="2:2" s="193" customFormat="1">
      <c r="B370" s="777"/>
    </row>
    <row r="371" spans="2:2" s="193" customFormat="1">
      <c r="B371" s="777"/>
    </row>
    <row r="372" spans="2:2" s="193" customFormat="1">
      <c r="B372" s="777"/>
    </row>
    <row r="373" spans="2:2" s="193" customFormat="1">
      <c r="B373" s="777"/>
    </row>
    <row r="374" spans="2:2" s="193" customFormat="1">
      <c r="B374" s="777"/>
    </row>
    <row r="375" spans="2:2" s="193" customFormat="1">
      <c r="B375" s="777"/>
    </row>
    <row r="376" spans="2:2" s="193" customFormat="1">
      <c r="B376" s="777"/>
    </row>
    <row r="377" spans="2:2" s="193" customFormat="1">
      <c r="B377" s="777"/>
    </row>
    <row r="378" spans="2:2" s="193" customFormat="1">
      <c r="B378" s="777"/>
    </row>
    <row r="379" spans="2:2" s="193" customFormat="1">
      <c r="B379" s="777"/>
    </row>
    <row r="380" spans="2:2" s="193" customFormat="1">
      <c r="B380" s="777"/>
    </row>
    <row r="381" spans="2:2" s="193" customFormat="1">
      <c r="B381" s="777"/>
    </row>
    <row r="382" spans="2:2" s="193" customFormat="1">
      <c r="B382" s="777"/>
    </row>
    <row r="383" spans="2:2" s="193" customFormat="1">
      <c r="B383" s="777"/>
    </row>
    <row r="384" spans="2:2" s="193" customFormat="1">
      <c r="B384" s="777"/>
    </row>
    <row r="385" spans="2:2" s="193" customFormat="1">
      <c r="B385" s="777"/>
    </row>
    <row r="386" spans="2:2" s="193" customFormat="1">
      <c r="B386" s="777"/>
    </row>
    <row r="387" spans="2:2" s="193" customFormat="1">
      <c r="B387" s="777"/>
    </row>
    <row r="388" spans="2:2" s="193" customFormat="1">
      <c r="B388" s="777"/>
    </row>
    <row r="389" spans="2:2" s="193" customFormat="1">
      <c r="B389" s="777"/>
    </row>
    <row r="390" spans="2:2" s="193" customFormat="1">
      <c r="B390" s="777"/>
    </row>
    <row r="391" spans="2:2" s="193" customFormat="1">
      <c r="B391" s="777"/>
    </row>
    <row r="392" spans="2:2" s="193" customFormat="1">
      <c r="B392" s="777"/>
    </row>
    <row r="393" spans="2:2" s="193" customFormat="1">
      <c r="B393" s="777"/>
    </row>
    <row r="394" spans="2:2" s="193" customFormat="1">
      <c r="B394" s="777"/>
    </row>
    <row r="395" spans="2:2" s="193" customFormat="1">
      <c r="B395" s="777"/>
    </row>
    <row r="396" spans="2:2" s="193" customFormat="1">
      <c r="B396" s="777"/>
    </row>
    <row r="397" spans="2:2" s="193" customFormat="1">
      <c r="B397" s="777"/>
    </row>
    <row r="398" spans="2:2" s="193" customFormat="1">
      <c r="B398" s="777"/>
    </row>
    <row r="399" spans="2:2" s="193" customFormat="1">
      <c r="B399" s="777"/>
    </row>
    <row r="400" spans="2:2" s="193" customFormat="1">
      <c r="B400" s="777"/>
    </row>
    <row r="401" spans="2:2" s="193" customFormat="1">
      <c r="B401" s="777"/>
    </row>
    <row r="402" spans="2:2" s="193" customFormat="1">
      <c r="B402" s="777"/>
    </row>
    <row r="403" spans="2:2" s="193" customFormat="1">
      <c r="B403" s="777"/>
    </row>
    <row r="404" spans="2:2" s="193" customFormat="1">
      <c r="B404" s="777"/>
    </row>
    <row r="405" spans="2:2" s="193" customFormat="1">
      <c r="B405" s="777"/>
    </row>
    <row r="406" spans="2:2" s="193" customFormat="1">
      <c r="B406" s="777"/>
    </row>
    <row r="407" spans="2:2" s="193" customFormat="1">
      <c r="B407" s="777"/>
    </row>
    <row r="408" spans="2:2" s="193" customFormat="1">
      <c r="B408" s="777"/>
    </row>
    <row r="409" spans="2:2" s="193" customFormat="1">
      <c r="B409" s="777"/>
    </row>
    <row r="410" spans="2:2" s="193" customFormat="1">
      <c r="B410" s="777"/>
    </row>
    <row r="411" spans="2:2" s="193" customFormat="1">
      <c r="B411" s="777"/>
    </row>
    <row r="412" spans="2:2" s="193" customFormat="1">
      <c r="B412" s="777"/>
    </row>
    <row r="413" spans="2:2" s="193" customFormat="1">
      <c r="B413" s="777"/>
    </row>
    <row r="414" spans="2:2" s="193" customFormat="1">
      <c r="B414" s="777"/>
    </row>
    <row r="415" spans="2:2" s="193" customFormat="1">
      <c r="B415" s="777"/>
    </row>
    <row r="416" spans="2:2" s="193" customFormat="1">
      <c r="B416" s="777"/>
    </row>
    <row r="417" spans="2:2" s="193" customFormat="1">
      <c r="B417" s="777"/>
    </row>
    <row r="418" spans="2:2" s="193" customFormat="1">
      <c r="B418" s="777"/>
    </row>
    <row r="419" spans="2:2" s="193" customFormat="1">
      <c r="B419" s="777"/>
    </row>
    <row r="420" spans="2:2" s="193" customFormat="1">
      <c r="B420" s="777"/>
    </row>
    <row r="421" spans="2:2" s="193" customFormat="1">
      <c r="B421" s="777"/>
    </row>
    <row r="422" spans="2:2" s="193" customFormat="1">
      <c r="B422" s="777"/>
    </row>
    <row r="423" spans="2:2" s="193" customFormat="1">
      <c r="B423" s="777"/>
    </row>
    <row r="424" spans="2:2" s="193" customFormat="1">
      <c r="B424" s="777"/>
    </row>
    <row r="425" spans="2:2" s="193" customFormat="1">
      <c r="B425" s="777"/>
    </row>
    <row r="426" spans="2:2" s="193" customFormat="1">
      <c r="B426" s="777"/>
    </row>
    <row r="427" spans="2:2" s="193" customFormat="1">
      <c r="B427" s="777"/>
    </row>
    <row r="428" spans="2:2" s="193" customFormat="1">
      <c r="B428" s="777"/>
    </row>
    <row r="429" spans="2:2" s="193" customFormat="1">
      <c r="B429" s="777"/>
    </row>
    <row r="430" spans="2:2" s="193" customFormat="1">
      <c r="B430" s="777"/>
    </row>
    <row r="431" spans="2:2" s="193" customFormat="1">
      <c r="B431" s="777"/>
    </row>
    <row r="432" spans="2:2" s="193" customFormat="1">
      <c r="B432" s="777"/>
    </row>
    <row r="433" spans="2:2" s="193" customFormat="1">
      <c r="B433" s="777"/>
    </row>
    <row r="434" spans="2:2" s="193" customFormat="1">
      <c r="B434" s="777"/>
    </row>
    <row r="435" spans="2:2" s="193" customFormat="1">
      <c r="B435" s="777"/>
    </row>
    <row r="436" spans="2:2" s="193" customFormat="1">
      <c r="B436" s="777"/>
    </row>
    <row r="437" spans="2:2" s="193" customFormat="1">
      <c r="B437" s="777"/>
    </row>
    <row r="438" spans="2:2" s="193" customFormat="1">
      <c r="B438" s="777"/>
    </row>
    <row r="439" spans="2:2" s="193" customFormat="1">
      <c r="B439" s="777"/>
    </row>
    <row r="440" spans="2:2" s="193" customFormat="1">
      <c r="B440" s="777"/>
    </row>
    <row r="441" spans="2:2" s="193" customFormat="1">
      <c r="B441" s="777"/>
    </row>
    <row r="442" spans="2:2" s="193" customFormat="1">
      <c r="B442" s="777"/>
    </row>
    <row r="443" spans="2:2" s="193" customFormat="1">
      <c r="B443" s="777"/>
    </row>
    <row r="444" spans="2:2" s="193" customFormat="1">
      <c r="B444" s="777"/>
    </row>
    <row r="445" spans="2:2" s="193" customFormat="1">
      <c r="B445" s="777"/>
    </row>
    <row r="446" spans="2:2" s="193" customFormat="1">
      <c r="B446" s="777"/>
    </row>
    <row r="447" spans="2:2" s="193" customFormat="1">
      <c r="B447" s="777"/>
    </row>
    <row r="448" spans="2:2" s="193" customFormat="1">
      <c r="B448" s="777"/>
    </row>
    <row r="449" spans="2:2" s="193" customFormat="1">
      <c r="B449" s="777"/>
    </row>
    <row r="450" spans="2:2" s="193" customFormat="1">
      <c r="B450" s="777"/>
    </row>
    <row r="451" spans="2:2" s="193" customFormat="1">
      <c r="B451" s="777"/>
    </row>
    <row r="452" spans="2:2" s="193" customFormat="1">
      <c r="B452" s="777"/>
    </row>
    <row r="453" spans="2:2" s="193" customFormat="1">
      <c r="B453" s="777"/>
    </row>
    <row r="454" spans="2:2" s="193" customFormat="1">
      <c r="B454" s="777"/>
    </row>
    <row r="455" spans="2:2" s="193" customFormat="1">
      <c r="B455" s="777"/>
    </row>
    <row r="456" spans="2:2" s="193" customFormat="1">
      <c r="B456" s="777"/>
    </row>
    <row r="457" spans="2:2" s="193" customFormat="1">
      <c r="B457" s="777"/>
    </row>
    <row r="458" spans="2:2" s="193" customFormat="1">
      <c r="B458" s="777"/>
    </row>
    <row r="459" spans="2:2" s="193" customFormat="1">
      <c r="B459" s="777"/>
    </row>
    <row r="460" spans="2:2" s="193" customFormat="1">
      <c r="B460" s="777"/>
    </row>
    <row r="461" spans="2:2" s="193" customFormat="1">
      <c r="B461" s="777"/>
    </row>
    <row r="462" spans="2:2" s="193" customFormat="1">
      <c r="B462" s="777"/>
    </row>
    <row r="463" spans="2:2" s="193" customFormat="1">
      <c r="B463" s="777"/>
    </row>
    <row r="464" spans="2:2" s="193" customFormat="1">
      <c r="B464" s="777"/>
    </row>
    <row r="465" spans="2:2" s="193" customFormat="1">
      <c r="B465" s="777"/>
    </row>
    <row r="466" spans="2:2" s="193" customFormat="1">
      <c r="B466" s="777"/>
    </row>
    <row r="467" spans="2:2" s="193" customFormat="1">
      <c r="B467" s="777"/>
    </row>
    <row r="468" spans="2:2" s="193" customFormat="1">
      <c r="B468" s="777"/>
    </row>
    <row r="469" spans="2:2" s="193" customFormat="1">
      <c r="B469" s="777"/>
    </row>
    <row r="470" spans="2:2" s="193" customFormat="1">
      <c r="B470" s="777"/>
    </row>
    <row r="471" spans="2:2" s="193" customFormat="1">
      <c r="B471" s="777"/>
    </row>
    <row r="472" spans="2:2" s="193" customFormat="1">
      <c r="B472" s="777"/>
    </row>
    <row r="473" spans="2:2" s="193" customFormat="1">
      <c r="B473" s="777"/>
    </row>
    <row r="474" spans="2:2" s="193" customFormat="1">
      <c r="B474" s="777"/>
    </row>
    <row r="475" spans="2:2" s="193" customFormat="1">
      <c r="B475" s="777"/>
    </row>
    <row r="476" spans="2:2" s="193" customFormat="1">
      <c r="B476" s="777"/>
    </row>
    <row r="477" spans="2:2" s="193" customFormat="1">
      <c r="B477" s="777"/>
    </row>
    <row r="478" spans="2:2" s="193" customFormat="1">
      <c r="B478" s="777"/>
    </row>
    <row r="479" spans="2:2" s="193" customFormat="1">
      <c r="B479" s="777"/>
    </row>
    <row r="480" spans="2:2" s="193" customFormat="1">
      <c r="B480" s="777"/>
    </row>
    <row r="481" spans="2:2" s="193" customFormat="1">
      <c r="B481" s="777"/>
    </row>
    <row r="482" spans="2:2" s="193" customFormat="1">
      <c r="B482" s="777"/>
    </row>
    <row r="483" spans="2:2" s="193" customFormat="1">
      <c r="B483" s="777"/>
    </row>
    <row r="484" spans="2:2" s="193" customFormat="1">
      <c r="B484" s="777"/>
    </row>
    <row r="485" spans="2:2" s="193" customFormat="1">
      <c r="B485" s="777"/>
    </row>
    <row r="486" spans="2:2" s="193" customFormat="1">
      <c r="B486" s="777"/>
    </row>
    <row r="487" spans="2:2" s="193" customFormat="1">
      <c r="B487" s="777"/>
    </row>
    <row r="488" spans="2:2" s="193" customFormat="1">
      <c r="B488" s="777"/>
    </row>
    <row r="489" spans="2:2" s="193" customFormat="1">
      <c r="B489" s="777"/>
    </row>
    <row r="490" spans="2:2" s="193" customFormat="1">
      <c r="B490" s="777"/>
    </row>
    <row r="491" spans="2:2" s="193" customFormat="1">
      <c r="B491" s="777"/>
    </row>
    <row r="492" spans="2:2" s="193" customFormat="1">
      <c r="B492" s="777"/>
    </row>
    <row r="493" spans="2:2" s="193" customFormat="1">
      <c r="B493" s="777"/>
    </row>
    <row r="494" spans="2:2" s="193" customFormat="1">
      <c r="B494" s="777"/>
    </row>
    <row r="495" spans="2:2" s="193" customFormat="1">
      <c r="B495" s="777"/>
    </row>
    <row r="496" spans="2:2" s="193" customFormat="1">
      <c r="B496" s="777"/>
    </row>
    <row r="497" spans="2:2" s="193" customFormat="1">
      <c r="B497" s="777"/>
    </row>
    <row r="498" spans="2:2" s="193" customFormat="1">
      <c r="B498" s="777"/>
    </row>
    <row r="499" spans="2:2" s="193" customFormat="1">
      <c r="B499" s="777"/>
    </row>
    <row r="500" spans="2:2" s="193" customFormat="1">
      <c r="B500" s="777"/>
    </row>
    <row r="501" spans="2:2" s="193" customFormat="1">
      <c r="B501" s="777"/>
    </row>
    <row r="502" spans="2:2" s="193" customFormat="1">
      <c r="B502" s="777"/>
    </row>
    <row r="503" spans="2:2" s="193" customFormat="1">
      <c r="B503" s="777"/>
    </row>
    <row r="504" spans="2:2" s="193" customFormat="1">
      <c r="B504" s="777"/>
    </row>
    <row r="505" spans="2:2" s="193" customFormat="1">
      <c r="B505" s="777"/>
    </row>
    <row r="506" spans="2:2" s="193" customFormat="1">
      <c r="B506" s="777"/>
    </row>
    <row r="507" spans="2:2" s="193" customFormat="1">
      <c r="B507" s="777"/>
    </row>
    <row r="508" spans="2:2" s="193" customFormat="1">
      <c r="B508" s="777"/>
    </row>
    <row r="509" spans="2:2" s="193" customFormat="1">
      <c r="B509" s="777"/>
    </row>
    <row r="510" spans="2:2" s="193" customFormat="1">
      <c r="B510" s="777"/>
    </row>
    <row r="511" spans="2:2" s="193" customFormat="1">
      <c r="B511" s="777"/>
    </row>
    <row r="512" spans="2:2" s="193" customFormat="1">
      <c r="B512" s="777"/>
    </row>
    <row r="513" spans="2:2" s="193" customFormat="1">
      <c r="B513" s="777"/>
    </row>
    <row r="514" spans="2:2" s="193" customFormat="1">
      <c r="B514" s="777"/>
    </row>
    <row r="515" spans="2:2" s="193" customFormat="1">
      <c r="B515" s="777"/>
    </row>
    <row r="516" spans="2:2" s="193" customFormat="1">
      <c r="B516" s="777"/>
    </row>
    <row r="517" spans="2:2" s="193" customFormat="1">
      <c r="B517" s="777"/>
    </row>
    <row r="518" spans="2:2" s="193" customFormat="1">
      <c r="B518" s="777"/>
    </row>
    <row r="519" spans="2:2" s="193" customFormat="1">
      <c r="B519" s="777"/>
    </row>
    <row r="520" spans="2:2" s="193" customFormat="1">
      <c r="B520" s="777"/>
    </row>
    <row r="521" spans="2:2" s="193" customFormat="1">
      <c r="B521" s="777"/>
    </row>
    <row r="522" spans="2:2" s="193" customFormat="1">
      <c r="B522" s="777"/>
    </row>
    <row r="523" spans="2:2" s="193" customFormat="1">
      <c r="B523" s="777"/>
    </row>
    <row r="524" spans="2:2" s="193" customFormat="1">
      <c r="B524" s="777"/>
    </row>
    <row r="525" spans="2:2" s="193" customFormat="1">
      <c r="B525" s="777"/>
    </row>
    <row r="526" spans="2:2" s="193" customFormat="1">
      <c r="B526" s="777"/>
    </row>
    <row r="527" spans="2:2" s="193" customFormat="1">
      <c r="B527" s="777"/>
    </row>
    <row r="528" spans="2:2" s="193" customFormat="1">
      <c r="B528" s="777"/>
    </row>
    <row r="529" spans="2:2" s="193" customFormat="1">
      <c r="B529" s="777"/>
    </row>
    <row r="530" spans="2:2" s="193" customFormat="1">
      <c r="B530" s="777"/>
    </row>
    <row r="531" spans="2:2" s="193" customFormat="1">
      <c r="B531" s="777"/>
    </row>
    <row r="532" spans="2:2" s="193" customFormat="1">
      <c r="B532" s="777"/>
    </row>
    <row r="533" spans="2:2" s="193" customFormat="1">
      <c r="B533" s="777"/>
    </row>
    <row r="534" spans="2:2" s="193" customFormat="1">
      <c r="B534" s="777"/>
    </row>
    <row r="535" spans="2:2" s="193" customFormat="1">
      <c r="B535" s="777"/>
    </row>
    <row r="536" spans="2:2" s="193" customFormat="1">
      <c r="B536" s="777"/>
    </row>
    <row r="537" spans="2:2" s="193" customFormat="1">
      <c r="B537" s="777"/>
    </row>
    <row r="538" spans="2:2" s="193" customFormat="1">
      <c r="B538" s="777"/>
    </row>
    <row r="539" spans="2:2" s="193" customFormat="1">
      <c r="B539" s="777"/>
    </row>
    <row r="540" spans="2:2" s="193" customFormat="1">
      <c r="B540" s="777"/>
    </row>
    <row r="541" spans="2:2" s="193" customFormat="1">
      <c r="B541" s="777"/>
    </row>
    <row r="542" spans="2:2" s="193" customFormat="1">
      <c r="B542" s="777"/>
    </row>
    <row r="543" spans="2:2" s="193" customFormat="1">
      <c r="B543" s="777"/>
    </row>
    <row r="544" spans="2:2" s="193" customFormat="1">
      <c r="B544" s="777"/>
    </row>
    <row r="545" spans="2:2" s="193" customFormat="1">
      <c r="B545" s="777"/>
    </row>
    <row r="546" spans="2:2" s="193" customFormat="1">
      <c r="B546" s="777"/>
    </row>
    <row r="547" spans="2:2" s="193" customFormat="1">
      <c r="B547" s="777"/>
    </row>
    <row r="548" spans="2:2" s="193" customFormat="1">
      <c r="B548" s="777"/>
    </row>
    <row r="549" spans="2:2" s="193" customFormat="1">
      <c r="B549" s="777"/>
    </row>
    <row r="550" spans="2:2" s="193" customFormat="1">
      <c r="B550" s="777"/>
    </row>
    <row r="551" spans="2:2" s="193" customFormat="1">
      <c r="B551" s="777"/>
    </row>
    <row r="552" spans="2:2" s="193" customFormat="1">
      <c r="B552" s="777"/>
    </row>
    <row r="553" spans="2:2" s="193" customFormat="1">
      <c r="B553" s="777"/>
    </row>
    <row r="554" spans="2:2" s="193" customFormat="1">
      <c r="B554" s="777"/>
    </row>
    <row r="555" spans="2:2" s="193" customFormat="1">
      <c r="B555" s="777"/>
    </row>
    <row r="556" spans="2:2" s="193" customFormat="1">
      <c r="B556" s="777"/>
    </row>
    <row r="557" spans="2:2" s="193" customFormat="1">
      <c r="B557" s="777"/>
    </row>
    <row r="558" spans="2:2" s="193" customFormat="1">
      <c r="B558" s="777"/>
    </row>
    <row r="559" spans="2:2" s="193" customFormat="1">
      <c r="B559" s="777"/>
    </row>
    <row r="560" spans="2:2" s="193" customFormat="1">
      <c r="B560" s="777"/>
    </row>
    <row r="561" spans="2:2" s="193" customFormat="1">
      <c r="B561" s="777"/>
    </row>
    <row r="562" spans="2:2" s="193" customFormat="1">
      <c r="B562" s="777"/>
    </row>
    <row r="563" spans="2:2" s="193" customFormat="1">
      <c r="B563" s="777"/>
    </row>
    <row r="564" spans="2:2" s="193" customFormat="1">
      <c r="B564" s="777"/>
    </row>
    <row r="565" spans="2:2" s="193" customFormat="1">
      <c r="B565" s="777"/>
    </row>
    <row r="566" spans="2:2" s="193" customFormat="1">
      <c r="B566" s="777"/>
    </row>
    <row r="567" spans="2:2" s="193" customFormat="1">
      <c r="B567" s="777"/>
    </row>
    <row r="568" spans="2:2" s="193" customFormat="1">
      <c r="B568" s="777"/>
    </row>
    <row r="569" spans="2:2" s="193" customFormat="1">
      <c r="B569" s="777"/>
    </row>
    <row r="570" spans="2:2" s="193" customFormat="1">
      <c r="B570" s="777"/>
    </row>
    <row r="571" spans="2:2" s="193" customFormat="1">
      <c r="B571" s="777"/>
    </row>
    <row r="572" spans="2:2" s="193" customFormat="1">
      <c r="B572" s="777"/>
    </row>
    <row r="573" spans="2:2" s="193" customFormat="1">
      <c r="B573" s="777"/>
    </row>
    <row r="574" spans="2:2" s="193" customFormat="1">
      <c r="B574" s="777"/>
    </row>
    <row r="575" spans="2:2" s="193" customFormat="1">
      <c r="B575" s="777"/>
    </row>
    <row r="576" spans="2:2" s="193" customFormat="1">
      <c r="B576" s="777"/>
    </row>
    <row r="577" spans="2:2" s="193" customFormat="1">
      <c r="B577" s="777"/>
    </row>
    <row r="578" spans="2:2" s="193" customFormat="1">
      <c r="B578" s="777"/>
    </row>
    <row r="579" spans="2:2" s="193" customFormat="1">
      <c r="B579" s="777"/>
    </row>
    <row r="580" spans="2:2" s="193" customFormat="1">
      <c r="B580" s="777"/>
    </row>
    <row r="581" spans="2:2" s="193" customFormat="1">
      <c r="B581" s="777"/>
    </row>
    <row r="582" spans="2:2" s="193" customFormat="1">
      <c r="B582" s="777"/>
    </row>
    <row r="583" spans="2:2" s="193" customFormat="1">
      <c r="B583" s="777"/>
    </row>
    <row r="584" spans="2:2" s="193" customFormat="1">
      <c r="B584" s="777"/>
    </row>
    <row r="585" spans="2:2" s="193" customFormat="1">
      <c r="B585" s="777"/>
    </row>
    <row r="586" spans="2:2" s="193" customFormat="1">
      <c r="B586" s="777"/>
    </row>
    <row r="587" spans="2:2" s="193" customFormat="1">
      <c r="B587" s="777"/>
    </row>
    <row r="588" spans="2:2" s="193" customFormat="1">
      <c r="B588" s="777"/>
    </row>
    <row r="589" spans="2:2" s="193" customFormat="1">
      <c r="B589" s="777"/>
    </row>
    <row r="590" spans="2:2" s="193" customFormat="1">
      <c r="B590" s="777"/>
    </row>
    <row r="591" spans="2:2" s="193" customFormat="1">
      <c r="B591" s="777"/>
    </row>
    <row r="592" spans="2:2" s="193" customFormat="1">
      <c r="B592" s="777"/>
    </row>
    <row r="593" spans="2:2" s="193" customFormat="1">
      <c r="B593" s="777"/>
    </row>
    <row r="594" spans="2:2" s="193" customFormat="1">
      <c r="B594" s="777"/>
    </row>
    <row r="595" spans="2:2" s="193" customFormat="1">
      <c r="B595" s="777"/>
    </row>
    <row r="596" spans="2:2" s="193" customFormat="1">
      <c r="B596" s="777"/>
    </row>
    <row r="597" spans="2:2" s="193" customFormat="1">
      <c r="B597" s="777"/>
    </row>
    <row r="598" spans="2:2" s="193" customFormat="1">
      <c r="B598" s="777"/>
    </row>
    <row r="599" spans="2:2" s="193" customFormat="1">
      <c r="B599" s="777"/>
    </row>
    <row r="600" spans="2:2" s="193" customFormat="1">
      <c r="B600" s="777"/>
    </row>
    <row r="601" spans="2:2" s="193" customFormat="1">
      <c r="B601" s="777"/>
    </row>
    <row r="602" spans="2:2" s="193" customFormat="1">
      <c r="B602" s="777"/>
    </row>
    <row r="603" spans="2:2" s="193" customFormat="1">
      <c r="B603" s="777"/>
    </row>
    <row r="604" spans="2:2" s="193" customFormat="1">
      <c r="B604" s="777"/>
    </row>
    <row r="605" spans="2:2" s="193" customFormat="1">
      <c r="B605" s="777"/>
    </row>
    <row r="606" spans="2:2" s="193" customFormat="1">
      <c r="B606" s="777"/>
    </row>
    <row r="607" spans="2:2" s="193" customFormat="1">
      <c r="B607" s="777"/>
    </row>
    <row r="608" spans="2:2" s="193" customFormat="1">
      <c r="B608" s="777"/>
    </row>
    <row r="609" spans="2:2" s="193" customFormat="1">
      <c r="B609" s="777"/>
    </row>
    <row r="610" spans="2:2" s="193" customFormat="1">
      <c r="B610" s="777"/>
    </row>
    <row r="611" spans="2:2" s="193" customFormat="1">
      <c r="B611" s="777"/>
    </row>
    <row r="612" spans="2:2" s="193" customFormat="1">
      <c r="B612" s="777"/>
    </row>
    <row r="613" spans="2:2" s="193" customFormat="1">
      <c r="B613" s="777"/>
    </row>
    <row r="614" spans="2:2" s="193" customFormat="1">
      <c r="B614" s="777"/>
    </row>
    <row r="615" spans="2:2" s="193" customFormat="1">
      <c r="B615" s="777"/>
    </row>
    <row r="616" spans="2:2" s="193" customFormat="1">
      <c r="B616" s="777"/>
    </row>
    <row r="617" spans="2:2" s="193" customFormat="1">
      <c r="B617" s="777"/>
    </row>
    <row r="618" spans="2:2" s="193" customFormat="1">
      <c r="B618" s="777"/>
    </row>
    <row r="619" spans="2:2" s="193" customFormat="1">
      <c r="B619" s="777"/>
    </row>
    <row r="620" spans="2:2" s="193" customFormat="1">
      <c r="B620" s="777"/>
    </row>
    <row r="621" spans="2:2" s="193" customFormat="1">
      <c r="B621" s="777"/>
    </row>
    <row r="622" spans="2:2" s="193" customFormat="1">
      <c r="B622" s="777"/>
    </row>
    <row r="623" spans="2:2" s="193" customFormat="1">
      <c r="B623" s="777"/>
    </row>
    <row r="624" spans="2:2" s="193" customFormat="1">
      <c r="B624" s="777"/>
    </row>
    <row r="625" spans="2:2" s="193" customFormat="1">
      <c r="B625" s="777"/>
    </row>
    <row r="626" spans="2:2" s="193" customFormat="1">
      <c r="B626" s="777"/>
    </row>
    <row r="627" spans="2:2" s="193" customFormat="1">
      <c r="B627" s="777"/>
    </row>
    <row r="628" spans="2:2" s="193" customFormat="1">
      <c r="B628" s="777"/>
    </row>
    <row r="629" spans="2:2" s="193" customFormat="1">
      <c r="B629" s="777"/>
    </row>
  </sheetData>
  <customSheetViews>
    <customSheetView guid="{A374FC54-96E3-45F0-9C12-8450400C12DF}" scale="80" showGridLines="0" state="hidden" topLeftCell="A46">
      <selection activeCell="Z36" sqref="Z36"/>
      <pageMargins left="0" right="0" top="0.78740157480314998" bottom="0.78740157480314998" header="0" footer="0"/>
      <pageSetup paperSize="132" orientation="portrait" r:id="rId1"/>
    </customSheetView>
  </customSheetViews>
  <mergeCells count="56">
    <mergeCell ref="C71:J71"/>
    <mergeCell ref="C61:J61"/>
    <mergeCell ref="P21:S21"/>
    <mergeCell ref="O60:S60"/>
    <mergeCell ref="O61:R61"/>
    <mergeCell ref="O62:Q62"/>
    <mergeCell ref="O63:Q63"/>
    <mergeCell ref="O64:Q64"/>
    <mergeCell ref="O66:S66"/>
    <mergeCell ref="E89:G89"/>
    <mergeCell ref="O89:Q89"/>
    <mergeCell ref="O49:R49"/>
    <mergeCell ref="O52:Q52"/>
    <mergeCell ref="O56:Q56"/>
    <mergeCell ref="O78:S78"/>
    <mergeCell ref="O79:Q79"/>
    <mergeCell ref="O80:Q80"/>
    <mergeCell ref="O81:Q81"/>
    <mergeCell ref="O82:Q82"/>
    <mergeCell ref="O58:Q58"/>
    <mergeCell ref="O68:Q68"/>
    <mergeCell ref="O69:Q69"/>
    <mergeCell ref="O70:Q70"/>
    <mergeCell ref="O67:R67"/>
    <mergeCell ref="O55:R55"/>
    <mergeCell ref="O8:S8"/>
    <mergeCell ref="N15:S15"/>
    <mergeCell ref="O14:S14"/>
    <mergeCell ref="O57:Q57"/>
    <mergeCell ref="O50:Q50"/>
    <mergeCell ref="O51:Q51"/>
    <mergeCell ref="O54:S54"/>
    <mergeCell ref="O48:S48"/>
    <mergeCell ref="F16:J16"/>
    <mergeCell ref="E17:K17"/>
    <mergeCell ref="C45:J45"/>
    <mergeCell ref="M44:T47"/>
    <mergeCell ref="C47:J47"/>
    <mergeCell ref="P18:R18"/>
    <mergeCell ref="P16:Q16"/>
    <mergeCell ref="C46:J46"/>
    <mergeCell ref="P23:S25"/>
    <mergeCell ref="Q42:S42"/>
    <mergeCell ref="P17:S17"/>
    <mergeCell ref="F19:J19"/>
    <mergeCell ref="P19:S19"/>
    <mergeCell ref="O72:S72"/>
    <mergeCell ref="O73:R73"/>
    <mergeCell ref="O74:Q74"/>
    <mergeCell ref="O75:Q75"/>
    <mergeCell ref="O76:Q76"/>
    <mergeCell ref="O84:S84"/>
    <mergeCell ref="O85:Q85"/>
    <mergeCell ref="O86:Q86"/>
    <mergeCell ref="O87:Q87"/>
    <mergeCell ref="O88:Q88"/>
  </mergeCells>
  <pageMargins left="0" right="0" top="0.78740157480314998" bottom="0.78740157480314998" header="0" footer="0"/>
  <pageSetup paperSize="11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O85"/>
  <sheetViews>
    <sheetView zoomScale="140" zoomScaleNormal="140" workbookViewId="0">
      <pane xSplit="1" ySplit="5" topLeftCell="B41" activePane="bottomRight" state="frozen"/>
      <selection activeCell="F85" sqref="F85"/>
      <selection pane="topRight" activeCell="F85" sqref="F85"/>
      <selection pane="bottomLeft" activeCell="F85" sqref="F85"/>
      <selection pane="bottomRight" activeCell="K48" sqref="K48:K51"/>
    </sheetView>
  </sheetViews>
  <sheetFormatPr defaultColWidth="9.140625" defaultRowHeight="12.75"/>
  <cols>
    <col min="1" max="1" width="8.85546875" style="438" customWidth="1"/>
    <col min="2" max="2" width="12.85546875" style="438" customWidth="1"/>
    <col min="3" max="3" width="13.5703125" style="438" customWidth="1"/>
    <col min="4" max="4" width="13" style="438" customWidth="1"/>
    <col min="5" max="5" width="14" style="438" customWidth="1"/>
    <col min="6" max="6" width="14.5703125" style="438" customWidth="1"/>
    <col min="7" max="7" width="15.28515625" style="438" customWidth="1"/>
    <col min="8" max="8" width="14.85546875" style="438" customWidth="1"/>
    <col min="9" max="9" width="15.85546875" style="438" customWidth="1"/>
    <col min="10" max="10" width="16" style="438" customWidth="1"/>
    <col min="11" max="11" width="15.28515625" style="438" customWidth="1"/>
    <col min="12" max="13" width="9.140625" style="438"/>
    <col min="14" max="14" width="10.42578125" style="438" customWidth="1"/>
    <col min="15" max="19" width="9.140625" style="438"/>
    <col min="20" max="20" width="10.140625" style="438" customWidth="1"/>
    <col min="21" max="16384" width="9.140625" style="438"/>
  </cols>
  <sheetData>
    <row r="1" spans="1:14" s="166" customFormat="1" ht="15" customHeight="1">
      <c r="B1" s="531"/>
      <c r="C1" s="531"/>
      <c r="D1" s="2035" t="s">
        <v>815</v>
      </c>
      <c r="E1" s="2035"/>
      <c r="F1" s="2035"/>
      <c r="G1" s="2039" t="s">
        <v>438</v>
      </c>
      <c r="H1" s="2039"/>
      <c r="I1" s="2039"/>
      <c r="J1" s="531"/>
      <c r="K1" s="1331" t="s">
        <v>214</v>
      </c>
    </row>
    <row r="2" spans="1:14" s="169" customFormat="1" ht="11.25" customHeight="1">
      <c r="F2" s="1137"/>
      <c r="K2" s="1332" t="s">
        <v>24</v>
      </c>
    </row>
    <row r="3" spans="1:14" s="169" customFormat="1" ht="11.25" customHeight="1">
      <c r="A3" s="1917" t="s">
        <v>958</v>
      </c>
      <c r="B3" s="2041" t="s">
        <v>490</v>
      </c>
      <c r="C3" s="2080" t="s">
        <v>1212</v>
      </c>
      <c r="D3" s="1943" t="s">
        <v>832</v>
      </c>
      <c r="E3" s="2078"/>
      <c r="F3" s="2079"/>
      <c r="G3" s="2078" t="s">
        <v>150</v>
      </c>
      <c r="H3" s="2078"/>
      <c r="I3" s="2079"/>
      <c r="J3" s="2041" t="s">
        <v>782</v>
      </c>
      <c r="K3" s="2041" t="s">
        <v>910</v>
      </c>
    </row>
    <row r="4" spans="1:14" s="169" customFormat="1" ht="11.25" customHeight="1">
      <c r="A4" s="1917"/>
      <c r="B4" s="1902"/>
      <c r="C4" s="1902"/>
      <c r="D4" s="1329" t="s">
        <v>388</v>
      </c>
      <c r="E4" s="1329" t="s">
        <v>484</v>
      </c>
      <c r="F4" s="1329" t="s">
        <v>391</v>
      </c>
      <c r="G4" s="1329" t="s">
        <v>388</v>
      </c>
      <c r="H4" s="1329" t="s">
        <v>484</v>
      </c>
      <c r="I4" s="1330" t="s">
        <v>483</v>
      </c>
      <c r="J4" s="1902"/>
      <c r="K4" s="1902"/>
    </row>
    <row r="5" spans="1:14" s="533" customFormat="1" ht="16.5" customHeight="1">
      <c r="A5" s="1917"/>
      <c r="B5" s="339">
        <v>1</v>
      </c>
      <c r="C5" s="339">
        <v>2</v>
      </c>
      <c r="D5" s="532">
        <v>3</v>
      </c>
      <c r="E5" s="516">
        <v>4</v>
      </c>
      <c r="F5" s="532" t="s">
        <v>215</v>
      </c>
      <c r="G5" s="339">
        <v>6</v>
      </c>
      <c r="H5" s="339">
        <v>7</v>
      </c>
      <c r="I5" s="339" t="s">
        <v>218</v>
      </c>
      <c r="J5" s="516">
        <v>9</v>
      </c>
      <c r="K5" s="516" t="s">
        <v>216</v>
      </c>
    </row>
    <row r="6" spans="1:14" ht="12.2" customHeight="1">
      <c r="A6" s="142" t="s">
        <v>81</v>
      </c>
      <c r="B6" s="464">
        <v>115781.9</v>
      </c>
      <c r="C6" s="54">
        <v>12.31</v>
      </c>
      <c r="D6" s="464">
        <v>1762.9</v>
      </c>
      <c r="E6" s="54">
        <v>855.33</v>
      </c>
      <c r="F6" s="54">
        <f t="shared" ref="F6:F7" si="0">D6+E6</f>
        <v>2618.23</v>
      </c>
      <c r="G6" s="464">
        <v>11081.4</v>
      </c>
      <c r="H6" s="54">
        <v>215758.99</v>
      </c>
      <c r="I6" s="54">
        <f t="shared" ref="I6:I7" si="1">G6+H6</f>
        <v>226840.38999999998</v>
      </c>
      <c r="J6" s="54">
        <v>68779.06</v>
      </c>
      <c r="K6" s="54">
        <f t="shared" ref="K6:K7" si="2">B6+C6+F6+I6+J6</f>
        <v>414031.88999999996</v>
      </c>
      <c r="M6" s="534"/>
    </row>
    <row r="7" spans="1:14" ht="12.2" customHeight="1">
      <c r="A7" s="312" t="s">
        <v>190</v>
      </c>
      <c r="B7" s="465">
        <v>137011.5</v>
      </c>
      <c r="C7" s="293">
        <v>9.4</v>
      </c>
      <c r="D7" s="465">
        <v>2162.1</v>
      </c>
      <c r="E7" s="293">
        <v>2320.9</v>
      </c>
      <c r="F7" s="293">
        <f t="shared" si="0"/>
        <v>4483</v>
      </c>
      <c r="G7" s="465">
        <v>14837.8</v>
      </c>
      <c r="H7" s="293">
        <v>273618.90000000002</v>
      </c>
      <c r="I7" s="293">
        <f t="shared" si="1"/>
        <v>288456.7</v>
      </c>
      <c r="J7" s="293">
        <v>83570.100000000006</v>
      </c>
      <c r="K7" s="293">
        <f t="shared" si="2"/>
        <v>513530.69999999995</v>
      </c>
      <c r="M7" s="534"/>
    </row>
    <row r="8" spans="1:14" ht="12.2" customHeight="1">
      <c r="A8" s="142" t="s">
        <v>731</v>
      </c>
      <c r="B8" s="464">
        <v>155823.70000000001</v>
      </c>
      <c r="C8" s="54">
        <v>5.8</v>
      </c>
      <c r="D8" s="464">
        <v>2533.9</v>
      </c>
      <c r="E8" s="54">
        <v>3231.1</v>
      </c>
      <c r="F8" s="54">
        <v>5765</v>
      </c>
      <c r="G8" s="464">
        <v>12790.5</v>
      </c>
      <c r="H8" s="54">
        <v>334233.59999999998</v>
      </c>
      <c r="I8" s="54">
        <v>347024.1</v>
      </c>
      <c r="J8" s="54">
        <v>92021.6</v>
      </c>
      <c r="K8" s="54">
        <v>600640.19999999995</v>
      </c>
      <c r="M8" s="534"/>
    </row>
    <row r="9" spans="1:14" s="356" customFormat="1" ht="12.2" customHeight="1">
      <c r="A9" s="398" t="s">
        <v>840</v>
      </c>
      <c r="B9" s="465">
        <v>174978.3</v>
      </c>
      <c r="C9" s="289">
        <v>2.2999999999999998</v>
      </c>
      <c r="D9" s="465">
        <v>3450</v>
      </c>
      <c r="E9" s="289">
        <v>5171.6000000000004</v>
      </c>
      <c r="F9" s="289">
        <v>8621.6</v>
      </c>
      <c r="G9" s="465">
        <v>5968.1</v>
      </c>
      <c r="H9" s="289">
        <v>371817.6</v>
      </c>
      <c r="I9" s="293">
        <v>377785.69999999995</v>
      </c>
      <c r="J9" s="289">
        <v>100452.9</v>
      </c>
      <c r="K9" s="293">
        <v>661840.79999999993</v>
      </c>
      <c r="M9" s="534"/>
    </row>
    <row r="10" spans="1:14" s="354" customFormat="1" ht="12.2" customHeight="1">
      <c r="A10" s="384" t="s">
        <v>1019</v>
      </c>
      <c r="B10" s="464">
        <v>194106.4</v>
      </c>
      <c r="C10" s="464">
        <v>0</v>
      </c>
      <c r="D10" s="464">
        <v>5184.7</v>
      </c>
      <c r="E10" s="464">
        <v>5839.1</v>
      </c>
      <c r="F10" s="464">
        <v>11023.8</v>
      </c>
      <c r="G10" s="464">
        <v>7468.8</v>
      </c>
      <c r="H10" s="464">
        <v>419702.1</v>
      </c>
      <c r="I10" s="464">
        <v>427170.89999999997</v>
      </c>
      <c r="J10" s="464">
        <v>112230.3</v>
      </c>
      <c r="K10" s="464">
        <v>744531.4</v>
      </c>
      <c r="L10" s="356"/>
      <c r="M10" s="534"/>
    </row>
    <row r="11" spans="1:14" s="354" customFormat="1" ht="12.2" customHeight="1">
      <c r="A11" s="398" t="s">
        <v>1070</v>
      </c>
      <c r="B11" s="463">
        <v>215482.2</v>
      </c>
      <c r="C11" s="463">
        <v>0</v>
      </c>
      <c r="D11" s="463">
        <v>5215.7</v>
      </c>
      <c r="E11" s="463">
        <v>7348.3</v>
      </c>
      <c r="F11" s="463">
        <v>12564</v>
      </c>
      <c r="G11" s="463">
        <v>11313.3</v>
      </c>
      <c r="H11" s="463">
        <v>475125.2</v>
      </c>
      <c r="I11" s="463">
        <v>486438.5</v>
      </c>
      <c r="J11" s="463">
        <v>124669.9</v>
      </c>
      <c r="K11" s="463">
        <v>839154.6</v>
      </c>
      <c r="M11" s="539"/>
    </row>
    <row r="12" spans="1:14" s="354" customFormat="1" ht="12.2" customHeight="1">
      <c r="A12" s="384" t="s">
        <v>1193</v>
      </c>
      <c r="B12" s="468">
        <v>252862.6</v>
      </c>
      <c r="C12" s="468">
        <v>0</v>
      </c>
      <c r="D12" s="468">
        <v>6541.6</v>
      </c>
      <c r="E12" s="468">
        <v>9916</v>
      </c>
      <c r="F12" s="468">
        <v>16457.599999999999</v>
      </c>
      <c r="G12" s="468">
        <v>9139.7000000000007</v>
      </c>
      <c r="H12" s="468">
        <v>565645.19999999995</v>
      </c>
      <c r="I12" s="468">
        <v>574784.89999999991</v>
      </c>
      <c r="J12" s="468">
        <v>135861.70000000001</v>
      </c>
      <c r="K12" s="468">
        <v>979966.79999999981</v>
      </c>
      <c r="M12" s="539"/>
    </row>
    <row r="13" spans="1:14" s="354" customFormat="1" ht="12.2" customHeight="1">
      <c r="A13" s="398" t="s">
        <v>1225</v>
      </c>
      <c r="B13" s="463">
        <v>288377.59999999998</v>
      </c>
      <c r="C13" s="463">
        <v>0</v>
      </c>
      <c r="D13" s="463">
        <v>7732.4</v>
      </c>
      <c r="E13" s="463">
        <v>14235.7</v>
      </c>
      <c r="F13" s="463">
        <v>21968.1</v>
      </c>
      <c r="G13" s="463">
        <v>9154.4</v>
      </c>
      <c r="H13" s="463">
        <v>651090.5</v>
      </c>
      <c r="I13" s="463">
        <v>660244.9</v>
      </c>
      <c r="J13" s="463">
        <v>159057.29999999999</v>
      </c>
      <c r="K13" s="463">
        <v>1129647.8999999999</v>
      </c>
      <c r="M13" s="539"/>
    </row>
    <row r="14" spans="1:14" s="354" customFormat="1" ht="12.2" customHeight="1">
      <c r="A14" s="544" t="s">
        <v>1350</v>
      </c>
      <c r="B14" s="468">
        <v>329523</v>
      </c>
      <c r="C14" s="468">
        <v>0</v>
      </c>
      <c r="D14" s="468">
        <v>1415.9</v>
      </c>
      <c r="E14" s="468">
        <v>20902.7</v>
      </c>
      <c r="F14" s="468">
        <v>22318.600000000002</v>
      </c>
      <c r="G14" s="468">
        <v>10709.7</v>
      </c>
      <c r="H14" s="468">
        <v>766225.4</v>
      </c>
      <c r="I14" s="468">
        <v>776935.1</v>
      </c>
      <c r="J14" s="468">
        <v>183088.4</v>
      </c>
      <c r="K14" s="468">
        <v>1311865.0999999999</v>
      </c>
      <c r="M14" s="539"/>
      <c r="N14" s="538"/>
    </row>
    <row r="15" spans="1:14" s="174" customFormat="1" ht="12.2" customHeight="1">
      <c r="A15" s="1283" t="s">
        <v>1466</v>
      </c>
      <c r="B15" s="463">
        <v>398418.5</v>
      </c>
      <c r="C15" s="463">
        <v>0</v>
      </c>
      <c r="D15" s="463">
        <v>2252.4</v>
      </c>
      <c r="E15" s="463">
        <v>28546.6</v>
      </c>
      <c r="F15" s="463">
        <v>30799</v>
      </c>
      <c r="G15" s="463">
        <v>12577.7</v>
      </c>
      <c r="H15" s="463">
        <v>846542.1</v>
      </c>
      <c r="I15" s="463">
        <v>859119.79999999993</v>
      </c>
      <c r="J15" s="463">
        <v>203477.6</v>
      </c>
      <c r="K15" s="463">
        <v>1491814.9</v>
      </c>
    </row>
    <row r="16" spans="1:14" ht="12.2" customHeight="1">
      <c r="A16" s="384" t="s">
        <v>1550</v>
      </c>
      <c r="B16" s="468">
        <v>483323.5</v>
      </c>
      <c r="C16" s="468">
        <v>0</v>
      </c>
      <c r="D16" s="468">
        <v>2519.4</v>
      </c>
      <c r="E16" s="468">
        <v>30302.1</v>
      </c>
      <c r="F16" s="468">
        <v>32821.5</v>
      </c>
      <c r="G16" s="468">
        <v>17966.599999999999</v>
      </c>
      <c r="H16" s="468">
        <v>922464.1</v>
      </c>
      <c r="I16" s="468">
        <v>940430.7</v>
      </c>
      <c r="J16" s="468">
        <v>214172.7</v>
      </c>
      <c r="K16" s="468">
        <v>1670748.4</v>
      </c>
      <c r="L16" s="534"/>
    </row>
    <row r="17" spans="1:15" ht="12.2" customHeight="1">
      <c r="A17" s="398" t="s">
        <v>1606</v>
      </c>
      <c r="B17" s="463">
        <v>564520</v>
      </c>
      <c r="C17" s="463">
        <v>0</v>
      </c>
      <c r="D17" s="463">
        <v>2522.8000000000002</v>
      </c>
      <c r="E17" s="463">
        <v>29500</v>
      </c>
      <c r="F17" s="463">
        <v>32022.799999999999</v>
      </c>
      <c r="G17" s="463">
        <v>18449.099999999999</v>
      </c>
      <c r="H17" s="463">
        <v>994526.9</v>
      </c>
      <c r="I17" s="463">
        <v>1012976</v>
      </c>
      <c r="J17" s="463">
        <v>235190</v>
      </c>
      <c r="K17" s="463">
        <v>1844708.8</v>
      </c>
      <c r="L17" s="534"/>
      <c r="M17" s="534"/>
    </row>
    <row r="18" spans="1:15" ht="12.2" customHeight="1">
      <c r="A18" s="891" t="s">
        <v>1927</v>
      </c>
      <c r="B18" s="553">
        <v>647012.1</v>
      </c>
      <c r="C18" s="553">
        <v>0</v>
      </c>
      <c r="D18" s="553">
        <v>3617.6623075949301</v>
      </c>
      <c r="E18" s="553">
        <v>28991.292731279518</v>
      </c>
      <c r="F18" s="553">
        <v>32608.955038874446</v>
      </c>
      <c r="G18" s="553">
        <v>25434.9005207714</v>
      </c>
      <c r="H18" s="553">
        <v>1133333.5170284815</v>
      </c>
      <c r="I18" s="553">
        <v>1158768.417549253</v>
      </c>
      <c r="J18" s="553">
        <v>263754.42741187243</v>
      </c>
      <c r="K18" s="553">
        <v>2102143.9</v>
      </c>
      <c r="L18" s="534"/>
      <c r="M18" s="534"/>
      <c r="N18" s="534"/>
      <c r="O18" s="534"/>
    </row>
    <row r="19" spans="1:15" ht="12.2" customHeight="1">
      <c r="A19" s="1674" t="s">
        <v>2183</v>
      </c>
      <c r="B19" s="555">
        <f>B31</f>
        <v>747846.852503762</v>
      </c>
      <c r="C19" s="555">
        <f t="shared" ref="C19:K19" si="3">C31</f>
        <v>0</v>
      </c>
      <c r="D19" s="555">
        <f t="shared" si="3"/>
        <v>3588.2760941767501</v>
      </c>
      <c r="E19" s="555">
        <f t="shared" si="3"/>
        <v>30604.57865103833</v>
      </c>
      <c r="F19" s="555">
        <f t="shared" si="3"/>
        <v>34192.854745215081</v>
      </c>
      <c r="G19" s="555">
        <f t="shared" si="3"/>
        <v>33362.150288469296</v>
      </c>
      <c r="H19" s="555">
        <f t="shared" si="3"/>
        <v>1245158.7816230939</v>
      </c>
      <c r="I19" s="555">
        <f t="shared" si="3"/>
        <v>1278520.9319115633</v>
      </c>
      <c r="J19" s="555">
        <f t="shared" si="3"/>
        <v>294103.7256432448</v>
      </c>
      <c r="K19" s="555">
        <f t="shared" si="3"/>
        <v>2354664.3648037855</v>
      </c>
      <c r="L19" s="534"/>
      <c r="M19" s="534"/>
      <c r="N19" s="534"/>
      <c r="O19" s="534"/>
    </row>
    <row r="20" spans="1:15" ht="12.2" customHeight="1">
      <c r="A20" s="384" t="s">
        <v>565</v>
      </c>
      <c r="B20" s="448">
        <v>646059.4</v>
      </c>
      <c r="C20" s="468">
        <v>0</v>
      </c>
      <c r="D20" s="468">
        <v>3788.88629554109</v>
      </c>
      <c r="E20" s="468">
        <v>28876.300235268725</v>
      </c>
      <c r="F20" s="468">
        <f t="shared" ref="F20:F44" si="4">D20+E20</f>
        <v>32665.186530809817</v>
      </c>
      <c r="G20" s="468">
        <v>26261.094929592498</v>
      </c>
      <c r="H20" s="468">
        <v>1135904.7798506904</v>
      </c>
      <c r="I20" s="468">
        <f t="shared" ref="I20:I44" si="5">G20+H20</f>
        <v>1162165.8747802828</v>
      </c>
      <c r="J20" s="229">
        <v>263870.33868890727</v>
      </c>
      <c r="K20" s="229">
        <f t="shared" ref="K20:K51" si="6">B20+C20+F20+I20+J20</f>
        <v>2104760.7999999998</v>
      </c>
      <c r="L20" s="534"/>
      <c r="M20" s="534"/>
      <c r="N20" s="534"/>
      <c r="O20" s="534"/>
    </row>
    <row r="21" spans="1:15" ht="12.2" customHeight="1">
      <c r="A21" s="398" t="s">
        <v>566</v>
      </c>
      <c r="B21" s="467">
        <v>652920.10000000009</v>
      </c>
      <c r="C21" s="463">
        <v>0</v>
      </c>
      <c r="D21" s="463">
        <v>3521.8105959913</v>
      </c>
      <c r="E21" s="463">
        <v>28268.649580539884</v>
      </c>
      <c r="F21" s="463">
        <f t="shared" si="4"/>
        <v>31790.460176531185</v>
      </c>
      <c r="G21" s="463">
        <v>27058.385078708099</v>
      </c>
      <c r="H21" s="463">
        <v>1145366.4886360515</v>
      </c>
      <c r="I21" s="463">
        <f t="shared" si="5"/>
        <v>1172424.8737147597</v>
      </c>
      <c r="J21" s="288">
        <v>265752.26610870915</v>
      </c>
      <c r="K21" s="288">
        <f t="shared" si="6"/>
        <v>2122887.7000000002</v>
      </c>
      <c r="L21" s="534"/>
      <c r="M21" s="534"/>
      <c r="N21" s="534"/>
      <c r="O21" s="534"/>
    </row>
    <row r="22" spans="1:15" ht="12.2" customHeight="1">
      <c r="A22" s="384" t="s">
        <v>560</v>
      </c>
      <c r="B22" s="448">
        <v>656752.89999999991</v>
      </c>
      <c r="C22" s="468">
        <v>0</v>
      </c>
      <c r="D22" s="468">
        <v>3626.6792753902901</v>
      </c>
      <c r="E22" s="468">
        <v>28062.298521447279</v>
      </c>
      <c r="F22" s="468">
        <f t="shared" si="4"/>
        <v>31688.977796837571</v>
      </c>
      <c r="G22" s="468">
        <v>26374.032877540601</v>
      </c>
      <c r="H22" s="468">
        <v>1160747.9023133027</v>
      </c>
      <c r="I22" s="468">
        <f t="shared" si="5"/>
        <v>1187121.9351908434</v>
      </c>
      <c r="J22" s="229">
        <v>267711.18701231893</v>
      </c>
      <c r="K22" s="229">
        <f t="shared" si="6"/>
        <v>2143275</v>
      </c>
      <c r="L22" s="534"/>
      <c r="M22" s="534"/>
      <c r="N22" s="534"/>
      <c r="O22" s="534"/>
    </row>
    <row r="23" spans="1:15" ht="12.2" customHeight="1">
      <c r="A23" s="398" t="s">
        <v>567</v>
      </c>
      <c r="B23" s="467">
        <v>668692.80000000005</v>
      </c>
      <c r="C23" s="463">
        <v>0</v>
      </c>
      <c r="D23" s="463">
        <v>3612.6439494309802</v>
      </c>
      <c r="E23" s="463">
        <v>29272.261998138703</v>
      </c>
      <c r="F23" s="463">
        <f t="shared" si="4"/>
        <v>32884.905947569685</v>
      </c>
      <c r="G23" s="463">
        <v>27033.624915766901</v>
      </c>
      <c r="H23" s="463">
        <v>1168834.2039479583</v>
      </c>
      <c r="I23" s="463">
        <f t="shared" si="5"/>
        <v>1195867.8288637253</v>
      </c>
      <c r="J23" s="288">
        <v>270031.66518870508</v>
      </c>
      <c r="K23" s="288">
        <f t="shared" si="6"/>
        <v>2167477.2000000002</v>
      </c>
      <c r="L23" s="534"/>
      <c r="M23" s="534"/>
      <c r="N23" s="534"/>
      <c r="O23" s="534"/>
    </row>
    <row r="24" spans="1:15" ht="12.2" customHeight="1">
      <c r="A24" s="384" t="s">
        <v>568</v>
      </c>
      <c r="B24" s="448">
        <v>661578.1</v>
      </c>
      <c r="C24" s="468">
        <v>0</v>
      </c>
      <c r="D24" s="468">
        <v>3587.4784871398201</v>
      </c>
      <c r="E24" s="468">
        <v>30114.560406851284</v>
      </c>
      <c r="F24" s="468">
        <f t="shared" si="4"/>
        <v>33702.038893991106</v>
      </c>
      <c r="G24" s="468">
        <v>27708.6911802797</v>
      </c>
      <c r="H24" s="468">
        <v>1179777.4370906665</v>
      </c>
      <c r="I24" s="468">
        <f t="shared" si="5"/>
        <v>1207486.1282709462</v>
      </c>
      <c r="J24" s="229">
        <v>273352.73283506237</v>
      </c>
      <c r="K24" s="229">
        <f t="shared" si="6"/>
        <v>2176118.9999999995</v>
      </c>
      <c r="L24" s="534"/>
      <c r="M24" s="534"/>
      <c r="N24" s="534"/>
      <c r="O24" s="534"/>
    </row>
    <row r="25" spans="1:15" ht="12.2" customHeight="1">
      <c r="A25" s="398" t="s">
        <v>561</v>
      </c>
      <c r="B25" s="467">
        <v>654531.60000000009</v>
      </c>
      <c r="C25" s="463">
        <v>0</v>
      </c>
      <c r="D25" s="463">
        <v>3566.8507401352199</v>
      </c>
      <c r="E25" s="463">
        <v>31297.219297946962</v>
      </c>
      <c r="F25" s="463">
        <f t="shared" si="4"/>
        <v>34864.07003808218</v>
      </c>
      <c r="G25" s="463">
        <v>30293.376478304799</v>
      </c>
      <c r="H25" s="463">
        <v>1191571.8362408357</v>
      </c>
      <c r="I25" s="463">
        <f t="shared" si="5"/>
        <v>1221865.2127191406</v>
      </c>
      <c r="J25" s="288">
        <v>279399.33857671998</v>
      </c>
      <c r="K25" s="288">
        <f t="shared" si="6"/>
        <v>2190660.2213339428</v>
      </c>
      <c r="L25" s="534"/>
      <c r="M25" s="534"/>
      <c r="N25" s="534"/>
      <c r="O25" s="534"/>
    </row>
    <row r="26" spans="1:15" ht="12.2" customHeight="1">
      <c r="A26" s="384" t="s">
        <v>569</v>
      </c>
      <c r="B26" s="448">
        <v>664314.70000000007</v>
      </c>
      <c r="C26" s="468">
        <v>0</v>
      </c>
      <c r="D26" s="468">
        <v>3576.6834946514095</v>
      </c>
      <c r="E26" s="468">
        <v>31310.118040319478</v>
      </c>
      <c r="F26" s="468">
        <f t="shared" si="4"/>
        <v>34886.801534970888</v>
      </c>
      <c r="G26" s="468">
        <v>31868.631818318601</v>
      </c>
      <c r="H26" s="468">
        <v>1192276.189863733</v>
      </c>
      <c r="I26" s="468">
        <f t="shared" si="5"/>
        <v>1224144.8216820515</v>
      </c>
      <c r="J26" s="229">
        <v>278700.97678297776</v>
      </c>
      <c r="K26" s="229">
        <f t="shared" si="6"/>
        <v>2202047.3000000003</v>
      </c>
      <c r="L26" s="534"/>
      <c r="M26" s="534"/>
      <c r="N26" s="534"/>
      <c r="O26" s="534"/>
    </row>
    <row r="27" spans="1:15" ht="12.2" customHeight="1">
      <c r="A27" s="398" t="s">
        <v>570</v>
      </c>
      <c r="B27" s="467">
        <v>670177.10000000009</v>
      </c>
      <c r="C27" s="463">
        <v>0</v>
      </c>
      <c r="D27" s="463">
        <v>3582.1215574774401</v>
      </c>
      <c r="E27" s="463">
        <v>31068.143140868924</v>
      </c>
      <c r="F27" s="463">
        <f t="shared" si="4"/>
        <v>34650.264698346364</v>
      </c>
      <c r="G27" s="463">
        <v>31545.681405193598</v>
      </c>
      <c r="H27" s="463">
        <v>1197123.8717850349</v>
      </c>
      <c r="I27" s="463">
        <f t="shared" si="5"/>
        <v>1228669.5531902285</v>
      </c>
      <c r="J27" s="288">
        <v>282431.24592604931</v>
      </c>
      <c r="K27" s="288">
        <f t="shared" si="6"/>
        <v>2215928.1638146243</v>
      </c>
      <c r="L27" s="534"/>
      <c r="M27" s="534"/>
      <c r="N27" s="534"/>
      <c r="O27" s="534"/>
    </row>
    <row r="28" spans="1:15" ht="12.2" customHeight="1">
      <c r="A28" s="384" t="s">
        <v>562</v>
      </c>
      <c r="B28" s="448">
        <v>684224.86729904101</v>
      </c>
      <c r="C28" s="468">
        <v>0</v>
      </c>
      <c r="D28" s="468">
        <v>3587.1591852437405</v>
      </c>
      <c r="E28" s="468">
        <v>31206.781447982041</v>
      </c>
      <c r="F28" s="468">
        <f t="shared" si="4"/>
        <v>34793.940633225779</v>
      </c>
      <c r="G28" s="468">
        <v>32965.579953194298</v>
      </c>
      <c r="H28" s="468">
        <v>1205566.8486027468</v>
      </c>
      <c r="I28" s="468">
        <f t="shared" si="5"/>
        <v>1238532.4285559412</v>
      </c>
      <c r="J28" s="229">
        <v>286627.84447903215</v>
      </c>
      <c r="K28" s="229">
        <f t="shared" si="6"/>
        <v>2244179.08096724</v>
      </c>
      <c r="L28" s="534"/>
      <c r="M28" s="534"/>
      <c r="N28" s="534"/>
      <c r="O28" s="534"/>
    </row>
    <row r="29" spans="1:15" ht="12.2" customHeight="1">
      <c r="A29" s="398" t="s">
        <v>571</v>
      </c>
      <c r="B29" s="467">
        <v>715377.31602647202</v>
      </c>
      <c r="C29" s="463">
        <v>0</v>
      </c>
      <c r="D29" s="463">
        <v>3592.15919429823</v>
      </c>
      <c r="E29" s="463">
        <v>30700.262736985009</v>
      </c>
      <c r="F29" s="463">
        <f t="shared" si="4"/>
        <v>34292.421931283236</v>
      </c>
      <c r="G29" s="463">
        <v>32402.822771221799</v>
      </c>
      <c r="H29" s="463">
        <v>1214595.2800412457</v>
      </c>
      <c r="I29" s="463">
        <f t="shared" si="5"/>
        <v>1246998.1028124676</v>
      </c>
      <c r="J29" s="288">
        <v>288405.77025610802</v>
      </c>
      <c r="K29" s="288">
        <f t="shared" si="6"/>
        <v>2285073.6110263309</v>
      </c>
      <c r="L29" s="534"/>
      <c r="M29" s="534"/>
      <c r="N29" s="534"/>
      <c r="O29" s="534"/>
    </row>
    <row r="30" spans="1:15" ht="12.2" customHeight="1">
      <c r="A30" s="384" t="s">
        <v>572</v>
      </c>
      <c r="B30" s="448">
        <v>721924.90738762799</v>
      </c>
      <c r="C30" s="468">
        <v>0</v>
      </c>
      <c r="D30" s="468">
        <v>3600.80607442476</v>
      </c>
      <c r="E30" s="468">
        <v>29638.777547166224</v>
      </c>
      <c r="F30" s="468">
        <f t="shared" si="4"/>
        <v>33239.583621590988</v>
      </c>
      <c r="G30" s="468">
        <v>32961.179668339202</v>
      </c>
      <c r="H30" s="468">
        <v>1226795.991809065</v>
      </c>
      <c r="I30" s="229">
        <f t="shared" si="5"/>
        <v>1259757.1714774042</v>
      </c>
      <c r="J30" s="229">
        <v>288808.40549145191</v>
      </c>
      <c r="K30" s="229">
        <f t="shared" si="6"/>
        <v>2303730.0679780748</v>
      </c>
      <c r="L30" s="534"/>
      <c r="M30" s="534"/>
      <c r="N30" s="534"/>
      <c r="O30" s="534"/>
    </row>
    <row r="31" spans="1:15" ht="12.2" customHeight="1">
      <c r="A31" s="398" t="s">
        <v>563</v>
      </c>
      <c r="B31" s="467">
        <v>747846.852503762</v>
      </c>
      <c r="C31" s="463">
        <v>0</v>
      </c>
      <c r="D31" s="463">
        <v>3588.2760941767501</v>
      </c>
      <c r="E31" s="463">
        <v>30604.57865103833</v>
      </c>
      <c r="F31" s="288">
        <f t="shared" si="4"/>
        <v>34192.854745215081</v>
      </c>
      <c r="G31" s="463">
        <v>33362.150288469296</v>
      </c>
      <c r="H31" s="463">
        <v>1245158.7816230939</v>
      </c>
      <c r="I31" s="288">
        <f t="shared" si="5"/>
        <v>1278520.9319115633</v>
      </c>
      <c r="J31" s="288">
        <v>294103.7256432448</v>
      </c>
      <c r="K31" s="288">
        <f t="shared" si="6"/>
        <v>2354664.3648037855</v>
      </c>
      <c r="L31" s="534"/>
      <c r="M31" s="534"/>
      <c r="N31" s="534"/>
      <c r="O31" s="534"/>
    </row>
    <row r="32" spans="1:15" ht="12.75" customHeight="1">
      <c r="A32" s="891" t="s">
        <v>2344</v>
      </c>
      <c r="B32" s="553">
        <f>B44</f>
        <v>765636.51602964511</v>
      </c>
      <c r="C32" s="553">
        <f t="shared" ref="C32:K32" si="7">C44</f>
        <v>0</v>
      </c>
      <c r="D32" s="553">
        <f t="shared" si="7"/>
        <v>3347.7066646281901</v>
      </c>
      <c r="E32" s="553">
        <f t="shared" si="7"/>
        <v>30452.255932425949</v>
      </c>
      <c r="F32" s="553">
        <f t="shared" si="7"/>
        <v>33799.962597054138</v>
      </c>
      <c r="G32" s="553">
        <f t="shared" si="7"/>
        <v>37659.8685549316</v>
      </c>
      <c r="H32" s="553">
        <f t="shared" si="7"/>
        <v>1375521.9983677785</v>
      </c>
      <c r="I32" s="553">
        <f t="shared" si="7"/>
        <v>1413181.8669227101</v>
      </c>
      <c r="J32" s="553">
        <f t="shared" si="7"/>
        <v>313899.63275917998</v>
      </c>
      <c r="K32" s="553">
        <f t="shared" si="7"/>
        <v>2526517.9783085892</v>
      </c>
      <c r="L32" s="534"/>
      <c r="M32" s="534"/>
      <c r="N32" s="534"/>
      <c r="O32" s="534"/>
    </row>
    <row r="33" spans="1:15" ht="12.2" customHeight="1">
      <c r="A33" s="398" t="s">
        <v>565</v>
      </c>
      <c r="B33" s="467">
        <v>749917.32000000007</v>
      </c>
      <c r="C33" s="463">
        <v>0</v>
      </c>
      <c r="D33" s="463">
        <v>3713.6875311875497</v>
      </c>
      <c r="E33" s="463">
        <v>29785.700799992475</v>
      </c>
      <c r="F33" s="463">
        <f t="shared" si="4"/>
        <v>33499.388331180024</v>
      </c>
      <c r="G33" s="463">
        <v>33289.928454311404</v>
      </c>
      <c r="H33" s="463">
        <v>1237108.1722655939</v>
      </c>
      <c r="I33" s="463">
        <f t="shared" si="5"/>
        <v>1270398.1007199052</v>
      </c>
      <c r="J33" s="463">
        <v>294126.86327698687</v>
      </c>
      <c r="K33" s="463">
        <f t="shared" si="6"/>
        <v>2347941.6723280721</v>
      </c>
      <c r="L33" s="534"/>
      <c r="M33" s="534"/>
      <c r="N33" s="534"/>
      <c r="O33" s="534"/>
    </row>
    <row r="34" spans="1:15" ht="12.2" customHeight="1">
      <c r="A34" s="384" t="s">
        <v>566</v>
      </c>
      <c r="B34" s="448">
        <v>741304.62595023506</v>
      </c>
      <c r="C34" s="468">
        <v>0</v>
      </c>
      <c r="D34" s="468">
        <v>3649.8199072733896</v>
      </c>
      <c r="E34" s="468">
        <v>30088.422279361614</v>
      </c>
      <c r="F34" s="468">
        <f t="shared" si="4"/>
        <v>33738.242186635005</v>
      </c>
      <c r="G34" s="468">
        <v>33674.441936745599</v>
      </c>
      <c r="H34" s="468">
        <v>1246128.1908982855</v>
      </c>
      <c r="I34" s="468">
        <f t="shared" si="5"/>
        <v>1279802.632835031</v>
      </c>
      <c r="J34" s="468">
        <f>294946.750215073+0.1</f>
        <v>294946.85021507298</v>
      </c>
      <c r="K34" s="468">
        <f t="shared" si="6"/>
        <v>2349792.351186974</v>
      </c>
      <c r="L34" s="534"/>
      <c r="M34" s="534"/>
      <c r="N34" s="534"/>
      <c r="O34" s="534"/>
    </row>
    <row r="35" spans="1:15" ht="12.2" customHeight="1">
      <c r="A35" s="398" t="s">
        <v>560</v>
      </c>
      <c r="B35" s="467">
        <v>730228.59799513698</v>
      </c>
      <c r="C35" s="463">
        <v>0</v>
      </c>
      <c r="D35" s="463">
        <v>3645.4347070581703</v>
      </c>
      <c r="E35" s="463">
        <v>30261.246717213839</v>
      </c>
      <c r="F35" s="463">
        <f t="shared" si="4"/>
        <v>33906.681424272007</v>
      </c>
      <c r="G35" s="463">
        <v>34611.629079399798</v>
      </c>
      <c r="H35" s="463">
        <v>1261685.1522274225</v>
      </c>
      <c r="I35" s="463">
        <f t="shared" si="5"/>
        <v>1296296.7813068223</v>
      </c>
      <c r="J35" s="463">
        <v>297580.67870496202</v>
      </c>
      <c r="K35" s="463">
        <f t="shared" si="6"/>
        <v>2358012.7394311936</v>
      </c>
      <c r="L35" s="534"/>
      <c r="M35" s="534"/>
      <c r="N35" s="534"/>
      <c r="O35" s="534"/>
    </row>
    <row r="36" spans="1:15" ht="12.2" customHeight="1">
      <c r="A36" s="384" t="s">
        <v>567</v>
      </c>
      <c r="B36" s="448">
        <v>726991.41182724002</v>
      </c>
      <c r="C36" s="468">
        <v>0</v>
      </c>
      <c r="D36" s="468">
        <v>3587.1713437734002</v>
      </c>
      <c r="E36" s="468">
        <v>31147.555847445867</v>
      </c>
      <c r="F36" s="468">
        <f t="shared" si="4"/>
        <v>34734.727191219266</v>
      </c>
      <c r="G36" s="468">
        <v>34874.046316645603</v>
      </c>
      <c r="H36" s="468">
        <v>1273085.6240741035</v>
      </c>
      <c r="I36" s="468">
        <f t="shared" si="5"/>
        <v>1307959.6703907491</v>
      </c>
      <c r="J36" s="468">
        <v>300807.37931096705</v>
      </c>
      <c r="K36" s="468">
        <f t="shared" si="6"/>
        <v>2370493.1887201755</v>
      </c>
      <c r="L36" s="534"/>
      <c r="M36" s="534"/>
      <c r="N36" s="534"/>
      <c r="O36" s="534"/>
    </row>
    <row r="37" spans="1:15" ht="12.2" customHeight="1">
      <c r="A37" s="398" t="s">
        <v>568</v>
      </c>
      <c r="B37" s="467">
        <v>721287.10344529501</v>
      </c>
      <c r="C37" s="463">
        <v>0</v>
      </c>
      <c r="D37" s="463">
        <v>3589.1334593099295</v>
      </c>
      <c r="E37" s="463">
        <v>30729.27334071758</v>
      </c>
      <c r="F37" s="463">
        <f t="shared" si="4"/>
        <v>34318.406800027507</v>
      </c>
      <c r="G37" s="463">
        <v>35750.1636428446</v>
      </c>
      <c r="H37" s="463">
        <v>1289347.9860277299</v>
      </c>
      <c r="I37" s="463">
        <f t="shared" si="5"/>
        <v>1325098.1496705746</v>
      </c>
      <c r="J37" s="463">
        <f>11.4+303091.467395136</f>
        <v>303102.86739513604</v>
      </c>
      <c r="K37" s="463">
        <f t="shared" si="6"/>
        <v>2383806.5273110331</v>
      </c>
      <c r="L37" s="534"/>
      <c r="M37" s="534"/>
      <c r="N37" s="534"/>
      <c r="O37" s="534"/>
    </row>
    <row r="38" spans="1:15" ht="12.2" customHeight="1">
      <c r="A38" s="384" t="s">
        <v>561</v>
      </c>
      <c r="B38" s="448">
        <v>707202.36131322512</v>
      </c>
      <c r="C38" s="468">
        <v>0</v>
      </c>
      <c r="D38" s="468">
        <v>3584.6410179423601</v>
      </c>
      <c r="E38" s="468">
        <v>32105.064475072755</v>
      </c>
      <c r="F38" s="468">
        <f t="shared" si="4"/>
        <v>35689.705493015113</v>
      </c>
      <c r="G38" s="468">
        <v>36925.110938513593</v>
      </c>
      <c r="H38" s="468">
        <v>1309499.1285177036</v>
      </c>
      <c r="I38" s="468">
        <f t="shared" si="5"/>
        <v>1346424.2394562173</v>
      </c>
      <c r="J38" s="468">
        <f>306597.270553297-173.7</f>
        <v>306423.570553297</v>
      </c>
      <c r="K38" s="468">
        <f t="shared" si="6"/>
        <v>2395739.8768157545</v>
      </c>
      <c r="L38" s="534"/>
      <c r="M38" s="534"/>
      <c r="N38" s="534"/>
      <c r="O38" s="534"/>
    </row>
    <row r="39" spans="1:15" ht="12.2" customHeight="1">
      <c r="A39" s="398" t="s">
        <v>569</v>
      </c>
      <c r="B39" s="467">
        <v>721950.02782348613</v>
      </c>
      <c r="C39" s="463">
        <v>0</v>
      </c>
      <c r="D39" s="463">
        <v>3491.2470441133996</v>
      </c>
      <c r="E39" s="463">
        <v>31609.471789124236</v>
      </c>
      <c r="F39" s="463">
        <f t="shared" si="4"/>
        <v>35100.718833237639</v>
      </c>
      <c r="G39" s="463">
        <v>35984.229261848799</v>
      </c>
      <c r="H39" s="463">
        <v>1306562.5554245734</v>
      </c>
      <c r="I39" s="463">
        <f t="shared" si="5"/>
        <v>1342546.7846864222</v>
      </c>
      <c r="J39" s="466">
        <f>307835.098297977-94.2</f>
        <v>307740.89829797699</v>
      </c>
      <c r="K39" s="463">
        <f t="shared" si="6"/>
        <v>2407338.4296411234</v>
      </c>
      <c r="L39" s="534"/>
      <c r="M39" s="534"/>
      <c r="N39" s="534"/>
      <c r="O39" s="534"/>
    </row>
    <row r="40" spans="1:15" ht="12.2" customHeight="1">
      <c r="A40" s="384" t="s">
        <v>570</v>
      </c>
      <c r="B40" s="448">
        <v>732381.00667171902</v>
      </c>
      <c r="C40" s="468">
        <v>0</v>
      </c>
      <c r="D40" s="468">
        <v>3502.0075648972797</v>
      </c>
      <c r="E40" s="468">
        <v>31026.399980469974</v>
      </c>
      <c r="F40" s="468">
        <f t="shared" si="4"/>
        <v>34528.407545367256</v>
      </c>
      <c r="G40" s="468">
        <v>35911.234347405298</v>
      </c>
      <c r="H40" s="468">
        <v>1315064.7287557377</v>
      </c>
      <c r="I40" s="468">
        <f t="shared" si="5"/>
        <v>1350975.963103143</v>
      </c>
      <c r="J40" s="468">
        <f>309049.132024876-59.9</f>
        <v>308989.23202487599</v>
      </c>
      <c r="K40" s="468">
        <f t="shared" si="6"/>
        <v>2426874.609345105</v>
      </c>
      <c r="L40" s="534"/>
      <c r="M40" s="534"/>
      <c r="N40" s="534"/>
      <c r="O40" s="534"/>
    </row>
    <row r="41" spans="1:15" ht="12.2" customHeight="1">
      <c r="A41" s="398" t="s">
        <v>562</v>
      </c>
      <c r="B41" s="467">
        <v>739836.05829066201</v>
      </c>
      <c r="C41" s="463">
        <v>0</v>
      </c>
      <c r="D41" s="463">
        <v>3497.7091009384003</v>
      </c>
      <c r="E41" s="463">
        <v>31869.050025919005</v>
      </c>
      <c r="F41" s="463">
        <f t="shared" si="4"/>
        <v>35366.759126857403</v>
      </c>
      <c r="G41" s="463">
        <v>35750.953809744904</v>
      </c>
      <c r="H41" s="463">
        <v>1335529.3385589498</v>
      </c>
      <c r="I41" s="463">
        <f t="shared" si="5"/>
        <v>1371280.2923686947</v>
      </c>
      <c r="J41" s="466">
        <f>310891.126221912-305</f>
        <v>310586.12622191198</v>
      </c>
      <c r="K41" s="463">
        <f t="shared" si="6"/>
        <v>2457069.2360081263</v>
      </c>
      <c r="L41" s="534"/>
      <c r="M41" s="534"/>
      <c r="N41" s="534"/>
      <c r="O41" s="534"/>
    </row>
    <row r="42" spans="1:15" ht="12.2" customHeight="1">
      <c r="A42" s="384" t="s">
        <v>571</v>
      </c>
      <c r="B42" s="448">
        <v>762734.79588745115</v>
      </c>
      <c r="C42" s="468">
        <v>0</v>
      </c>
      <c r="D42" s="468">
        <v>3353.8306364865202</v>
      </c>
      <c r="E42" s="468">
        <v>31603.76280450726</v>
      </c>
      <c r="F42" s="468">
        <f t="shared" si="4"/>
        <v>34957.593440993776</v>
      </c>
      <c r="G42" s="468">
        <v>36115.590207848501</v>
      </c>
      <c r="H42" s="468">
        <v>1338738.8705848656</v>
      </c>
      <c r="I42" s="468">
        <f t="shared" si="5"/>
        <v>1374854.460792714</v>
      </c>
      <c r="J42" s="468">
        <v>310276.44841960969</v>
      </c>
      <c r="K42" s="468">
        <f t="shared" si="6"/>
        <v>2482823.2985407687</v>
      </c>
      <c r="L42" s="534"/>
      <c r="M42" s="534"/>
      <c r="N42" s="534"/>
      <c r="O42" s="534"/>
    </row>
    <row r="43" spans="1:15" ht="12.2" customHeight="1">
      <c r="A43" s="398" t="s">
        <v>572</v>
      </c>
      <c r="B43" s="467">
        <v>768842.89566831302</v>
      </c>
      <c r="C43" s="463">
        <v>0</v>
      </c>
      <c r="D43" s="463">
        <v>3335.1119400429097</v>
      </c>
      <c r="E43" s="463">
        <v>30957.569226900443</v>
      </c>
      <c r="F43" s="463">
        <f t="shared" si="4"/>
        <v>34292.681166943352</v>
      </c>
      <c r="G43" s="463">
        <v>36626.783615982895</v>
      </c>
      <c r="H43" s="463">
        <v>1358420.0537788344</v>
      </c>
      <c r="I43" s="463">
        <f t="shared" si="5"/>
        <v>1395046.8373948173</v>
      </c>
      <c r="J43" s="463">
        <f>311606.18872846+18.8</f>
        <v>311624.98872845998</v>
      </c>
      <c r="K43" s="463">
        <f t="shared" si="6"/>
        <v>2509807.4029585337</v>
      </c>
      <c r="L43" s="534"/>
      <c r="M43" s="534"/>
      <c r="N43" s="534"/>
      <c r="O43" s="534"/>
    </row>
    <row r="44" spans="1:15" ht="12.2" customHeight="1">
      <c r="A44" s="1673" t="s">
        <v>563</v>
      </c>
      <c r="B44" s="448">
        <v>765636.51602964511</v>
      </c>
      <c r="C44" s="468">
        <v>0</v>
      </c>
      <c r="D44" s="468">
        <v>3347.7066646281901</v>
      </c>
      <c r="E44" s="468">
        <v>30452.255932425949</v>
      </c>
      <c r="F44" s="468">
        <f t="shared" si="4"/>
        <v>33799.962597054138</v>
      </c>
      <c r="G44" s="468">
        <v>37659.8685549316</v>
      </c>
      <c r="H44" s="468">
        <v>1375521.9983677785</v>
      </c>
      <c r="I44" s="468">
        <f t="shared" si="5"/>
        <v>1413181.8669227101</v>
      </c>
      <c r="J44" s="468">
        <f>314163.13275918-263.5</f>
        <v>313899.63275917998</v>
      </c>
      <c r="K44" s="468">
        <f t="shared" si="6"/>
        <v>2526517.9783085892</v>
      </c>
      <c r="L44" s="534"/>
      <c r="M44" s="534"/>
      <c r="N44" s="534"/>
      <c r="O44" s="534"/>
    </row>
    <row r="45" spans="1:15" ht="13.5" customHeight="1">
      <c r="A45" s="1674" t="s">
        <v>2680</v>
      </c>
      <c r="B45" s="467"/>
      <c r="C45" s="463"/>
      <c r="D45" s="463"/>
      <c r="E45" s="463"/>
      <c r="F45" s="463"/>
      <c r="G45" s="463"/>
      <c r="H45" s="463"/>
      <c r="I45" s="463"/>
      <c r="J45" s="463"/>
      <c r="K45" s="463"/>
      <c r="L45" s="534"/>
      <c r="M45" s="534"/>
      <c r="N45" s="534"/>
      <c r="O45" s="534"/>
    </row>
    <row r="46" spans="1:15" ht="12.2" customHeight="1">
      <c r="A46" s="1706" t="s">
        <v>565</v>
      </c>
      <c r="B46" s="448">
        <v>780521.218609025</v>
      </c>
      <c r="C46" s="468">
        <v>0</v>
      </c>
      <c r="D46" s="468">
        <v>3349.5211236978398</v>
      </c>
      <c r="E46" s="468">
        <v>29095.88714588113</v>
      </c>
      <c r="F46" s="468">
        <f>D46+E46</f>
        <v>32445.408269578969</v>
      </c>
      <c r="G46" s="468">
        <v>38206.559980418497</v>
      </c>
      <c r="H46" s="468">
        <v>1371757.0071629062</v>
      </c>
      <c r="I46" s="468">
        <f>G46+H46</f>
        <v>1409963.5671433248</v>
      </c>
      <c r="J46" s="468">
        <v>313196.2095992</v>
      </c>
      <c r="K46" s="468">
        <f t="shared" si="6"/>
        <v>2536126.4036211288</v>
      </c>
      <c r="L46" s="534"/>
      <c r="M46" s="534"/>
      <c r="N46" s="534"/>
      <c r="O46" s="534"/>
    </row>
    <row r="47" spans="1:15" ht="12.2" customHeight="1">
      <c r="A47" s="398" t="s">
        <v>566</v>
      </c>
      <c r="B47" s="467">
        <v>771847.37431936816</v>
      </c>
      <c r="C47" s="463">
        <v>0</v>
      </c>
      <c r="D47" s="463">
        <v>3362.2743543024199</v>
      </c>
      <c r="E47" s="463">
        <v>28191.901033495134</v>
      </c>
      <c r="F47" s="463">
        <f>D47+E47</f>
        <v>31554.175387797553</v>
      </c>
      <c r="G47" s="463">
        <v>37453.427583310098</v>
      </c>
      <c r="H47" s="463">
        <v>1382513.1799171905</v>
      </c>
      <c r="I47" s="463">
        <f>G47+H47</f>
        <v>1419966.6075005005</v>
      </c>
      <c r="J47" s="463">
        <v>310602.23956987</v>
      </c>
      <c r="K47" s="463">
        <f t="shared" si="6"/>
        <v>2533970.3967775358</v>
      </c>
      <c r="L47" s="534"/>
      <c r="M47" s="534"/>
      <c r="N47" s="534"/>
      <c r="O47" s="534"/>
    </row>
    <row r="48" spans="1:15" ht="12.2" customHeight="1">
      <c r="A48" s="1735" t="s">
        <v>560</v>
      </c>
      <c r="B48" s="448">
        <v>756937.52217422798</v>
      </c>
      <c r="C48" s="468">
        <v>0</v>
      </c>
      <c r="D48" s="468">
        <v>3363.3486986155503</v>
      </c>
      <c r="E48" s="468">
        <v>28379.458638885437</v>
      </c>
      <c r="F48" s="468">
        <f>D48+E48</f>
        <v>31742.807337500988</v>
      </c>
      <c r="G48" s="468">
        <v>35855.137606929602</v>
      </c>
      <c r="H48" s="468">
        <v>1391902.42333643</v>
      </c>
      <c r="I48" s="468">
        <f>G48+H48</f>
        <v>1427757.5609433595</v>
      </c>
      <c r="J48" s="468">
        <f>310875.111206243-358.1</f>
        <v>310517.01120624301</v>
      </c>
      <c r="K48" s="468">
        <f t="shared" si="6"/>
        <v>2526954.9016613318</v>
      </c>
      <c r="L48" s="534"/>
      <c r="M48" s="534"/>
      <c r="N48" s="534"/>
      <c r="O48" s="534"/>
    </row>
    <row r="49" spans="1:15" ht="12.2" customHeight="1">
      <c r="A49" s="398" t="s">
        <v>567</v>
      </c>
      <c r="B49" s="467">
        <v>774251.02781654103</v>
      </c>
      <c r="C49" s="463">
        <v>0</v>
      </c>
      <c r="D49" s="463">
        <v>3358.1168288926597</v>
      </c>
      <c r="E49" s="463">
        <v>27858.564996198249</v>
      </c>
      <c r="F49" s="463">
        <f>D49+E49</f>
        <v>31216.681825090909</v>
      </c>
      <c r="G49" s="463">
        <v>36103.061625065704</v>
      </c>
      <c r="H49" s="463">
        <v>1396108.6126015091</v>
      </c>
      <c r="I49" s="463">
        <f>G49+H49</f>
        <v>1432211.6742265748</v>
      </c>
      <c r="J49" s="463">
        <f>311158.174897001-268.4</f>
        <v>310889.77489700099</v>
      </c>
      <c r="K49" s="463">
        <f t="shared" si="6"/>
        <v>2548569.158765208</v>
      </c>
      <c r="L49" s="534"/>
      <c r="M49" s="534"/>
      <c r="N49" s="534"/>
      <c r="O49" s="534"/>
    </row>
    <row r="50" spans="1:15" ht="12.2" customHeight="1">
      <c r="A50" s="1771" t="s">
        <v>568</v>
      </c>
      <c r="B50" s="448">
        <v>782528.61833041604</v>
      </c>
      <c r="C50" s="468">
        <v>0</v>
      </c>
      <c r="D50" s="468">
        <v>3367.6413781691604</v>
      </c>
      <c r="E50" s="468">
        <v>28894.083523083638</v>
      </c>
      <c r="F50" s="468">
        <f t="shared" ref="F50:F51" si="8">D50+E50</f>
        <v>32261.724901252797</v>
      </c>
      <c r="G50" s="468">
        <v>36439.919098197097</v>
      </c>
      <c r="H50" s="468">
        <v>1401696.4018769511</v>
      </c>
      <c r="I50" s="468">
        <f t="shared" ref="I50:I51" si="9">G50+H50</f>
        <v>1438136.3209751481</v>
      </c>
      <c r="J50" s="468">
        <f>312542.477654873-374.9</f>
        <v>312167.57765487296</v>
      </c>
      <c r="K50" s="468">
        <f t="shared" si="6"/>
        <v>2565094.2418616898</v>
      </c>
      <c r="L50" s="534"/>
      <c r="M50" s="534"/>
      <c r="N50" s="534"/>
      <c r="O50" s="534"/>
    </row>
    <row r="51" spans="1:15" ht="12.2" customHeight="1" thickBot="1">
      <c r="A51" s="854" t="s">
        <v>561</v>
      </c>
      <c r="B51" s="1740">
        <v>754897.92711423303</v>
      </c>
      <c r="C51" s="1596">
        <v>0</v>
      </c>
      <c r="D51" s="1596">
        <v>3401.8893887181002</v>
      </c>
      <c r="E51" s="1596">
        <v>31788.874221413826</v>
      </c>
      <c r="F51" s="1596">
        <f t="shared" si="8"/>
        <v>35190.763610131922</v>
      </c>
      <c r="G51" s="1596">
        <v>37208.583261708998</v>
      </c>
      <c r="H51" s="1596">
        <v>1415940.7103968346</v>
      </c>
      <c r="I51" s="1596">
        <f t="shared" si="9"/>
        <v>1453149.2936585436</v>
      </c>
      <c r="J51" s="1596">
        <f>318039.606189686-413</f>
        <v>317626.60618968599</v>
      </c>
      <c r="K51" s="1596">
        <f t="shared" si="6"/>
        <v>2560864.5905725947</v>
      </c>
      <c r="L51" s="534"/>
      <c r="M51" s="534"/>
      <c r="N51" s="534"/>
      <c r="O51" s="534"/>
    </row>
    <row r="52" spans="1:15" s="484" customFormat="1" ht="11.25" customHeight="1">
      <c r="A52" s="535" t="s">
        <v>217</v>
      </c>
      <c r="B52" s="261" t="s">
        <v>1418</v>
      </c>
      <c r="C52" s="261"/>
      <c r="D52" s="261"/>
      <c r="E52" s="261"/>
      <c r="F52" s="261"/>
      <c r="G52" s="536" t="s">
        <v>1261</v>
      </c>
      <c r="H52" s="537"/>
      <c r="I52" s="537"/>
      <c r="J52" s="537"/>
      <c r="K52" s="537"/>
      <c r="L52" s="534"/>
      <c r="M52" s="539"/>
      <c r="N52" s="534"/>
    </row>
    <row r="53" spans="1:15" s="611" customFormat="1" ht="11.25" customHeight="1">
      <c r="A53" s="223"/>
      <c r="B53" s="262" t="s">
        <v>1397</v>
      </c>
      <c r="C53" s="262"/>
      <c r="D53" s="262"/>
      <c r="E53" s="1205" t="s">
        <v>1348</v>
      </c>
      <c r="F53" s="975"/>
      <c r="G53" s="975"/>
      <c r="H53" s="975"/>
      <c r="I53" s="975"/>
      <c r="J53" s="975"/>
      <c r="K53" s="975"/>
      <c r="L53" s="534"/>
      <c r="M53" s="721"/>
    </row>
    <row r="54" spans="1:15" s="484" customFormat="1" ht="11.25" customHeight="1">
      <c r="A54" s="534"/>
      <c r="B54" s="534"/>
      <c r="C54" s="534"/>
      <c r="D54" s="975"/>
      <c r="E54" s="534"/>
      <c r="F54" s="975"/>
      <c r="G54" s="975"/>
      <c r="H54" s="975"/>
      <c r="I54" s="975"/>
      <c r="J54" s="975"/>
      <c r="K54" s="975"/>
      <c r="L54" s="534"/>
      <c r="M54" s="721"/>
    </row>
    <row r="55" spans="1:15" s="484" customFormat="1" ht="11.25" customHeight="1">
      <c r="A55" s="534"/>
      <c r="B55" s="534"/>
      <c r="C55" s="534"/>
      <c r="D55" s="975"/>
      <c r="E55" s="534"/>
      <c r="F55" s="975"/>
      <c r="G55" s="975"/>
      <c r="H55" s="975"/>
      <c r="I55" s="975"/>
      <c r="J55" s="975"/>
      <c r="K55" s="975"/>
      <c r="L55" s="534"/>
      <c r="M55" s="721"/>
    </row>
    <row r="56" spans="1:15" s="484" customFormat="1" ht="11.25" customHeight="1">
      <c r="A56" s="534"/>
      <c r="B56" s="534"/>
      <c r="C56" s="534"/>
      <c r="D56" s="975"/>
      <c r="E56" s="534"/>
      <c r="F56" s="975"/>
      <c r="G56" s="975"/>
      <c r="H56" s="975"/>
      <c r="I56" s="975"/>
      <c r="J56" s="975"/>
      <c r="K56" s="975"/>
      <c r="L56" s="534"/>
      <c r="M56" s="721"/>
    </row>
    <row r="57" spans="1:15" s="484" customFormat="1" ht="11.25" customHeight="1">
      <c r="A57" s="534"/>
      <c r="B57" s="534"/>
      <c r="C57" s="534"/>
      <c r="D57" s="975"/>
      <c r="E57" s="534"/>
      <c r="F57" s="975"/>
      <c r="G57" s="975"/>
      <c r="H57" s="975"/>
      <c r="I57" s="975"/>
      <c r="J57" s="975"/>
      <c r="K57" s="975"/>
      <c r="L57" s="534"/>
      <c r="M57" s="721"/>
    </row>
    <row r="58" spans="1:15" s="484" customFormat="1" ht="11.25" customHeight="1">
      <c r="A58" s="534"/>
      <c r="B58" s="534"/>
      <c r="C58" s="534"/>
      <c r="D58" s="975"/>
      <c r="E58" s="534"/>
      <c r="F58" s="975"/>
      <c r="G58" s="539"/>
      <c r="H58" s="975"/>
      <c r="I58" s="975"/>
      <c r="J58" s="975"/>
      <c r="K58" s="975"/>
      <c r="L58" s="534"/>
      <c r="M58" s="721"/>
    </row>
    <row r="59" spans="1:15" s="484" customFormat="1" ht="11.25" customHeight="1">
      <c r="A59" s="534"/>
      <c r="B59" s="534"/>
      <c r="C59" s="534"/>
      <c r="D59" s="975"/>
      <c r="E59" s="534"/>
      <c r="F59" s="975"/>
      <c r="G59" s="539"/>
      <c r="H59" s="975"/>
      <c r="I59" s="975"/>
      <c r="J59" s="975"/>
      <c r="K59" s="975"/>
      <c r="L59" s="534"/>
    </row>
    <row r="60" spans="1:15" s="484" customFormat="1" ht="11.25" customHeight="1">
      <c r="A60" s="534"/>
      <c r="B60" s="534"/>
      <c r="C60" s="534"/>
      <c r="D60" s="975"/>
      <c r="E60" s="534"/>
      <c r="F60" s="975"/>
      <c r="G60" s="539"/>
      <c r="H60" s="975"/>
      <c r="I60" s="975"/>
      <c r="J60" s="975"/>
      <c r="K60" s="975"/>
      <c r="L60" s="534"/>
    </row>
    <row r="61" spans="1:15" s="484" customFormat="1" ht="11.25" customHeight="1">
      <c r="A61" s="534"/>
      <c r="B61" s="534"/>
      <c r="C61" s="534"/>
      <c r="D61" s="975"/>
      <c r="E61" s="534"/>
      <c r="F61" s="975"/>
      <c r="G61" s="539"/>
      <c r="H61" s="975"/>
      <c r="I61" s="975"/>
      <c r="J61" s="975"/>
      <c r="K61" s="975"/>
      <c r="L61" s="534"/>
    </row>
    <row r="62" spans="1:15" ht="11.25" customHeight="1">
      <c r="A62" s="534"/>
      <c r="B62" s="534"/>
      <c r="C62" s="534"/>
      <c r="D62" s="975"/>
      <c r="E62" s="534"/>
      <c r="F62" s="975"/>
      <c r="G62" s="539"/>
      <c r="H62" s="975"/>
      <c r="I62" s="975"/>
      <c r="J62" s="975"/>
      <c r="K62" s="975"/>
      <c r="L62" s="534"/>
    </row>
    <row r="63" spans="1:15" ht="11.25" customHeight="1">
      <c r="A63" s="534"/>
      <c r="B63" s="534"/>
      <c r="C63" s="534"/>
      <c r="D63" s="975"/>
      <c r="E63" s="534"/>
      <c r="F63" s="975"/>
      <c r="G63" s="539"/>
      <c r="H63" s="975"/>
      <c r="I63" s="975"/>
      <c r="J63" s="975"/>
      <c r="K63" s="975"/>
      <c r="L63" s="534"/>
    </row>
    <row r="64" spans="1:15" ht="11.25" customHeight="1">
      <c r="A64" s="534"/>
      <c r="B64" s="534"/>
      <c r="C64" s="534"/>
      <c r="D64" s="539"/>
      <c r="E64" s="534"/>
      <c r="F64" s="975"/>
      <c r="G64" s="539"/>
      <c r="H64" s="539"/>
      <c r="I64" s="975"/>
      <c r="J64" s="539"/>
      <c r="K64" s="975"/>
      <c r="L64" s="534"/>
    </row>
    <row r="65" spans="1:12" ht="11.25" customHeight="1">
      <c r="A65" s="534"/>
      <c r="B65" s="534"/>
      <c r="C65" s="534"/>
      <c r="D65" s="539"/>
      <c r="E65" s="539"/>
      <c r="F65" s="534"/>
      <c r="G65" s="539"/>
      <c r="H65" s="539"/>
      <c r="I65" s="534"/>
      <c r="J65" s="539"/>
      <c r="L65" s="539"/>
    </row>
    <row r="66" spans="1:12" ht="11.25" customHeight="1">
      <c r="B66" s="534"/>
      <c r="C66" s="534"/>
      <c r="D66" s="539"/>
      <c r="E66" s="539"/>
      <c r="F66" s="534"/>
      <c r="G66" s="539"/>
      <c r="H66" s="539"/>
      <c r="I66" s="534"/>
      <c r="J66" s="539"/>
      <c r="L66" s="539"/>
    </row>
    <row r="67" spans="1:12" ht="11.25" customHeight="1">
      <c r="B67" s="534"/>
      <c r="C67" s="534"/>
      <c r="D67" s="539"/>
      <c r="E67" s="539"/>
      <c r="G67" s="539"/>
      <c r="H67" s="539"/>
      <c r="J67" s="539"/>
      <c r="L67" s="539"/>
    </row>
    <row r="68" spans="1:12" ht="11.25" customHeight="1">
      <c r="B68" s="534"/>
      <c r="C68" s="534"/>
      <c r="D68" s="539"/>
      <c r="E68" s="539"/>
      <c r="G68" s="539"/>
      <c r="H68" s="539"/>
      <c r="J68" s="539"/>
      <c r="L68" s="539"/>
    </row>
    <row r="69" spans="1:12" ht="11.25" customHeight="1">
      <c r="B69" s="534"/>
      <c r="C69" s="539"/>
      <c r="D69" s="539"/>
      <c r="E69" s="539"/>
      <c r="G69" s="539"/>
      <c r="H69" s="539"/>
      <c r="J69" s="539"/>
      <c r="L69" s="539"/>
    </row>
    <row r="70" spans="1:12" ht="11.25" customHeight="1">
      <c r="B70" s="534"/>
      <c r="C70" s="539"/>
      <c r="D70" s="539"/>
      <c r="E70" s="539"/>
      <c r="G70" s="539"/>
      <c r="H70" s="539"/>
      <c r="J70" s="539"/>
      <c r="L70" s="539"/>
    </row>
    <row r="71" spans="1:12" ht="11.25" customHeight="1">
      <c r="B71" s="534"/>
      <c r="C71" s="539"/>
      <c r="D71" s="539"/>
      <c r="E71" s="539"/>
      <c r="G71" s="539"/>
      <c r="H71" s="539"/>
      <c r="J71" s="539"/>
      <c r="L71" s="539"/>
    </row>
    <row r="72" spans="1:12" ht="11.25" customHeight="1">
      <c r="B72" s="534"/>
      <c r="C72" s="539"/>
      <c r="D72" s="539"/>
      <c r="E72" s="539"/>
      <c r="G72" s="539"/>
      <c r="H72" s="539"/>
      <c r="J72" s="539"/>
      <c r="L72" s="539"/>
    </row>
    <row r="73" spans="1:12" ht="11.25" customHeight="1">
      <c r="B73" s="534"/>
      <c r="C73" s="539"/>
      <c r="D73" s="539"/>
      <c r="E73" s="539"/>
      <c r="G73" s="539"/>
      <c r="H73" s="539"/>
      <c r="J73" s="539"/>
    </row>
    <row r="74" spans="1:12" ht="11.25" customHeight="1">
      <c r="B74" s="534"/>
      <c r="C74" s="539"/>
      <c r="D74" s="539"/>
      <c r="E74" s="539"/>
      <c r="G74" s="539"/>
      <c r="H74" s="539"/>
    </row>
    <row r="75" spans="1:12" ht="11.25" customHeight="1">
      <c r="B75" s="534"/>
      <c r="C75" s="534"/>
      <c r="D75" s="534"/>
      <c r="E75" s="539"/>
      <c r="F75" s="534"/>
      <c r="G75" s="534"/>
      <c r="H75" s="534"/>
      <c r="I75" s="534"/>
      <c r="J75" s="534"/>
      <c r="K75" s="534"/>
    </row>
    <row r="76" spans="1:12" ht="11.25" customHeight="1">
      <c r="B76" s="534"/>
      <c r="C76" s="534"/>
      <c r="D76" s="534"/>
      <c r="E76" s="534"/>
      <c r="F76" s="534"/>
      <c r="G76" s="534"/>
      <c r="H76" s="534"/>
      <c r="I76" s="534"/>
      <c r="J76" s="534"/>
      <c r="K76" s="534"/>
    </row>
    <row r="77" spans="1:12" ht="11.25" customHeight="1">
      <c r="B77" s="534"/>
      <c r="C77" s="534"/>
      <c r="D77" s="534"/>
      <c r="E77" s="534"/>
      <c r="F77" s="534"/>
      <c r="G77" s="534"/>
      <c r="H77" s="534"/>
      <c r="I77" s="534"/>
      <c r="J77" s="534"/>
      <c r="K77" s="534"/>
    </row>
    <row r="78" spans="1:12" ht="11.25" customHeight="1">
      <c r="B78" s="534"/>
      <c r="C78" s="534"/>
      <c r="D78" s="534"/>
      <c r="E78" s="534"/>
      <c r="F78" s="534"/>
      <c r="G78" s="534"/>
      <c r="H78" s="534"/>
      <c r="I78" s="534"/>
      <c r="J78" s="534"/>
      <c r="K78" s="534"/>
    </row>
    <row r="79" spans="1:12" ht="11.25" customHeight="1">
      <c r="B79" s="534"/>
      <c r="C79" s="534"/>
      <c r="D79" s="534"/>
      <c r="E79" s="534"/>
      <c r="F79" s="534"/>
      <c r="G79" s="534"/>
      <c r="H79" s="534"/>
      <c r="I79" s="534"/>
      <c r="J79" s="534"/>
      <c r="K79" s="534"/>
    </row>
    <row r="80" spans="1:12" ht="11.25" customHeight="1">
      <c r="B80" s="534"/>
      <c r="C80" s="534"/>
      <c r="D80" s="534"/>
      <c r="E80" s="534"/>
      <c r="F80" s="534"/>
      <c r="G80" s="534"/>
      <c r="H80" s="534"/>
      <c r="I80" s="534"/>
      <c r="J80" s="534"/>
      <c r="K80" s="534"/>
    </row>
    <row r="81" spans="2:11" ht="11.25" customHeight="1">
      <c r="B81" s="534"/>
      <c r="C81" s="534"/>
      <c r="D81" s="534"/>
      <c r="E81" s="534"/>
      <c r="F81" s="534"/>
      <c r="G81" s="534"/>
      <c r="H81" s="534"/>
      <c r="I81" s="534"/>
      <c r="J81" s="534"/>
      <c r="K81" s="534"/>
    </row>
    <row r="82" spans="2:11" ht="11.25" customHeight="1">
      <c r="B82" s="534"/>
      <c r="C82" s="534"/>
      <c r="D82" s="534"/>
      <c r="E82" s="534"/>
      <c r="F82" s="534"/>
      <c r="G82" s="534"/>
      <c r="H82" s="534"/>
      <c r="I82" s="534"/>
      <c r="J82" s="534"/>
      <c r="K82" s="534"/>
    </row>
    <row r="83" spans="2:11" ht="11.25" customHeight="1">
      <c r="B83" s="534"/>
      <c r="C83" s="534"/>
      <c r="D83" s="534"/>
      <c r="E83" s="534"/>
      <c r="F83" s="534"/>
      <c r="G83" s="534"/>
      <c r="H83" s="534"/>
      <c r="I83" s="534"/>
      <c r="J83" s="534"/>
      <c r="K83" s="534"/>
    </row>
    <row r="84" spans="2:11" ht="11.25" customHeight="1">
      <c r="B84" s="534"/>
      <c r="C84" s="534"/>
      <c r="D84" s="534"/>
      <c r="E84" s="534"/>
      <c r="F84" s="534"/>
      <c r="G84" s="534"/>
      <c r="H84" s="534"/>
      <c r="I84" s="534"/>
      <c r="J84" s="534"/>
      <c r="K84" s="534"/>
    </row>
    <row r="85" spans="2:11" ht="11.25" customHeight="1">
      <c r="B85" s="534"/>
      <c r="C85" s="534"/>
      <c r="D85" s="534"/>
      <c r="E85" s="534"/>
      <c r="F85" s="534"/>
      <c r="G85" s="534"/>
      <c r="H85" s="534"/>
      <c r="I85" s="534"/>
      <c r="J85" s="534"/>
      <c r="K85" s="534"/>
    </row>
  </sheetData>
  <customSheetViews>
    <customSheetView guid="{A374FC54-96E3-45F0-9C12-8450400C12DF}" scale="150">
      <pane xSplit="1" ySplit="5" topLeftCell="G42" activePane="bottomRight" state="frozen"/>
      <selection pane="bottomRight" activeCell="M50" sqref="M50"/>
      <pageMargins left="0.62992125984252001" right="0.511811023622047" top="0.511811023622047" bottom="0.31496062992126" header="0" footer="0.31496062992126"/>
      <pageSetup paperSize="132" firstPageNumber="20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K3:K4"/>
    <mergeCell ref="G3:I3"/>
    <mergeCell ref="B3:B4"/>
    <mergeCell ref="A3:A5"/>
    <mergeCell ref="G1:I1"/>
    <mergeCell ref="J3:J4"/>
    <mergeCell ref="D1:F1"/>
    <mergeCell ref="C3:C4"/>
    <mergeCell ref="D3:F3"/>
  </mergeCells>
  <phoneticPr fontId="5" type="noConversion"/>
  <conditionalFormatting sqref="B6:K10 A6:A14">
    <cfRule type="expression" dxfId="1" priority="60" stopIfTrue="1">
      <formula>MOD(ROW(),2)=1</formula>
    </cfRule>
  </conditionalFormatting>
  <conditionalFormatting sqref="A13:A14">
    <cfRule type="expression" dxfId="0" priority="55" stopIfTrue="1">
      <formula>MOD(ROW(),2)=1</formula>
    </cfRule>
    <cfRule type="expression" priority="56" stopIfTrue="1">
      <formula>MOD(ROW(),2)=1</formula>
    </cfRule>
  </conditionalFormatting>
  <conditionalFormatting sqref="A13:A14">
    <cfRule type="expression" priority="54" stopIfTrue="1">
      <formula>MOD(row,0)=0</formula>
    </cfRule>
  </conditionalFormatting>
  <conditionalFormatting sqref="A13:A14">
    <cfRule type="expression" priority="53" stopIfTrue="1">
      <formula>MOD((((#REF!))),0)=0</formula>
    </cfRule>
  </conditionalFormatting>
  <pageMargins left="0.62992125984252001" right="0.511811023622047" top="0.511811023622047" bottom="0.31496062992126" header="0" footer="0.31496062992126"/>
  <pageSetup paperSize="448" firstPageNumber="20" orientation="portrait" useFirstPageNumber="1" r:id="rId2"/>
  <headerFooter alignWithMargins="0">
    <oddFooter>&amp;C&amp;"Times New Roman,Regular"&amp;8&amp;P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DF68"/>
  <sheetViews>
    <sheetView zoomScale="150" zoomScaleNormal="150" workbookViewId="0">
      <pane xSplit="2" ySplit="1" topLeftCell="BB2" activePane="bottomRight" state="frozen"/>
      <selection activeCell="F85" sqref="F85"/>
      <selection pane="topRight" activeCell="F85" sqref="F85"/>
      <selection pane="bottomLeft" activeCell="F85" sqref="F85"/>
      <selection pane="bottomRight" activeCell="BL7" sqref="BL7"/>
    </sheetView>
  </sheetViews>
  <sheetFormatPr defaultRowHeight="12.75"/>
  <cols>
    <col min="1" max="1" width="7.85546875" style="1528" customWidth="1"/>
    <col min="2" max="2" width="7.28515625" style="1528" customWidth="1"/>
    <col min="3" max="3" width="8" style="1528" customWidth="1"/>
    <col min="4" max="4" width="5.85546875" style="1528" customWidth="1"/>
    <col min="5" max="5" width="6" style="1528" customWidth="1"/>
    <col min="6" max="6" width="7.42578125" style="1528" customWidth="1"/>
    <col min="7" max="7" width="7.7109375" style="1528" customWidth="1"/>
    <col min="8" max="8" width="7.5703125" style="1528" customWidth="1"/>
    <col min="9" max="9" width="6.85546875" style="1528" customWidth="1"/>
    <col min="10" max="10" width="6.7109375" style="1528" customWidth="1"/>
    <col min="11" max="11" width="6" style="1528" customWidth="1"/>
    <col min="12" max="12" width="5.140625" style="1528" customWidth="1"/>
    <col min="13" max="13" width="4.28515625" style="1528" customWidth="1"/>
    <col min="14" max="14" width="7.5703125" style="1528" customWidth="1"/>
    <col min="15" max="15" width="6.140625" style="1528" customWidth="1"/>
    <col min="16" max="16" width="6.85546875" style="1528" customWidth="1"/>
    <col min="17" max="17" width="5.42578125" style="1528" customWidth="1"/>
    <col min="18" max="18" width="6.7109375" style="1528" customWidth="1"/>
    <col min="19" max="19" width="5.140625" style="1528" customWidth="1"/>
    <col min="20" max="20" width="6.42578125" style="1528" customWidth="1"/>
    <col min="21" max="21" width="4.85546875" style="1528" customWidth="1"/>
    <col min="22" max="22" width="7.28515625" style="1528" customWidth="1"/>
    <col min="23" max="23" width="6.28515625" style="1528" customWidth="1"/>
    <col min="24" max="24" width="6.85546875" style="1528" customWidth="1"/>
    <col min="25" max="25" width="7.5703125" style="1528" customWidth="1"/>
    <col min="26" max="26" width="8.42578125" style="1528" customWidth="1"/>
    <col min="27" max="27" width="6.85546875" style="1528" customWidth="1"/>
    <col min="28" max="28" width="5" style="1528" customWidth="1"/>
    <col min="29" max="29" width="5.140625" style="1528" customWidth="1"/>
    <col min="30" max="30" width="7.5703125" style="1528" customWidth="1"/>
    <col min="31" max="32" width="5.85546875" style="1528" customWidth="1"/>
    <col min="33" max="33" width="4.7109375" style="1528" customWidth="1"/>
    <col min="34" max="34" width="7.28515625" style="1528" customWidth="1"/>
    <col min="35" max="35" width="5.140625" style="1528" customWidth="1"/>
    <col min="36" max="36" width="5.85546875" style="1528" customWidth="1"/>
    <col min="37" max="37" width="4.140625" style="1528" customWidth="1"/>
    <col min="38" max="38" width="8.28515625" style="1528" customWidth="1"/>
    <col min="39" max="39" width="7.7109375" style="1528" customWidth="1"/>
    <col min="40" max="40" width="6.5703125" style="1528" customWidth="1"/>
    <col min="41" max="41" width="5.28515625" style="1528" customWidth="1"/>
    <col min="42" max="42" width="6.5703125" style="1528" customWidth="1"/>
    <col min="43" max="43" width="5.140625" style="1528" customWidth="1"/>
    <col min="44" max="45" width="6.7109375" style="1528" customWidth="1"/>
    <col min="46" max="46" width="6.85546875" style="1528" customWidth="1"/>
    <col min="47" max="47" width="6.7109375" style="1528" customWidth="1"/>
    <col min="48" max="48" width="6.42578125" style="1528" customWidth="1"/>
    <col min="49" max="49" width="5.28515625" style="1528" customWidth="1"/>
    <col min="50" max="50" width="7" style="1528" customWidth="1"/>
    <col min="51" max="51" width="6.42578125" style="1528" customWidth="1"/>
    <col min="52" max="52" width="5.140625" style="1528" customWidth="1"/>
    <col min="53" max="53" width="7.85546875" style="1528" customWidth="1"/>
    <col min="54" max="54" width="6.85546875" style="1528" customWidth="1"/>
    <col min="55" max="55" width="6.28515625" style="184" customWidth="1"/>
    <col min="56" max="56" width="7" style="1528" customWidth="1"/>
    <col min="57" max="57" width="6.28515625" style="1528" customWidth="1"/>
    <col min="58" max="58" width="7.28515625" style="1528" customWidth="1"/>
    <col min="59" max="59" width="6.7109375" style="1528" customWidth="1"/>
    <col min="60" max="60" width="7.28515625" style="1528" customWidth="1"/>
    <col min="61" max="61" width="6.85546875" style="1528" customWidth="1"/>
    <col min="62" max="62" width="8.140625" style="1528" customWidth="1"/>
    <col min="63" max="63" width="10" style="1528" customWidth="1"/>
    <col min="64" max="64" width="7.42578125" style="1528" customWidth="1"/>
    <col min="65" max="65" width="8.28515625" style="1528" customWidth="1"/>
    <col min="66" max="66" width="5.28515625" style="1528" customWidth="1"/>
    <col min="67" max="67" width="8.28515625" style="1528" customWidth="1"/>
    <col min="68" max="69" width="7.5703125" style="1528" customWidth="1"/>
    <col min="70" max="70" width="5.42578125" style="1528" customWidth="1"/>
    <col min="71" max="71" width="5.7109375" style="1528" customWidth="1"/>
    <col min="72" max="72" width="9.140625" style="1528"/>
    <col min="73" max="75" width="11.85546875" style="1528" bestFit="1" customWidth="1"/>
    <col min="76" max="16384" width="9.140625" style="1528"/>
  </cols>
  <sheetData>
    <row r="1" spans="1:75" ht="18.75" customHeight="1">
      <c r="A1" s="574"/>
      <c r="B1" s="574"/>
      <c r="C1" s="574"/>
      <c r="D1" s="574"/>
      <c r="E1" s="574"/>
      <c r="F1" s="2114" t="s">
        <v>2101</v>
      </c>
      <c r="G1" s="2114"/>
      <c r="H1" s="2114"/>
      <c r="I1" s="2114"/>
      <c r="J1" s="2114"/>
      <c r="K1" s="2114"/>
      <c r="L1" s="2114"/>
      <c r="M1" s="2114"/>
      <c r="N1" s="2114"/>
      <c r="O1" s="2114"/>
      <c r="P1" s="2114"/>
      <c r="Q1" s="2114"/>
      <c r="R1" s="575"/>
      <c r="S1" s="574"/>
      <c r="T1" s="574"/>
      <c r="U1" s="2161" t="s">
        <v>1584</v>
      </c>
      <c r="V1" s="2161"/>
      <c r="W1" s="2161"/>
      <c r="X1" s="2161"/>
      <c r="Y1" s="602"/>
      <c r="Z1" s="574"/>
      <c r="AA1" s="574"/>
      <c r="AB1" s="574"/>
      <c r="AC1" s="574"/>
      <c r="AD1" s="574"/>
      <c r="AE1" s="574"/>
      <c r="AF1" s="2114" t="s">
        <v>1614</v>
      </c>
      <c r="AG1" s="2114"/>
      <c r="AH1" s="2114"/>
      <c r="AI1" s="2114"/>
      <c r="AJ1" s="2114"/>
      <c r="AK1" s="2114"/>
      <c r="AL1" s="2114"/>
      <c r="AM1" s="2114"/>
      <c r="AN1" s="2114"/>
      <c r="AO1" s="2114"/>
      <c r="AP1" s="2114"/>
      <c r="AQ1" s="2114"/>
      <c r="AR1" s="574"/>
      <c r="AS1" s="2115" t="s">
        <v>2090</v>
      </c>
      <c r="AT1" s="2115"/>
      <c r="AU1" s="2115"/>
      <c r="AV1" s="2115"/>
      <c r="AW1" s="2115"/>
      <c r="AX1" s="1597"/>
      <c r="AY1" s="574"/>
      <c r="AZ1" s="574"/>
      <c r="BA1" s="574"/>
      <c r="BB1" s="574"/>
      <c r="BC1" s="575"/>
      <c r="BD1" s="575"/>
      <c r="BE1" s="2114" t="s">
        <v>2955</v>
      </c>
      <c r="BF1" s="2114"/>
      <c r="BG1" s="2114"/>
      <c r="BH1" s="2114"/>
      <c r="BI1" s="2114"/>
      <c r="BJ1" s="2114"/>
      <c r="BK1" s="2114"/>
      <c r="BL1" s="2114"/>
      <c r="BM1" s="2114"/>
      <c r="BN1" s="2114"/>
      <c r="BO1" s="575"/>
      <c r="BP1" s="2115" t="s">
        <v>2091</v>
      </c>
      <c r="BQ1" s="2115"/>
      <c r="BR1" s="2115"/>
      <c r="BS1" s="2115"/>
      <c r="BT1" s="1597"/>
      <c r="BU1" s="1597"/>
    </row>
    <row r="2" spans="1:75" ht="12.75" customHeight="1">
      <c r="A2" s="576"/>
      <c r="B2" s="576"/>
      <c r="C2" s="576"/>
      <c r="D2" s="576"/>
      <c r="E2" s="576"/>
      <c r="F2" s="576"/>
      <c r="G2" s="576"/>
      <c r="H2" s="576"/>
      <c r="I2" s="1598"/>
      <c r="J2" s="1598"/>
      <c r="K2" s="1598"/>
      <c r="L2" s="1598"/>
      <c r="M2" s="1598"/>
      <c r="N2" s="1598"/>
      <c r="O2" s="1598"/>
      <c r="P2" s="1598"/>
      <c r="Q2" s="1598"/>
      <c r="R2" s="1598"/>
      <c r="S2" s="574"/>
      <c r="T2" s="574"/>
      <c r="U2" s="2116" t="s">
        <v>1592</v>
      </c>
      <c r="V2" s="2116"/>
      <c r="W2" s="2116"/>
      <c r="X2" s="2116"/>
      <c r="Y2" s="602"/>
      <c r="Z2" s="574"/>
      <c r="AA2" s="574"/>
      <c r="AB2" s="574"/>
      <c r="AC2" s="574"/>
      <c r="AD2" s="574"/>
      <c r="AE2" s="574"/>
      <c r="AF2" s="574"/>
      <c r="AG2" s="1598"/>
      <c r="AH2" s="1598"/>
      <c r="AI2" s="1598"/>
      <c r="AJ2" s="1598"/>
      <c r="AK2" s="1598"/>
      <c r="AL2" s="1598"/>
      <c r="AM2" s="1598"/>
      <c r="AN2" s="1598"/>
      <c r="AO2" s="574"/>
      <c r="AP2" s="574"/>
      <c r="AQ2" s="574"/>
      <c r="AR2" s="574"/>
      <c r="AS2" s="2116" t="s">
        <v>2092</v>
      </c>
      <c r="AT2" s="2116"/>
      <c r="AU2" s="2116"/>
      <c r="AV2" s="2116"/>
      <c r="AW2" s="2116"/>
      <c r="AX2" s="196"/>
      <c r="AY2" s="574"/>
      <c r="AZ2" s="574"/>
      <c r="BA2" s="574"/>
      <c r="BB2" s="1598"/>
      <c r="BC2" s="1598"/>
      <c r="BD2" s="1598"/>
      <c r="BE2" s="1598"/>
      <c r="BF2" s="1598"/>
      <c r="BG2" s="1598"/>
      <c r="BH2" s="1598"/>
      <c r="BI2" s="574"/>
      <c r="BJ2" s="574"/>
      <c r="BK2" s="574"/>
      <c r="BL2" s="1598"/>
      <c r="BM2" s="1598"/>
      <c r="BN2" s="1598"/>
      <c r="BO2" s="1598"/>
      <c r="BP2" s="1598"/>
      <c r="BQ2" s="2117" t="s">
        <v>24</v>
      </c>
      <c r="BR2" s="2118"/>
      <c r="BS2" s="2118"/>
      <c r="BT2" s="196"/>
      <c r="BU2" s="196"/>
    </row>
    <row r="3" spans="1:75" ht="10.5" customHeight="1">
      <c r="A3" s="2119" t="s">
        <v>487</v>
      </c>
      <c r="B3" s="2122" t="s">
        <v>1119</v>
      </c>
      <c r="C3" s="2123"/>
      <c r="D3" s="2123"/>
      <c r="E3" s="2123"/>
      <c r="F3" s="2123"/>
      <c r="G3" s="2124"/>
      <c r="H3" s="2098" t="s">
        <v>2243</v>
      </c>
      <c r="I3" s="2099"/>
      <c r="J3" s="2130" t="s">
        <v>2584</v>
      </c>
      <c r="K3" s="2113"/>
      <c r="L3" s="2113"/>
      <c r="M3" s="2113"/>
      <c r="N3" s="2113"/>
      <c r="O3" s="2113"/>
      <c r="P3" s="2113"/>
      <c r="Q3" s="2113"/>
      <c r="R3" s="2113"/>
      <c r="S3" s="2113"/>
      <c r="T3" s="2113"/>
      <c r="U3" s="2113"/>
      <c r="V3" s="2113"/>
      <c r="W3" s="2113"/>
      <c r="X3" s="2084"/>
      <c r="Y3" s="2131" t="s">
        <v>2093</v>
      </c>
      <c r="Z3" s="1599"/>
      <c r="AA3" s="1370"/>
      <c r="AB3" s="1370"/>
      <c r="AC3" s="1370"/>
      <c r="AD3" s="1370"/>
      <c r="AE3" s="1370"/>
      <c r="AF3" s="1370"/>
      <c r="AG3" s="1370"/>
      <c r="AH3" s="1370"/>
      <c r="AI3" s="1370"/>
      <c r="AJ3" s="1370" t="s">
        <v>2094</v>
      </c>
      <c r="AK3" s="1370"/>
      <c r="AL3" s="1370" t="s">
        <v>2095</v>
      </c>
      <c r="AM3" s="1370"/>
      <c r="AN3" s="1370"/>
      <c r="AO3" s="1370"/>
      <c r="AP3" s="1370"/>
      <c r="AQ3" s="1370"/>
      <c r="AR3" s="1370"/>
      <c r="AS3" s="1370"/>
      <c r="AT3" s="1370"/>
      <c r="AU3" s="2138"/>
      <c r="AV3" s="2138"/>
      <c r="AW3" s="2139"/>
      <c r="AX3" s="2164" t="s">
        <v>487</v>
      </c>
      <c r="AY3" s="2167" t="s">
        <v>2096</v>
      </c>
      <c r="AZ3" s="2167"/>
      <c r="BA3" s="2167"/>
      <c r="BB3" s="2167"/>
      <c r="BC3" s="2122" t="s">
        <v>1192</v>
      </c>
      <c r="BD3" s="2123"/>
      <c r="BE3" s="2123"/>
      <c r="BF3" s="2124"/>
      <c r="BG3" s="2122" t="s">
        <v>1146</v>
      </c>
      <c r="BH3" s="2168"/>
      <c r="BI3" s="2169"/>
      <c r="BJ3" s="2122" t="s">
        <v>2386</v>
      </c>
      <c r="BK3" s="2123"/>
      <c r="BL3" s="2123"/>
      <c r="BM3" s="2124"/>
      <c r="BN3" s="2122" t="s">
        <v>1120</v>
      </c>
      <c r="BO3" s="2123"/>
      <c r="BP3" s="2123"/>
      <c r="BQ3" s="2124"/>
      <c r="BR3" s="2094" t="s">
        <v>2097</v>
      </c>
      <c r="BS3" s="2094" t="s">
        <v>2098</v>
      </c>
    </row>
    <row r="4" spans="1:75" ht="9" customHeight="1">
      <c r="A4" s="2120"/>
      <c r="B4" s="2125"/>
      <c r="C4" s="2126"/>
      <c r="D4" s="2126"/>
      <c r="E4" s="2126"/>
      <c r="F4" s="2126"/>
      <c r="G4" s="2127"/>
      <c r="H4" s="2128"/>
      <c r="I4" s="2129"/>
      <c r="J4" s="2137" t="s">
        <v>1121</v>
      </c>
      <c r="K4" s="2138"/>
      <c r="L4" s="2138"/>
      <c r="M4" s="2138"/>
      <c r="N4" s="2138"/>
      <c r="O4" s="2138"/>
      <c r="P4" s="2138"/>
      <c r="Q4" s="2138"/>
      <c r="R4" s="2138"/>
      <c r="S4" s="2138"/>
      <c r="T4" s="2138"/>
      <c r="U4" s="2138"/>
      <c r="V4" s="2138"/>
      <c r="W4" s="2138"/>
      <c r="X4" s="2139"/>
      <c r="Y4" s="2132"/>
      <c r="Z4" s="2137" t="s">
        <v>1122</v>
      </c>
      <c r="AA4" s="2138"/>
      <c r="AB4" s="2138"/>
      <c r="AC4" s="2138"/>
      <c r="AD4" s="2138"/>
      <c r="AE4" s="2138"/>
      <c r="AF4" s="2138"/>
      <c r="AG4" s="2138"/>
      <c r="AH4" s="2138"/>
      <c r="AI4" s="2138"/>
      <c r="AJ4" s="2138"/>
      <c r="AK4" s="2138"/>
      <c r="AL4" s="2138"/>
      <c r="AM4" s="2139"/>
      <c r="AN4" s="2140" t="s">
        <v>1123</v>
      </c>
      <c r="AO4" s="2141"/>
      <c r="AP4" s="2141"/>
      <c r="AQ4" s="2142"/>
      <c r="AR4" s="2146" t="s">
        <v>1124</v>
      </c>
      <c r="AS4" s="2147"/>
      <c r="AT4" s="2147"/>
      <c r="AU4" s="2147"/>
      <c r="AV4" s="2147"/>
      <c r="AW4" s="2148"/>
      <c r="AX4" s="2165"/>
      <c r="AY4" s="2152" t="s">
        <v>1124</v>
      </c>
      <c r="AZ4" s="2153"/>
      <c r="BA4" s="2122" t="s">
        <v>483</v>
      </c>
      <c r="BB4" s="2124"/>
      <c r="BC4" s="2125"/>
      <c r="BD4" s="2126"/>
      <c r="BE4" s="2126"/>
      <c r="BF4" s="2127"/>
      <c r="BG4" s="2170"/>
      <c r="BH4" s="2171"/>
      <c r="BI4" s="2172"/>
      <c r="BJ4" s="2125"/>
      <c r="BK4" s="2126"/>
      <c r="BL4" s="2126"/>
      <c r="BM4" s="2127"/>
      <c r="BN4" s="2125"/>
      <c r="BO4" s="2126"/>
      <c r="BP4" s="2126"/>
      <c r="BQ4" s="2127"/>
      <c r="BR4" s="2136"/>
      <c r="BS4" s="2136"/>
    </row>
    <row r="5" spans="1:75" ht="15" customHeight="1">
      <c r="A5" s="2120"/>
      <c r="B5" s="2098" t="s">
        <v>2244</v>
      </c>
      <c r="C5" s="2099"/>
      <c r="D5" s="2098" t="s">
        <v>1125</v>
      </c>
      <c r="E5" s="2099"/>
      <c r="F5" s="2098" t="s">
        <v>2245</v>
      </c>
      <c r="G5" s="2099"/>
      <c r="H5" s="2128"/>
      <c r="I5" s="2129"/>
      <c r="J5" s="2112" t="s">
        <v>2585</v>
      </c>
      <c r="K5" s="2113"/>
      <c r="L5" s="2113"/>
      <c r="M5" s="2084"/>
      <c r="N5" s="2087" t="s">
        <v>1126</v>
      </c>
      <c r="O5" s="2088"/>
      <c r="P5" s="2088"/>
      <c r="Q5" s="2089"/>
      <c r="R5" s="2087" t="s">
        <v>1127</v>
      </c>
      <c r="S5" s="2088"/>
      <c r="T5" s="2088"/>
      <c r="U5" s="2089"/>
      <c r="V5" s="2090" t="s">
        <v>483</v>
      </c>
      <c r="W5" s="2091"/>
      <c r="X5" s="2134" t="s">
        <v>2949</v>
      </c>
      <c r="Y5" s="2132"/>
      <c r="Z5" s="2087" t="s">
        <v>1562</v>
      </c>
      <c r="AA5" s="2088"/>
      <c r="AB5" s="2088"/>
      <c r="AC5" s="2089"/>
      <c r="AD5" s="2087" t="s">
        <v>1126</v>
      </c>
      <c r="AE5" s="2088"/>
      <c r="AF5" s="2088"/>
      <c r="AG5" s="2089"/>
      <c r="AH5" s="2087" t="s">
        <v>1128</v>
      </c>
      <c r="AI5" s="2088"/>
      <c r="AJ5" s="2088"/>
      <c r="AK5" s="2089"/>
      <c r="AL5" s="2090" t="s">
        <v>483</v>
      </c>
      <c r="AM5" s="2091"/>
      <c r="AN5" s="2143"/>
      <c r="AO5" s="2144"/>
      <c r="AP5" s="2144"/>
      <c r="AQ5" s="2145"/>
      <c r="AR5" s="2149"/>
      <c r="AS5" s="2150"/>
      <c r="AT5" s="2150"/>
      <c r="AU5" s="2150"/>
      <c r="AV5" s="2150"/>
      <c r="AW5" s="2151"/>
      <c r="AX5" s="2165"/>
      <c r="AY5" s="2154"/>
      <c r="AZ5" s="2155"/>
      <c r="BA5" s="2159"/>
      <c r="BB5" s="2160"/>
      <c r="BC5" s="2094" t="s">
        <v>1121</v>
      </c>
      <c r="BD5" s="2094" t="s">
        <v>1122</v>
      </c>
      <c r="BE5" s="2094" t="s">
        <v>1129</v>
      </c>
      <c r="BF5" s="2094" t="s">
        <v>483</v>
      </c>
      <c r="BG5" s="2162" t="s">
        <v>1130</v>
      </c>
      <c r="BH5" s="2098" t="s">
        <v>2586</v>
      </c>
      <c r="BI5" s="2099"/>
      <c r="BJ5" s="2094" t="s">
        <v>2387</v>
      </c>
      <c r="BK5" s="2104" t="s">
        <v>2388</v>
      </c>
      <c r="BL5" s="2105"/>
      <c r="BM5" s="2110" t="s">
        <v>2389</v>
      </c>
      <c r="BN5" s="2102" t="s">
        <v>1131</v>
      </c>
      <c r="BO5" s="2104" t="s">
        <v>1132</v>
      </c>
      <c r="BP5" s="2105"/>
      <c r="BQ5" s="2156" t="s">
        <v>1133</v>
      </c>
      <c r="BR5" s="2136"/>
      <c r="BS5" s="2136"/>
    </row>
    <row r="6" spans="1:75" ht="41.25" customHeight="1">
      <c r="A6" s="2120"/>
      <c r="B6" s="2100"/>
      <c r="C6" s="2101"/>
      <c r="D6" s="2100"/>
      <c r="E6" s="2101"/>
      <c r="F6" s="2100"/>
      <c r="G6" s="2101"/>
      <c r="H6" s="2100"/>
      <c r="I6" s="2101"/>
      <c r="J6" s="2096" t="s">
        <v>2099</v>
      </c>
      <c r="K6" s="2097"/>
      <c r="L6" s="2096" t="s">
        <v>1135</v>
      </c>
      <c r="M6" s="2097"/>
      <c r="N6" s="2096" t="s">
        <v>1134</v>
      </c>
      <c r="O6" s="2097"/>
      <c r="P6" s="2096" t="s">
        <v>1135</v>
      </c>
      <c r="Q6" s="2097"/>
      <c r="R6" s="2096" t="s">
        <v>1134</v>
      </c>
      <c r="S6" s="2097"/>
      <c r="T6" s="2096" t="s">
        <v>1135</v>
      </c>
      <c r="U6" s="2097"/>
      <c r="V6" s="2092"/>
      <c r="W6" s="2093"/>
      <c r="X6" s="2135"/>
      <c r="Y6" s="2132"/>
      <c r="Z6" s="2096" t="s">
        <v>1134</v>
      </c>
      <c r="AA6" s="2097"/>
      <c r="AB6" s="2096" t="s">
        <v>1135</v>
      </c>
      <c r="AC6" s="2097"/>
      <c r="AD6" s="2096" t="s">
        <v>1134</v>
      </c>
      <c r="AE6" s="2097"/>
      <c r="AF6" s="2096" t="s">
        <v>1135</v>
      </c>
      <c r="AG6" s="2097"/>
      <c r="AH6" s="2096" t="s">
        <v>1134</v>
      </c>
      <c r="AI6" s="2097"/>
      <c r="AJ6" s="2096" t="s">
        <v>1135</v>
      </c>
      <c r="AK6" s="2097"/>
      <c r="AL6" s="2092"/>
      <c r="AM6" s="2093"/>
      <c r="AN6" s="2096" t="s">
        <v>1134</v>
      </c>
      <c r="AO6" s="2097"/>
      <c r="AP6" s="2096" t="s">
        <v>1135</v>
      </c>
      <c r="AQ6" s="2097"/>
      <c r="AR6" s="2108" t="s">
        <v>1563</v>
      </c>
      <c r="AS6" s="2109"/>
      <c r="AT6" s="2108" t="s">
        <v>1136</v>
      </c>
      <c r="AU6" s="2109"/>
      <c r="AV6" s="2108" t="s">
        <v>1137</v>
      </c>
      <c r="AW6" s="2109"/>
      <c r="AX6" s="2165"/>
      <c r="AY6" s="2108" t="s">
        <v>483</v>
      </c>
      <c r="AZ6" s="2109"/>
      <c r="BA6" s="2125"/>
      <c r="BB6" s="2127"/>
      <c r="BC6" s="2095"/>
      <c r="BD6" s="2095"/>
      <c r="BE6" s="2095"/>
      <c r="BF6" s="2158"/>
      <c r="BG6" s="2163"/>
      <c r="BH6" s="2100"/>
      <c r="BI6" s="2101"/>
      <c r="BJ6" s="2095"/>
      <c r="BK6" s="2106"/>
      <c r="BL6" s="2107"/>
      <c r="BM6" s="2111"/>
      <c r="BN6" s="2103"/>
      <c r="BO6" s="2106"/>
      <c r="BP6" s="2107"/>
      <c r="BQ6" s="2157"/>
      <c r="BR6" s="2095"/>
      <c r="BS6" s="2095"/>
    </row>
    <row r="7" spans="1:75" ht="29.25" customHeight="1">
      <c r="A7" s="2120"/>
      <c r="B7" s="577" t="s">
        <v>2100</v>
      </c>
      <c r="C7" s="577" t="s">
        <v>1585</v>
      </c>
      <c r="D7" s="577" t="s">
        <v>1138</v>
      </c>
      <c r="E7" s="577" t="s">
        <v>1585</v>
      </c>
      <c r="F7" s="1371" t="s">
        <v>1138</v>
      </c>
      <c r="G7" s="1371" t="s">
        <v>1585</v>
      </c>
      <c r="H7" s="577" t="s">
        <v>1138</v>
      </c>
      <c r="I7" s="577" t="s">
        <v>1585</v>
      </c>
      <c r="J7" s="577" t="s">
        <v>1138</v>
      </c>
      <c r="K7" s="577" t="s">
        <v>1585</v>
      </c>
      <c r="L7" s="577" t="s">
        <v>1138</v>
      </c>
      <c r="M7" s="1125" t="s">
        <v>1585</v>
      </c>
      <c r="N7" s="577" t="s">
        <v>1138</v>
      </c>
      <c r="O7" s="578" t="s">
        <v>1585</v>
      </c>
      <c r="P7" s="577" t="s">
        <v>1138</v>
      </c>
      <c r="Q7" s="578" t="s">
        <v>1585</v>
      </c>
      <c r="R7" s="577" t="s">
        <v>1138</v>
      </c>
      <c r="S7" s="578" t="s">
        <v>1585</v>
      </c>
      <c r="T7" s="577" t="s">
        <v>1138</v>
      </c>
      <c r="U7" s="578" t="s">
        <v>1585</v>
      </c>
      <c r="V7" s="577" t="s">
        <v>1138</v>
      </c>
      <c r="W7" s="578" t="s">
        <v>1585</v>
      </c>
      <c r="X7" s="577" t="s">
        <v>1585</v>
      </c>
      <c r="Y7" s="2132"/>
      <c r="Z7" s="577" t="s">
        <v>1138</v>
      </c>
      <c r="AA7" s="577" t="s">
        <v>1585</v>
      </c>
      <c r="AB7" s="577" t="s">
        <v>1138</v>
      </c>
      <c r="AC7" s="577" t="s">
        <v>1585</v>
      </c>
      <c r="AD7" s="577" t="s">
        <v>1138</v>
      </c>
      <c r="AE7" s="577" t="s">
        <v>1586</v>
      </c>
      <c r="AF7" s="577" t="s">
        <v>1138</v>
      </c>
      <c r="AG7" s="577" t="s">
        <v>1585</v>
      </c>
      <c r="AH7" s="577" t="s">
        <v>1138</v>
      </c>
      <c r="AI7" s="577" t="s">
        <v>1585</v>
      </c>
      <c r="AJ7" s="577" t="s">
        <v>1138</v>
      </c>
      <c r="AK7" s="577" t="s">
        <v>1585</v>
      </c>
      <c r="AL7" s="577" t="s">
        <v>1138</v>
      </c>
      <c r="AM7" s="577" t="s">
        <v>1585</v>
      </c>
      <c r="AN7" s="577" t="s">
        <v>1138</v>
      </c>
      <c r="AO7" s="577" t="s">
        <v>1585</v>
      </c>
      <c r="AP7" s="577" t="s">
        <v>1138</v>
      </c>
      <c r="AQ7" s="577" t="s">
        <v>1585</v>
      </c>
      <c r="AR7" s="577" t="s">
        <v>1138</v>
      </c>
      <c r="AS7" s="577" t="s">
        <v>1585</v>
      </c>
      <c r="AT7" s="577" t="s">
        <v>1138</v>
      </c>
      <c r="AU7" s="577" t="s">
        <v>1585</v>
      </c>
      <c r="AV7" s="577" t="s">
        <v>1138</v>
      </c>
      <c r="AW7" s="577" t="s">
        <v>1585</v>
      </c>
      <c r="AX7" s="2165"/>
      <c r="AY7" s="577" t="s">
        <v>1138</v>
      </c>
      <c r="AZ7" s="577" t="s">
        <v>1585</v>
      </c>
      <c r="BA7" s="577" t="s">
        <v>1138</v>
      </c>
      <c r="BB7" s="577" t="s">
        <v>1585</v>
      </c>
      <c r="BC7" s="577" t="s">
        <v>1191</v>
      </c>
      <c r="BD7" s="577" t="s">
        <v>1191</v>
      </c>
      <c r="BE7" s="577" t="s">
        <v>1139</v>
      </c>
      <c r="BF7" s="577" t="s">
        <v>1139</v>
      </c>
      <c r="BG7" s="577" t="s">
        <v>1139</v>
      </c>
      <c r="BH7" s="577" t="s">
        <v>1138</v>
      </c>
      <c r="BI7" s="577" t="s">
        <v>1585</v>
      </c>
      <c r="BJ7" s="577" t="s">
        <v>1139</v>
      </c>
      <c r="BK7" s="577" t="s">
        <v>1138</v>
      </c>
      <c r="BL7" s="577" t="s">
        <v>1585</v>
      </c>
      <c r="BM7" s="577" t="s">
        <v>1139</v>
      </c>
      <c r="BN7" s="577" t="s">
        <v>1139</v>
      </c>
      <c r="BO7" s="577" t="s">
        <v>1138</v>
      </c>
      <c r="BP7" s="577" t="s">
        <v>1585</v>
      </c>
      <c r="BQ7" s="577" t="s">
        <v>1139</v>
      </c>
      <c r="BR7" s="577" t="s">
        <v>1139</v>
      </c>
      <c r="BS7" s="577" t="s">
        <v>1139</v>
      </c>
    </row>
    <row r="8" spans="1:75" ht="11.25" customHeight="1">
      <c r="A8" s="2121"/>
      <c r="B8" s="2081">
        <v>1</v>
      </c>
      <c r="C8" s="2082"/>
      <c r="D8" s="2081">
        <v>2</v>
      </c>
      <c r="E8" s="2086"/>
      <c r="F8" s="2081" t="s">
        <v>1140</v>
      </c>
      <c r="G8" s="2082"/>
      <c r="H8" s="2081">
        <v>4</v>
      </c>
      <c r="I8" s="2082"/>
      <c r="J8" s="2081">
        <v>5</v>
      </c>
      <c r="K8" s="2082"/>
      <c r="L8" s="2081">
        <v>6</v>
      </c>
      <c r="M8" s="2082"/>
      <c r="N8" s="2081">
        <v>7</v>
      </c>
      <c r="O8" s="2082"/>
      <c r="P8" s="2081">
        <v>8</v>
      </c>
      <c r="Q8" s="2082"/>
      <c r="R8" s="2081">
        <v>9</v>
      </c>
      <c r="S8" s="2082"/>
      <c r="T8" s="2081">
        <v>10</v>
      </c>
      <c r="U8" s="2082"/>
      <c r="V8" s="2081" t="s">
        <v>1141</v>
      </c>
      <c r="W8" s="2082"/>
      <c r="X8" s="930">
        <v>12</v>
      </c>
      <c r="Y8" s="2133"/>
      <c r="Z8" s="2081">
        <v>13</v>
      </c>
      <c r="AA8" s="2082"/>
      <c r="AB8" s="2081">
        <v>14</v>
      </c>
      <c r="AC8" s="2082"/>
      <c r="AD8" s="2081">
        <v>15</v>
      </c>
      <c r="AE8" s="2084"/>
      <c r="AF8" s="2081">
        <v>16</v>
      </c>
      <c r="AG8" s="2082"/>
      <c r="AH8" s="2081">
        <v>17</v>
      </c>
      <c r="AI8" s="2084"/>
      <c r="AJ8" s="2081">
        <v>18</v>
      </c>
      <c r="AK8" s="2082"/>
      <c r="AL8" s="2081" t="s">
        <v>1142</v>
      </c>
      <c r="AM8" s="2082"/>
      <c r="AN8" s="2081">
        <v>20</v>
      </c>
      <c r="AO8" s="2082"/>
      <c r="AP8" s="2081">
        <v>21</v>
      </c>
      <c r="AQ8" s="2082"/>
      <c r="AR8" s="2081">
        <v>22</v>
      </c>
      <c r="AS8" s="2082"/>
      <c r="AT8" s="2081">
        <v>23</v>
      </c>
      <c r="AU8" s="2082"/>
      <c r="AV8" s="2081">
        <v>24</v>
      </c>
      <c r="AW8" s="2082"/>
      <c r="AX8" s="2166"/>
      <c r="AY8" s="2083" t="s">
        <v>1143</v>
      </c>
      <c r="AZ8" s="2084"/>
      <c r="BA8" s="2085" t="s">
        <v>1144</v>
      </c>
      <c r="BB8" s="2084"/>
      <c r="BC8" s="930">
        <v>27</v>
      </c>
      <c r="BD8" s="930">
        <v>28</v>
      </c>
      <c r="BE8" s="930">
        <v>29</v>
      </c>
      <c r="BF8" s="1115" t="s">
        <v>1190</v>
      </c>
      <c r="BG8" s="930">
        <v>31</v>
      </c>
      <c r="BH8" s="930">
        <v>32</v>
      </c>
      <c r="BI8" s="930">
        <v>33</v>
      </c>
      <c r="BJ8" s="930">
        <v>34</v>
      </c>
      <c r="BK8" s="2081">
        <v>35</v>
      </c>
      <c r="BL8" s="2082"/>
      <c r="BM8" s="930">
        <v>36</v>
      </c>
      <c r="BN8" s="930">
        <v>37</v>
      </c>
      <c r="BO8" s="2081">
        <v>38</v>
      </c>
      <c r="BP8" s="2082"/>
      <c r="BQ8" s="930">
        <v>39</v>
      </c>
      <c r="BR8" s="930">
        <v>40</v>
      </c>
      <c r="BS8" s="930">
        <v>41</v>
      </c>
    </row>
    <row r="9" spans="1:75" s="184" customFormat="1" ht="11.25" customHeight="1">
      <c r="A9" s="579" t="s">
        <v>1070</v>
      </c>
      <c r="B9" s="579">
        <v>23978480</v>
      </c>
      <c r="C9" s="829">
        <v>1464009.7289322768</v>
      </c>
      <c r="D9" s="579">
        <v>44278</v>
      </c>
      <c r="E9" s="829">
        <v>1018.6778832269999</v>
      </c>
      <c r="F9" s="579">
        <v>24022758</v>
      </c>
      <c r="G9" s="829">
        <v>1465028.3768155039</v>
      </c>
      <c r="H9" s="579">
        <v>10239509</v>
      </c>
      <c r="I9" s="829">
        <v>71466.937429648984</v>
      </c>
      <c r="J9" s="579">
        <v>998449</v>
      </c>
      <c r="K9" s="829">
        <v>646.08967006300009</v>
      </c>
      <c r="L9" s="579">
        <v>28021</v>
      </c>
      <c r="M9" s="829">
        <v>58.784323374000003</v>
      </c>
      <c r="N9" s="579">
        <v>6761512</v>
      </c>
      <c r="O9" s="829">
        <v>4060.5280064609997</v>
      </c>
      <c r="P9" s="579">
        <v>696549</v>
      </c>
      <c r="Q9" s="829">
        <v>925.00183520100018</v>
      </c>
      <c r="R9" s="579">
        <v>253116</v>
      </c>
      <c r="S9" s="829">
        <v>33.120208383000005</v>
      </c>
      <c r="T9" s="579">
        <v>100313</v>
      </c>
      <c r="U9" s="829">
        <v>148.52871070899999</v>
      </c>
      <c r="V9" s="579">
        <v>8837960</v>
      </c>
      <c r="W9" s="829">
        <v>5872.1027541909998</v>
      </c>
      <c r="X9" s="829">
        <v>2848.2799999999997</v>
      </c>
      <c r="Y9" s="579" t="s">
        <v>1070</v>
      </c>
      <c r="Z9" s="579">
        <v>109437869</v>
      </c>
      <c r="AA9" s="829">
        <v>82463.211347299992</v>
      </c>
      <c r="AB9" s="579">
        <v>32304</v>
      </c>
      <c r="AC9" s="829">
        <v>72.503609452000006</v>
      </c>
      <c r="AD9" s="579">
        <v>4471176</v>
      </c>
      <c r="AE9" s="829">
        <v>5484.155814492</v>
      </c>
      <c r="AF9" s="579">
        <v>68426</v>
      </c>
      <c r="AG9" s="829">
        <v>67.242002869999993</v>
      </c>
      <c r="AH9" s="579">
        <v>689996</v>
      </c>
      <c r="AI9" s="829">
        <v>77.175405626</v>
      </c>
      <c r="AJ9" s="579">
        <v>15022</v>
      </c>
      <c r="AK9" s="829">
        <v>17.501102213199999</v>
      </c>
      <c r="AL9" s="579">
        <v>114714793</v>
      </c>
      <c r="AM9" s="829">
        <v>88181.789374014203</v>
      </c>
      <c r="AN9" s="579">
        <v>413236</v>
      </c>
      <c r="AO9" s="829">
        <v>246.07698346200002</v>
      </c>
      <c r="AP9" s="579">
        <v>87958</v>
      </c>
      <c r="AQ9" s="829">
        <v>178.202189041</v>
      </c>
      <c r="AR9" s="579">
        <v>1230385</v>
      </c>
      <c r="AS9" s="829">
        <v>1225.122370545</v>
      </c>
      <c r="AT9" s="579">
        <v>3413293</v>
      </c>
      <c r="AU9" s="829">
        <v>2328.170729938</v>
      </c>
      <c r="AV9" s="579">
        <v>19647</v>
      </c>
      <c r="AW9" s="829">
        <v>49.56867063</v>
      </c>
      <c r="AX9" s="579" t="s">
        <v>1070</v>
      </c>
      <c r="AY9" s="579">
        <v>4663325</v>
      </c>
      <c r="AZ9" s="829">
        <v>3602.8217711130005</v>
      </c>
      <c r="BA9" s="579">
        <v>128717272</v>
      </c>
      <c r="BB9" s="829">
        <v>98075.655860283223</v>
      </c>
      <c r="BC9" s="579">
        <v>583209</v>
      </c>
      <c r="BD9" s="579">
        <v>8547688</v>
      </c>
      <c r="BE9" s="579">
        <v>113248</v>
      </c>
      <c r="BF9" s="579">
        <v>9244145</v>
      </c>
      <c r="BG9" s="579">
        <v>1460092</v>
      </c>
      <c r="BH9" s="579">
        <v>5863004</v>
      </c>
      <c r="BI9" s="829">
        <v>18357.901878275999</v>
      </c>
      <c r="BJ9" s="579">
        <v>547407</v>
      </c>
      <c r="BK9" s="579">
        <v>939607060</v>
      </c>
      <c r="BL9" s="829">
        <v>142292.75133781202</v>
      </c>
      <c r="BM9" s="579">
        <v>28625074</v>
      </c>
      <c r="BN9" s="579">
        <v>100</v>
      </c>
      <c r="BO9" s="579">
        <v>243530</v>
      </c>
      <c r="BP9" s="829">
        <v>301.16054062199998</v>
      </c>
      <c r="BQ9" s="579">
        <v>37052</v>
      </c>
      <c r="BR9" s="579">
        <v>6346</v>
      </c>
      <c r="BS9" s="579">
        <v>28587</v>
      </c>
    </row>
    <row r="10" spans="1:75" s="184" customFormat="1" ht="11.25" customHeight="1">
      <c r="A10" s="832" t="s">
        <v>1193</v>
      </c>
      <c r="B10" s="832">
        <v>22289753</v>
      </c>
      <c r="C10" s="831">
        <v>1669465.3599999999</v>
      </c>
      <c r="D10" s="832">
        <v>37182</v>
      </c>
      <c r="E10" s="831">
        <v>1056.9699999999998</v>
      </c>
      <c r="F10" s="832">
        <v>22326935</v>
      </c>
      <c r="G10" s="831">
        <v>1670522.24</v>
      </c>
      <c r="H10" s="832">
        <v>13548271</v>
      </c>
      <c r="I10" s="831">
        <v>90953.55</v>
      </c>
      <c r="J10" s="832">
        <v>1068730</v>
      </c>
      <c r="K10" s="831">
        <v>704.32</v>
      </c>
      <c r="L10" s="832">
        <v>31335</v>
      </c>
      <c r="M10" s="831">
        <v>55.879999999999995</v>
      </c>
      <c r="N10" s="832">
        <v>8541661</v>
      </c>
      <c r="O10" s="831">
        <v>4957.66</v>
      </c>
      <c r="P10" s="832">
        <v>907456</v>
      </c>
      <c r="Q10" s="831">
        <v>1110.93</v>
      </c>
      <c r="R10" s="832">
        <v>479308</v>
      </c>
      <c r="S10" s="831">
        <v>71.839999999999975</v>
      </c>
      <c r="T10" s="832">
        <v>199561</v>
      </c>
      <c r="U10" s="831">
        <v>209.04000000000002</v>
      </c>
      <c r="V10" s="832">
        <v>11228051</v>
      </c>
      <c r="W10" s="831">
        <v>7109.7800000000007</v>
      </c>
      <c r="X10" s="831">
        <v>3002.09</v>
      </c>
      <c r="Y10" s="832" t="s">
        <v>1193</v>
      </c>
      <c r="Z10" s="832">
        <v>144624702</v>
      </c>
      <c r="AA10" s="831">
        <v>103942.53</v>
      </c>
      <c r="AB10" s="832">
        <v>18111</v>
      </c>
      <c r="AC10" s="831">
        <v>61.669999999999995</v>
      </c>
      <c r="AD10" s="832">
        <v>6600050</v>
      </c>
      <c r="AE10" s="831">
        <v>6668.11</v>
      </c>
      <c r="AF10" s="832">
        <v>47953</v>
      </c>
      <c r="AG10" s="831">
        <v>71.12</v>
      </c>
      <c r="AH10" s="832">
        <v>586851</v>
      </c>
      <c r="AI10" s="831">
        <v>79.209999999999994</v>
      </c>
      <c r="AJ10" s="832">
        <v>17265</v>
      </c>
      <c r="AK10" s="831">
        <v>22</v>
      </c>
      <c r="AL10" s="832">
        <v>151894932</v>
      </c>
      <c r="AM10" s="831">
        <v>110844.63999999998</v>
      </c>
      <c r="AN10" s="832">
        <v>562137</v>
      </c>
      <c r="AO10" s="831">
        <v>359.77000000000004</v>
      </c>
      <c r="AP10" s="832">
        <v>97635</v>
      </c>
      <c r="AQ10" s="831">
        <v>111.22999999999999</v>
      </c>
      <c r="AR10" s="832">
        <v>790240</v>
      </c>
      <c r="AS10" s="831">
        <v>1179.3</v>
      </c>
      <c r="AT10" s="832">
        <v>2307859</v>
      </c>
      <c r="AU10" s="831">
        <v>2180.1</v>
      </c>
      <c r="AV10" s="832">
        <v>261323</v>
      </c>
      <c r="AW10" s="831">
        <v>71.890000000000015</v>
      </c>
      <c r="AX10" s="832" t="s">
        <v>1193</v>
      </c>
      <c r="AY10" s="832">
        <v>3359422</v>
      </c>
      <c r="AZ10" s="831">
        <v>3431.24</v>
      </c>
      <c r="BA10" s="832">
        <v>167122535</v>
      </c>
      <c r="BB10" s="831">
        <v>121795.34999999998</v>
      </c>
      <c r="BC10" s="832">
        <v>769296</v>
      </c>
      <c r="BD10" s="832">
        <v>9062049</v>
      </c>
      <c r="BE10" s="832">
        <v>160225</v>
      </c>
      <c r="BF10" s="832">
        <v>9991570</v>
      </c>
      <c r="BG10" s="832">
        <v>1436837</v>
      </c>
      <c r="BH10" s="832">
        <v>7457338</v>
      </c>
      <c r="BI10" s="831">
        <v>25524.160000000003</v>
      </c>
      <c r="BJ10" s="832">
        <v>617418</v>
      </c>
      <c r="BK10" s="832">
        <v>1354198797</v>
      </c>
      <c r="BL10" s="831">
        <v>196061.47</v>
      </c>
      <c r="BM10" s="832">
        <v>36333933</v>
      </c>
      <c r="BN10" s="832">
        <v>610</v>
      </c>
      <c r="BO10" s="832">
        <v>2115664</v>
      </c>
      <c r="BP10" s="831">
        <v>3579.19</v>
      </c>
      <c r="BQ10" s="832">
        <v>261693</v>
      </c>
      <c r="BR10" s="832">
        <v>8517</v>
      </c>
      <c r="BS10" s="832">
        <v>32270</v>
      </c>
      <c r="BT10" s="1235"/>
    </row>
    <row r="11" spans="1:75" s="184" customFormat="1" ht="11.25" customHeight="1">
      <c r="A11" s="579" t="s">
        <v>1225</v>
      </c>
      <c r="B11" s="579">
        <v>22322674</v>
      </c>
      <c r="C11" s="829">
        <v>1890492.57</v>
      </c>
      <c r="D11" s="579">
        <v>28084</v>
      </c>
      <c r="E11" s="829">
        <v>1795.25</v>
      </c>
      <c r="F11" s="579">
        <v>22350758</v>
      </c>
      <c r="G11" s="829">
        <v>1892287.75</v>
      </c>
      <c r="H11" s="579">
        <v>13740301</v>
      </c>
      <c r="I11" s="829">
        <v>106392.4</v>
      </c>
      <c r="J11" s="579">
        <v>1232084</v>
      </c>
      <c r="K11" s="829">
        <v>865.73</v>
      </c>
      <c r="L11" s="579">
        <v>39679</v>
      </c>
      <c r="M11" s="829">
        <v>68.77</v>
      </c>
      <c r="N11" s="579">
        <v>10419658</v>
      </c>
      <c r="O11" s="829">
        <v>5608.25</v>
      </c>
      <c r="P11" s="579">
        <v>1315626</v>
      </c>
      <c r="Q11" s="829">
        <v>1353.7</v>
      </c>
      <c r="R11" s="579">
        <v>976634</v>
      </c>
      <c r="S11" s="829">
        <v>188.72999999999996</v>
      </c>
      <c r="T11" s="579">
        <v>363752</v>
      </c>
      <c r="U11" s="829">
        <v>353.77</v>
      </c>
      <c r="V11" s="579">
        <v>14347433</v>
      </c>
      <c r="W11" s="829">
        <v>8439.2599999999984</v>
      </c>
      <c r="X11" s="829">
        <v>3490.8100000000004</v>
      </c>
      <c r="Y11" s="579" t="s">
        <v>1225</v>
      </c>
      <c r="Z11" s="579">
        <v>146235630</v>
      </c>
      <c r="AA11" s="829">
        <v>110256.77</v>
      </c>
      <c r="AB11" s="579">
        <v>17173</v>
      </c>
      <c r="AC11" s="829">
        <v>41.2</v>
      </c>
      <c r="AD11" s="579">
        <v>7537435</v>
      </c>
      <c r="AE11" s="829">
        <v>5396.44</v>
      </c>
      <c r="AF11" s="579">
        <v>54815</v>
      </c>
      <c r="AG11" s="829">
        <v>91.14</v>
      </c>
      <c r="AH11" s="579">
        <v>861696</v>
      </c>
      <c r="AI11" s="829">
        <v>159.82999999999998</v>
      </c>
      <c r="AJ11" s="579">
        <v>20053</v>
      </c>
      <c r="AK11" s="829">
        <v>22.61</v>
      </c>
      <c r="AL11" s="579">
        <v>154726802</v>
      </c>
      <c r="AM11" s="829">
        <v>115968.20999999999</v>
      </c>
      <c r="AN11" s="579">
        <v>707730</v>
      </c>
      <c r="AO11" s="829">
        <v>484.18999999999994</v>
      </c>
      <c r="AP11" s="579">
        <v>135948</v>
      </c>
      <c r="AQ11" s="829">
        <v>200.08</v>
      </c>
      <c r="AR11" s="579">
        <v>673548</v>
      </c>
      <c r="AS11" s="829">
        <v>1013.99</v>
      </c>
      <c r="AT11" s="579">
        <v>993729</v>
      </c>
      <c r="AU11" s="829">
        <v>920.83999999999992</v>
      </c>
      <c r="AV11" s="579">
        <v>624526</v>
      </c>
      <c r="AW11" s="829">
        <v>116.24000000000001</v>
      </c>
      <c r="AX11" s="579" t="s">
        <v>1225</v>
      </c>
      <c r="AY11" s="579">
        <v>2291803</v>
      </c>
      <c r="AZ11" s="829">
        <v>2051.16</v>
      </c>
      <c r="BA11" s="579">
        <v>172160012</v>
      </c>
      <c r="BB11" s="829">
        <v>127025.1</v>
      </c>
      <c r="BC11" s="579">
        <v>936148</v>
      </c>
      <c r="BD11" s="579">
        <v>10802217</v>
      </c>
      <c r="BE11" s="579">
        <v>205285</v>
      </c>
      <c r="BF11" s="579">
        <v>11943650</v>
      </c>
      <c r="BG11" s="579">
        <v>1621377</v>
      </c>
      <c r="BH11" s="579">
        <v>7110797</v>
      </c>
      <c r="BI11" s="829">
        <v>35753.89</v>
      </c>
      <c r="BJ11" s="579">
        <v>758570</v>
      </c>
      <c r="BK11" s="579">
        <v>1663219636</v>
      </c>
      <c r="BL11" s="829">
        <v>277072.70999999996</v>
      </c>
      <c r="BM11" s="579">
        <v>53702690</v>
      </c>
      <c r="BN11" s="579">
        <v>2891</v>
      </c>
      <c r="BO11" s="579">
        <v>6773093</v>
      </c>
      <c r="BP11" s="829">
        <v>12556.86</v>
      </c>
      <c r="BQ11" s="579">
        <v>845699</v>
      </c>
      <c r="BR11" s="579">
        <v>9246</v>
      </c>
      <c r="BS11" s="579">
        <v>36288</v>
      </c>
      <c r="BT11" s="1235"/>
      <c r="BU11" s="1235"/>
      <c r="BV11" s="1235"/>
      <c r="BW11" s="1235"/>
    </row>
    <row r="12" spans="1:75" s="184" customFormat="1" ht="11.25" customHeight="1">
      <c r="A12" s="832" t="s">
        <v>1350</v>
      </c>
      <c r="B12" s="832">
        <v>22627089</v>
      </c>
      <c r="C12" s="831">
        <v>2161164.56</v>
      </c>
      <c r="D12" s="832">
        <v>23670</v>
      </c>
      <c r="E12" s="831">
        <v>927.43000000000006</v>
      </c>
      <c r="F12" s="832">
        <v>22650759</v>
      </c>
      <c r="G12" s="831">
        <v>2162091.9900000002</v>
      </c>
      <c r="H12" s="832">
        <v>17876492</v>
      </c>
      <c r="I12" s="831">
        <v>146257.59</v>
      </c>
      <c r="J12" s="832">
        <v>1561972</v>
      </c>
      <c r="K12" s="831">
        <v>1109.03</v>
      </c>
      <c r="L12" s="832">
        <v>49077</v>
      </c>
      <c r="M12" s="831">
        <v>142.41999999999999</v>
      </c>
      <c r="N12" s="832">
        <v>12465119</v>
      </c>
      <c r="O12" s="831">
        <v>6980.8300000000017</v>
      </c>
      <c r="P12" s="832">
        <v>1613052</v>
      </c>
      <c r="Q12" s="831">
        <v>1615.1100000000001</v>
      </c>
      <c r="R12" s="832">
        <v>1981491</v>
      </c>
      <c r="S12" s="831">
        <v>337.93999999999994</v>
      </c>
      <c r="T12" s="832">
        <v>595913</v>
      </c>
      <c r="U12" s="831">
        <v>598.15</v>
      </c>
      <c r="V12" s="832">
        <v>18266624</v>
      </c>
      <c r="W12" s="831">
        <v>10783.369999999999</v>
      </c>
      <c r="X12" s="831">
        <v>4257.9500000000007</v>
      </c>
      <c r="Y12" s="832" t="s">
        <v>1350</v>
      </c>
      <c r="Z12" s="832">
        <v>163642668</v>
      </c>
      <c r="AA12" s="831">
        <v>124401.26999999999</v>
      </c>
      <c r="AB12" s="832">
        <v>17071</v>
      </c>
      <c r="AC12" s="831">
        <v>44.7</v>
      </c>
      <c r="AD12" s="832">
        <v>9043546</v>
      </c>
      <c r="AE12" s="831">
        <v>5563.4999999999991</v>
      </c>
      <c r="AF12" s="832">
        <v>60230</v>
      </c>
      <c r="AG12" s="831">
        <v>113.01</v>
      </c>
      <c r="AH12" s="832">
        <v>3002978</v>
      </c>
      <c r="AI12" s="831">
        <v>307.50000000000006</v>
      </c>
      <c r="AJ12" s="832">
        <v>32101</v>
      </c>
      <c r="AK12" s="831">
        <v>36</v>
      </c>
      <c r="AL12" s="832">
        <v>175798594</v>
      </c>
      <c r="AM12" s="831">
        <v>130466.12</v>
      </c>
      <c r="AN12" s="832">
        <v>902167</v>
      </c>
      <c r="AO12" s="831">
        <v>611.38</v>
      </c>
      <c r="AP12" s="832">
        <v>328135</v>
      </c>
      <c r="AQ12" s="831">
        <v>372.05</v>
      </c>
      <c r="AR12" s="832">
        <v>468092</v>
      </c>
      <c r="AS12" s="831">
        <v>1175.83</v>
      </c>
      <c r="AT12" s="832">
        <v>1397236</v>
      </c>
      <c r="AU12" s="831">
        <v>1330.15</v>
      </c>
      <c r="AV12" s="832">
        <v>821042</v>
      </c>
      <c r="AW12" s="831">
        <v>157.22999999999999</v>
      </c>
      <c r="AX12" s="832" t="s">
        <v>1350</v>
      </c>
      <c r="AY12" s="832">
        <v>2686370</v>
      </c>
      <c r="AZ12" s="831">
        <v>2663.25</v>
      </c>
      <c r="BA12" s="832">
        <v>197921660</v>
      </c>
      <c r="BB12" s="831">
        <v>144743.41999999998</v>
      </c>
      <c r="BC12" s="832">
        <v>1000474</v>
      </c>
      <c r="BD12" s="832">
        <v>12575605</v>
      </c>
      <c r="BE12" s="832">
        <v>158526</v>
      </c>
      <c r="BF12" s="832">
        <v>13734605</v>
      </c>
      <c r="BG12" s="832">
        <v>1856866</v>
      </c>
      <c r="BH12" s="832">
        <v>8420438</v>
      </c>
      <c r="BI12" s="831">
        <v>32842.019999999997</v>
      </c>
      <c r="BJ12" s="832">
        <v>829783</v>
      </c>
      <c r="BK12" s="832">
        <v>2035798140</v>
      </c>
      <c r="BL12" s="831">
        <v>348295.24</v>
      </c>
      <c r="BM12" s="832">
        <v>61862982</v>
      </c>
      <c r="BN12" s="832">
        <v>3598</v>
      </c>
      <c r="BO12" s="832">
        <v>15412359</v>
      </c>
      <c r="BP12" s="831">
        <v>35093.81</v>
      </c>
      <c r="BQ12" s="832">
        <v>1783156</v>
      </c>
      <c r="BR12" s="832">
        <v>9747</v>
      </c>
      <c r="BS12" s="832">
        <v>41130</v>
      </c>
      <c r="BT12" s="1235"/>
      <c r="BU12" s="1235"/>
      <c r="BV12" s="1235"/>
      <c r="BW12" s="1235"/>
    </row>
    <row r="13" spans="1:75" s="184" customFormat="1" ht="11.25" customHeight="1">
      <c r="A13" s="579" t="s">
        <v>1466</v>
      </c>
      <c r="B13" s="579">
        <v>22799904</v>
      </c>
      <c r="C13" s="829">
        <v>2282770.0784365749</v>
      </c>
      <c r="D13" s="579">
        <v>146133</v>
      </c>
      <c r="E13" s="829">
        <v>6719.4699999999993</v>
      </c>
      <c r="F13" s="579">
        <v>22946037</v>
      </c>
      <c r="G13" s="829">
        <v>2289489.5484365751</v>
      </c>
      <c r="H13" s="579">
        <v>26758871</v>
      </c>
      <c r="I13" s="829">
        <v>178032.39367637</v>
      </c>
      <c r="J13" s="579">
        <v>1951880</v>
      </c>
      <c r="K13" s="829">
        <v>1313.06</v>
      </c>
      <c r="L13" s="579">
        <v>50720</v>
      </c>
      <c r="M13" s="829">
        <v>92.95999999999998</v>
      </c>
      <c r="N13" s="579">
        <v>15028508</v>
      </c>
      <c r="O13" s="829">
        <v>8290.52</v>
      </c>
      <c r="P13" s="579">
        <v>1923225</v>
      </c>
      <c r="Q13" s="829">
        <v>1702.96</v>
      </c>
      <c r="R13" s="579">
        <v>3124193</v>
      </c>
      <c r="S13" s="829">
        <v>672.61000000000013</v>
      </c>
      <c r="T13" s="579">
        <v>963802</v>
      </c>
      <c r="U13" s="829">
        <v>771.59000000000015</v>
      </c>
      <c r="V13" s="579">
        <v>23042328</v>
      </c>
      <c r="W13" s="829">
        <v>12843.560000000001</v>
      </c>
      <c r="X13" s="829">
        <v>5056.17</v>
      </c>
      <c r="Y13" s="579" t="s">
        <v>1466</v>
      </c>
      <c r="Z13" s="579">
        <v>188970118</v>
      </c>
      <c r="AA13" s="829">
        <v>148183.74999999997</v>
      </c>
      <c r="AB13" s="579">
        <v>19830</v>
      </c>
      <c r="AC13" s="829">
        <v>54.44</v>
      </c>
      <c r="AD13" s="579">
        <v>11477894</v>
      </c>
      <c r="AE13" s="829">
        <v>5802.16</v>
      </c>
      <c r="AF13" s="579">
        <v>70659</v>
      </c>
      <c r="AG13" s="829">
        <v>133.76999999999998</v>
      </c>
      <c r="AH13" s="579">
        <v>11499453</v>
      </c>
      <c r="AI13" s="829">
        <v>527.10000000000014</v>
      </c>
      <c r="AJ13" s="579">
        <v>53845</v>
      </c>
      <c r="AK13" s="829">
        <v>48.650000000000006</v>
      </c>
      <c r="AL13" s="579">
        <v>212091799</v>
      </c>
      <c r="AM13" s="829">
        <v>154749.99</v>
      </c>
      <c r="AN13" s="579">
        <v>1423955</v>
      </c>
      <c r="AO13" s="829">
        <v>932.91</v>
      </c>
      <c r="AP13" s="579">
        <v>780021</v>
      </c>
      <c r="AQ13" s="829">
        <v>279</v>
      </c>
      <c r="AR13" s="579">
        <v>712417</v>
      </c>
      <c r="AS13" s="829">
        <v>1272.06</v>
      </c>
      <c r="AT13" s="579">
        <v>1330714</v>
      </c>
      <c r="AU13" s="829">
        <v>1415.1799999999998</v>
      </c>
      <c r="AV13" s="579">
        <v>619956</v>
      </c>
      <c r="AW13" s="829">
        <v>148.99</v>
      </c>
      <c r="AX13" s="579" t="s">
        <v>1466</v>
      </c>
      <c r="AY13" s="579">
        <v>2762794</v>
      </c>
      <c r="AZ13" s="829">
        <v>2861.84</v>
      </c>
      <c r="BA13" s="579">
        <v>240003413</v>
      </c>
      <c r="BB13" s="829">
        <v>171462.15000000002</v>
      </c>
      <c r="BC13" s="579">
        <v>1394675</v>
      </c>
      <c r="BD13" s="1280">
        <v>16915478</v>
      </c>
      <c r="BE13" s="579">
        <v>320235</v>
      </c>
      <c r="BF13" s="579">
        <v>18630388</v>
      </c>
      <c r="BG13" s="579">
        <v>2251764</v>
      </c>
      <c r="BH13" s="579">
        <v>11711906</v>
      </c>
      <c r="BI13" s="829">
        <v>47615.11</v>
      </c>
      <c r="BJ13" s="579">
        <v>1024772</v>
      </c>
      <c r="BK13" s="579">
        <v>2467033312</v>
      </c>
      <c r="BL13" s="829">
        <v>402913.265935726</v>
      </c>
      <c r="BM13" s="579">
        <v>73778610</v>
      </c>
      <c r="BN13" s="579">
        <v>6073</v>
      </c>
      <c r="BO13" s="579">
        <v>32530626</v>
      </c>
      <c r="BP13" s="829">
        <v>312040.26</v>
      </c>
      <c r="BQ13" s="579">
        <v>3416020</v>
      </c>
      <c r="BR13" s="579">
        <v>10722</v>
      </c>
      <c r="BS13" s="579">
        <v>52846</v>
      </c>
      <c r="BT13" s="1"/>
      <c r="BU13" s="1327"/>
      <c r="BV13" s="1236"/>
    </row>
    <row r="14" spans="1:75" s="777" customFormat="1" ht="11.25" customHeight="1">
      <c r="A14" s="832" t="s">
        <v>1550</v>
      </c>
      <c r="B14" s="832">
        <v>19692996</v>
      </c>
      <c r="C14" s="831">
        <v>2134775.6</v>
      </c>
      <c r="D14" s="832">
        <v>202165</v>
      </c>
      <c r="E14" s="831">
        <v>9638.827665630999</v>
      </c>
      <c r="F14" s="832">
        <v>19895161</v>
      </c>
      <c r="G14" s="831">
        <v>2144414.4</v>
      </c>
      <c r="H14" s="832">
        <v>50257666</v>
      </c>
      <c r="I14" s="831">
        <v>257440.06646475603</v>
      </c>
      <c r="J14" s="832">
        <v>2376130</v>
      </c>
      <c r="K14" s="831">
        <v>1571.4124550470001</v>
      </c>
      <c r="L14" s="832">
        <v>39082</v>
      </c>
      <c r="M14" s="831">
        <v>63.543494757600008</v>
      </c>
      <c r="N14" s="832">
        <v>15306481</v>
      </c>
      <c r="O14" s="831">
        <v>7966.2977085550001</v>
      </c>
      <c r="P14" s="832">
        <v>1535082</v>
      </c>
      <c r="Q14" s="831">
        <v>1266.0935939600001</v>
      </c>
      <c r="R14" s="832">
        <v>4046124</v>
      </c>
      <c r="S14" s="831">
        <v>1346.5782712749999</v>
      </c>
      <c r="T14" s="832">
        <v>1202470</v>
      </c>
      <c r="U14" s="831">
        <v>437.25777197175</v>
      </c>
      <c r="V14" s="832">
        <v>24505369</v>
      </c>
      <c r="W14" s="831">
        <v>12651.183295566349</v>
      </c>
      <c r="X14" s="831">
        <v>5231.1335752910009</v>
      </c>
      <c r="Y14" s="832" t="s">
        <v>1550</v>
      </c>
      <c r="Z14" s="832">
        <v>193762532</v>
      </c>
      <c r="AA14" s="831">
        <v>156878.86528764101</v>
      </c>
      <c r="AB14" s="832">
        <v>21928</v>
      </c>
      <c r="AC14" s="831">
        <v>55.000389470150004</v>
      </c>
      <c r="AD14" s="832">
        <v>10367099</v>
      </c>
      <c r="AE14" s="831">
        <v>5107.0373490185002</v>
      </c>
      <c r="AF14" s="832">
        <v>89133</v>
      </c>
      <c r="AG14" s="831">
        <v>92.192790867699998</v>
      </c>
      <c r="AH14" s="832">
        <v>9820620</v>
      </c>
      <c r="AI14" s="831">
        <v>1112.1988214419998</v>
      </c>
      <c r="AJ14" s="832">
        <v>112794</v>
      </c>
      <c r="AK14" s="831">
        <v>49.724057373549989</v>
      </c>
      <c r="AL14" s="832">
        <v>214174106</v>
      </c>
      <c r="AM14" s="831">
        <v>163295.01869581288</v>
      </c>
      <c r="AN14" s="832">
        <v>1952354</v>
      </c>
      <c r="AO14" s="831">
        <v>1329.0257139841999</v>
      </c>
      <c r="AP14" s="832">
        <v>1275782</v>
      </c>
      <c r="AQ14" s="831">
        <v>295.33457085704998</v>
      </c>
      <c r="AR14" s="832">
        <v>747458</v>
      </c>
      <c r="AS14" s="831">
        <v>904.85434712599999</v>
      </c>
      <c r="AT14" s="832">
        <v>897425</v>
      </c>
      <c r="AU14" s="831">
        <v>890.52063242899999</v>
      </c>
      <c r="AV14" s="832">
        <v>330007</v>
      </c>
      <c r="AW14" s="831">
        <v>104.929424063</v>
      </c>
      <c r="AX14" s="832" t="s">
        <v>1550</v>
      </c>
      <c r="AY14" s="832">
        <v>1974890</v>
      </c>
      <c r="AZ14" s="831">
        <v>1900.3044036180002</v>
      </c>
      <c r="BA14" s="832">
        <v>243882501</v>
      </c>
      <c r="BB14" s="831">
        <v>179470.86667983848</v>
      </c>
      <c r="BC14" s="832">
        <v>1560459</v>
      </c>
      <c r="BD14" s="1447">
        <v>19725783</v>
      </c>
      <c r="BE14" s="832">
        <v>586230</v>
      </c>
      <c r="BF14" s="832">
        <v>21872472</v>
      </c>
      <c r="BG14" s="832">
        <v>2742241</v>
      </c>
      <c r="BH14" s="832">
        <v>19897516</v>
      </c>
      <c r="BI14" s="831">
        <v>71561.035925468008</v>
      </c>
      <c r="BJ14" s="830">
        <v>1160121</v>
      </c>
      <c r="BK14" s="832">
        <v>2859543446</v>
      </c>
      <c r="BL14" s="831">
        <v>489558.87528139201</v>
      </c>
      <c r="BM14" s="832">
        <v>107475632</v>
      </c>
      <c r="BN14" s="832">
        <v>8812</v>
      </c>
      <c r="BO14" s="832">
        <v>66181962</v>
      </c>
      <c r="BP14" s="831">
        <v>191433.25811183645</v>
      </c>
      <c r="BQ14" s="832">
        <v>7357466</v>
      </c>
      <c r="BR14" s="832">
        <v>11047</v>
      </c>
      <c r="BS14" s="832">
        <v>65946</v>
      </c>
      <c r="BT14" s="1169"/>
      <c r="BU14" s="1328"/>
      <c r="BV14" s="1235"/>
    </row>
    <row r="15" spans="1:75" s="777" customFormat="1" ht="11.25" customHeight="1">
      <c r="A15" s="579" t="s">
        <v>1606</v>
      </c>
      <c r="B15" s="579">
        <v>20659521</v>
      </c>
      <c r="C15" s="829">
        <v>2423173.8888500961</v>
      </c>
      <c r="D15" s="579">
        <v>439633</v>
      </c>
      <c r="E15" s="829">
        <v>10717.059649764</v>
      </c>
      <c r="F15" s="1668">
        <v>21099154</v>
      </c>
      <c r="G15" s="829">
        <v>2433890.9484998598</v>
      </c>
      <c r="H15" s="1669">
        <v>133383702</v>
      </c>
      <c r="I15" s="829">
        <v>424084.19240942295</v>
      </c>
      <c r="J15" s="579">
        <v>3107852</v>
      </c>
      <c r="K15" s="829">
        <v>2648.7021078270004</v>
      </c>
      <c r="L15" s="579">
        <v>14382</v>
      </c>
      <c r="M15" s="829">
        <v>29.033245158550002</v>
      </c>
      <c r="N15" s="579">
        <v>16955039</v>
      </c>
      <c r="O15" s="829">
        <v>10577.675231101</v>
      </c>
      <c r="P15" s="579">
        <v>714030</v>
      </c>
      <c r="Q15" s="829">
        <v>477.35958799905001</v>
      </c>
      <c r="R15" s="579">
        <v>7411758</v>
      </c>
      <c r="S15" s="829">
        <v>3820.1791295130001</v>
      </c>
      <c r="T15" s="579">
        <v>1114214</v>
      </c>
      <c r="U15" s="829">
        <v>419.69825229380001</v>
      </c>
      <c r="V15" s="579">
        <v>29317275</v>
      </c>
      <c r="W15" s="829">
        <v>17972.647553892399</v>
      </c>
      <c r="X15" s="829">
        <v>6452.2631663700004</v>
      </c>
      <c r="Y15" s="579" t="s">
        <v>1606</v>
      </c>
      <c r="Z15" s="579">
        <v>241633196</v>
      </c>
      <c r="AA15" s="829">
        <v>212200.39009012704</v>
      </c>
      <c r="AB15" s="579">
        <v>13230</v>
      </c>
      <c r="AC15" s="829">
        <v>51.706051254700007</v>
      </c>
      <c r="AD15" s="579">
        <v>15692084</v>
      </c>
      <c r="AE15" s="829">
        <v>6093.4694801100004</v>
      </c>
      <c r="AF15" s="579">
        <v>84064</v>
      </c>
      <c r="AG15" s="829">
        <v>44.073489145549999</v>
      </c>
      <c r="AH15" s="579">
        <v>15493699</v>
      </c>
      <c r="AI15" s="829">
        <v>4069.9201925638004</v>
      </c>
      <c r="AJ15" s="579">
        <v>234778</v>
      </c>
      <c r="AK15" s="829">
        <v>67.917196810749999</v>
      </c>
      <c r="AL15" s="579">
        <v>273151051</v>
      </c>
      <c r="AM15" s="829">
        <v>222527.47650001181</v>
      </c>
      <c r="AN15" s="579">
        <v>2722079</v>
      </c>
      <c r="AO15" s="829">
        <v>1828.257555976</v>
      </c>
      <c r="AP15" s="579">
        <v>1271573</v>
      </c>
      <c r="AQ15" s="829">
        <v>223.65855985310003</v>
      </c>
      <c r="AR15" s="579">
        <v>817466</v>
      </c>
      <c r="AS15" s="829">
        <v>972.30655500199998</v>
      </c>
      <c r="AT15" s="579">
        <v>823656</v>
      </c>
      <c r="AU15" s="829">
        <v>612.35550458149999</v>
      </c>
      <c r="AV15" s="579">
        <v>472592</v>
      </c>
      <c r="AW15" s="829">
        <v>123.242801439</v>
      </c>
      <c r="AX15" s="579" t="s">
        <v>1606</v>
      </c>
      <c r="AY15" s="579">
        <v>2113714</v>
      </c>
      <c r="AZ15" s="829">
        <v>1707.9048610225002</v>
      </c>
      <c r="BA15" s="579">
        <v>308575692</v>
      </c>
      <c r="BB15" s="829">
        <v>244259.9450307558</v>
      </c>
      <c r="BC15" s="579">
        <v>1734418</v>
      </c>
      <c r="BD15" s="1280">
        <v>23363702</v>
      </c>
      <c r="BE15" s="579">
        <v>934250</v>
      </c>
      <c r="BF15" s="579">
        <v>26032370</v>
      </c>
      <c r="BG15" s="579">
        <v>3638433</v>
      </c>
      <c r="BH15" s="579">
        <v>28762491</v>
      </c>
      <c r="BI15" s="829">
        <v>101060.36294114799</v>
      </c>
      <c r="BJ15" s="579">
        <v>1377616</v>
      </c>
      <c r="BK15" s="579">
        <v>3892218366</v>
      </c>
      <c r="BL15" s="829">
        <v>759556.04742055829</v>
      </c>
      <c r="BM15" s="579">
        <v>152462267</v>
      </c>
      <c r="BN15" s="579">
        <v>12930</v>
      </c>
      <c r="BO15" s="579">
        <v>115849678</v>
      </c>
      <c r="BP15" s="829">
        <v>394068.63955505099</v>
      </c>
      <c r="BQ15" s="579">
        <v>12202370</v>
      </c>
      <c r="BR15" s="579">
        <v>12337</v>
      </c>
      <c r="BS15" s="579">
        <v>82098</v>
      </c>
      <c r="BT15" s="774"/>
      <c r="BU15" s="1670"/>
    </row>
    <row r="16" spans="1:75" s="184" customFormat="1" ht="11.25" customHeight="1">
      <c r="A16" s="1113" t="s">
        <v>1927</v>
      </c>
      <c r="B16" s="1113">
        <v>22051673</v>
      </c>
      <c r="C16" s="1114">
        <v>2560438.2513423832</v>
      </c>
      <c r="D16" s="1234">
        <v>298366</v>
      </c>
      <c r="E16" s="1114">
        <v>6825.6877742659999</v>
      </c>
      <c r="F16" s="1234">
        <v>22350039</v>
      </c>
      <c r="G16" s="1114">
        <v>2567263.9391166489</v>
      </c>
      <c r="H16" s="1296">
        <v>185601004</v>
      </c>
      <c r="I16" s="1114">
        <v>575743.87912449497</v>
      </c>
      <c r="J16" s="1234">
        <v>5535126</v>
      </c>
      <c r="K16" s="1114">
        <v>5684.4229899359998</v>
      </c>
      <c r="L16" s="1113">
        <v>32269</v>
      </c>
      <c r="M16" s="1113">
        <v>58.300769251000006</v>
      </c>
      <c r="N16" s="1113">
        <v>22368746</v>
      </c>
      <c r="O16" s="1114">
        <v>13326.307397372999</v>
      </c>
      <c r="P16" s="1113">
        <v>1522495</v>
      </c>
      <c r="Q16" s="1114">
        <v>1377.65658089868</v>
      </c>
      <c r="R16" s="1113">
        <v>9143604</v>
      </c>
      <c r="S16" s="1114">
        <v>4548.9042892340003</v>
      </c>
      <c r="T16" s="1113">
        <v>1540947</v>
      </c>
      <c r="U16" s="1114">
        <v>629.00407213825997</v>
      </c>
      <c r="V16" s="1113">
        <v>40143187</v>
      </c>
      <c r="W16" s="1114">
        <v>25624.596098830942</v>
      </c>
      <c r="X16" s="1114">
        <v>7507.0998574979994</v>
      </c>
      <c r="Y16" s="1113" t="s">
        <v>1927</v>
      </c>
      <c r="Z16" s="1113">
        <v>288240242</v>
      </c>
      <c r="AA16" s="1114">
        <v>295272.32001764502</v>
      </c>
      <c r="AB16" s="1113">
        <v>43588</v>
      </c>
      <c r="AC16" s="1114">
        <v>91.441976603099988</v>
      </c>
      <c r="AD16" s="1113">
        <v>21168832</v>
      </c>
      <c r="AE16" s="1113">
        <v>7795.3005784440002</v>
      </c>
      <c r="AF16" s="1113">
        <v>287315</v>
      </c>
      <c r="AG16" s="1113">
        <v>158.35927568939999</v>
      </c>
      <c r="AH16" s="1113">
        <v>22155076</v>
      </c>
      <c r="AI16" s="1114">
        <v>4000.2566246310002</v>
      </c>
      <c r="AJ16" s="1113">
        <v>680047</v>
      </c>
      <c r="AK16" s="1239">
        <v>184.41482989099998</v>
      </c>
      <c r="AL16" s="1113">
        <v>332575100</v>
      </c>
      <c r="AM16" s="1114">
        <v>307502.09330290352</v>
      </c>
      <c r="AN16" s="1113">
        <v>3546881</v>
      </c>
      <c r="AO16" s="1114">
        <v>2232.7237356689998</v>
      </c>
      <c r="AP16" s="1113">
        <v>1583371</v>
      </c>
      <c r="AQ16" s="1113">
        <v>445.14578276359998</v>
      </c>
      <c r="AR16" s="1113">
        <v>1139587</v>
      </c>
      <c r="AS16" s="1114">
        <v>1295.7154900000003</v>
      </c>
      <c r="AT16" s="1113">
        <v>1260346</v>
      </c>
      <c r="AU16" s="1114">
        <v>1031.81594416695</v>
      </c>
      <c r="AV16" s="1113">
        <v>741131</v>
      </c>
      <c r="AW16" s="1114">
        <v>282.48465722899999</v>
      </c>
      <c r="AX16" s="1113" t="s">
        <v>1927</v>
      </c>
      <c r="AY16" s="1113">
        <v>3141064</v>
      </c>
      <c r="AZ16" s="1114">
        <v>2610.0160913959503</v>
      </c>
      <c r="BA16" s="1113">
        <v>380989603</v>
      </c>
      <c r="BB16" s="1114">
        <v>338414.57501156308</v>
      </c>
      <c r="BC16" s="1113">
        <v>1978196</v>
      </c>
      <c r="BD16" s="1238">
        <v>27623986</v>
      </c>
      <c r="BE16" s="1238">
        <v>1869559</v>
      </c>
      <c r="BF16" s="1113">
        <v>31471741</v>
      </c>
      <c r="BG16" s="1113">
        <v>5355586</v>
      </c>
      <c r="BH16" s="1113">
        <v>54043607</v>
      </c>
      <c r="BI16" s="1114">
        <v>224959.66134032118</v>
      </c>
      <c r="BJ16" s="1113">
        <v>1515665</v>
      </c>
      <c r="BK16" s="1113">
        <v>4769246590</v>
      </c>
      <c r="BL16" s="1114">
        <v>990004.04799868248</v>
      </c>
      <c r="BM16" s="1113">
        <v>178639642</v>
      </c>
      <c r="BN16" s="1113">
        <v>14300</v>
      </c>
      <c r="BO16" s="1113">
        <v>162287061</v>
      </c>
      <c r="BP16" s="1114">
        <v>564845.24125884299</v>
      </c>
      <c r="BQ16" s="1113">
        <v>16073962</v>
      </c>
      <c r="BR16" s="1113">
        <v>13036</v>
      </c>
      <c r="BS16" s="1113">
        <v>101341</v>
      </c>
      <c r="BU16" s="1327"/>
      <c r="BV16" s="1327"/>
    </row>
    <row r="17" spans="1:74" s="184" customFormat="1" ht="11.25" customHeight="1">
      <c r="A17" s="1278" t="s">
        <v>2183</v>
      </c>
      <c r="B17" s="580">
        <f>B18+B19+B20+B21+B22+B23+B24+B25+B26+B27+B28+B29</f>
        <v>22105217</v>
      </c>
      <c r="C17" s="1054">
        <f t="shared" ref="C17:W17" si="0">C18+C19+C20+C21+C22+C23+C24+C25+C26+C27+C28+C29</f>
        <v>2533194.6094060373</v>
      </c>
      <c r="D17" s="580">
        <f>D18+D19+D20+D21+D22+D23+D24+D25+D26+D27+D28+D29</f>
        <v>109534</v>
      </c>
      <c r="E17" s="1054">
        <f t="shared" si="0"/>
        <v>3975.4970206029998</v>
      </c>
      <c r="F17" s="1053">
        <f t="shared" si="0"/>
        <v>22214751</v>
      </c>
      <c r="G17" s="1054">
        <f t="shared" si="0"/>
        <v>2537170.1064266395</v>
      </c>
      <c r="H17" s="1297">
        <f t="shared" si="0"/>
        <v>219089874</v>
      </c>
      <c r="I17" s="1054">
        <f t="shared" si="0"/>
        <v>670019.14837376401</v>
      </c>
      <c r="J17" s="580">
        <f t="shared" si="0"/>
        <v>3682886</v>
      </c>
      <c r="K17" s="1054">
        <f t="shared" si="0"/>
        <v>3474.4970948813007</v>
      </c>
      <c r="L17" s="1297">
        <f t="shared" si="0"/>
        <v>128412</v>
      </c>
      <c r="M17" s="1054">
        <f t="shared" si="0"/>
        <v>217.39425144783999</v>
      </c>
      <c r="N17" s="580">
        <f t="shared" si="0"/>
        <v>26898127</v>
      </c>
      <c r="O17" s="1054">
        <f t="shared" si="0"/>
        <v>16252.378549088999</v>
      </c>
      <c r="P17" s="580">
        <f t="shared" si="0"/>
        <v>3167660</v>
      </c>
      <c r="Q17" s="1054">
        <f t="shared" si="0"/>
        <v>2918.4303676456998</v>
      </c>
      <c r="R17" s="1297">
        <f t="shared" si="0"/>
        <v>11444462</v>
      </c>
      <c r="S17" s="1054">
        <f t="shared" si="0"/>
        <v>6179.2140340400001</v>
      </c>
      <c r="T17" s="580">
        <f t="shared" si="0"/>
        <v>1712865</v>
      </c>
      <c r="U17" s="1054">
        <f t="shared" si="0"/>
        <v>920.10588678559998</v>
      </c>
      <c r="V17" s="580">
        <f t="shared" si="0"/>
        <v>47034412</v>
      </c>
      <c r="W17" s="1054">
        <f t="shared" si="0"/>
        <v>29962.551968044143</v>
      </c>
      <c r="X17" s="1054">
        <f>X29</f>
        <v>8937.9329594219998</v>
      </c>
      <c r="Y17" s="1278" t="s">
        <v>2183</v>
      </c>
      <c r="Z17" s="580">
        <f t="shared" ref="Z17:AW17" si="1">Z18+Z19+Z20+Z21+Z22+Z23+Z24+Z25+Z26+Z27+Z28+Z29</f>
        <v>409898744</v>
      </c>
      <c r="AA17" s="1054">
        <f t="shared" si="1"/>
        <v>439004.38322004798</v>
      </c>
      <c r="AB17" s="1297">
        <f t="shared" si="1"/>
        <v>314651</v>
      </c>
      <c r="AC17" s="1054">
        <f t="shared" si="1"/>
        <v>763.68512718900001</v>
      </c>
      <c r="AD17" s="580">
        <f t="shared" si="1"/>
        <v>27422298</v>
      </c>
      <c r="AE17" s="1054">
        <f t="shared" si="1"/>
        <v>9807.2154761680013</v>
      </c>
      <c r="AF17" s="580">
        <f t="shared" si="1"/>
        <v>876606</v>
      </c>
      <c r="AG17" s="1054">
        <f t="shared" si="1"/>
        <v>662.12720842249996</v>
      </c>
      <c r="AH17" s="580">
        <f t="shared" si="1"/>
        <v>31158912</v>
      </c>
      <c r="AI17" s="1054">
        <f t="shared" si="1"/>
        <v>5576.3546097880007</v>
      </c>
      <c r="AJ17" s="1297">
        <f t="shared" si="1"/>
        <v>1271210</v>
      </c>
      <c r="AK17" s="1450">
        <f t="shared" si="1"/>
        <v>387.21434887300001</v>
      </c>
      <c r="AL17" s="580">
        <f t="shared" si="1"/>
        <v>470942421</v>
      </c>
      <c r="AM17" s="1054">
        <f t="shared" si="1"/>
        <v>456200.97999048844</v>
      </c>
      <c r="AN17" s="580">
        <f t="shared" si="1"/>
        <v>4465347</v>
      </c>
      <c r="AO17" s="1054">
        <f t="shared" si="1"/>
        <v>2897.479066206</v>
      </c>
      <c r="AP17" s="580">
        <f t="shared" si="1"/>
        <v>1766000</v>
      </c>
      <c r="AQ17" s="1054">
        <f t="shared" si="1"/>
        <v>1024.591761500802</v>
      </c>
      <c r="AR17" s="580">
        <f t="shared" si="1"/>
        <v>506060</v>
      </c>
      <c r="AS17" s="1054">
        <f t="shared" si="1"/>
        <v>705.80543589399997</v>
      </c>
      <c r="AT17" s="580">
        <f t="shared" si="1"/>
        <v>923852</v>
      </c>
      <c r="AU17" s="1054">
        <f t="shared" si="1"/>
        <v>889.62142875981976</v>
      </c>
      <c r="AV17" s="580">
        <f t="shared" si="1"/>
        <v>803872</v>
      </c>
      <c r="AW17" s="1054">
        <f t="shared" si="1"/>
        <v>309.46437661200002</v>
      </c>
      <c r="AX17" s="1278" t="s">
        <v>2183</v>
      </c>
      <c r="AY17" s="580">
        <f t="shared" ref="AY17:BK17" si="2">AY18+AY19+AY20+AY21+AY22+AY23+AY24+AY25+AY26+AY27+AY28+AY29</f>
        <v>2233784</v>
      </c>
      <c r="AZ17" s="1054">
        <f t="shared" si="2"/>
        <v>1904.8912412658196</v>
      </c>
      <c r="BA17" s="580">
        <f t="shared" si="2"/>
        <v>526441964</v>
      </c>
      <c r="BB17" s="1054">
        <f>BB18+BB19+BB20+BB21+BB22+BB23+BB24+BB25+BB26+BB27+BB28+BB29</f>
        <v>491990.49402750528</v>
      </c>
      <c r="BC17" s="580">
        <f>BC29</f>
        <v>2238663</v>
      </c>
      <c r="BD17" s="1237">
        <f t="shared" ref="BD17:BG17" si="3">BD29</f>
        <v>32131984</v>
      </c>
      <c r="BE17" s="1297">
        <f t="shared" si="3"/>
        <v>4269805</v>
      </c>
      <c r="BF17" s="580">
        <f t="shared" si="3"/>
        <v>38640452</v>
      </c>
      <c r="BG17" s="580">
        <f t="shared" si="3"/>
        <v>7237380</v>
      </c>
      <c r="BH17" s="580">
        <f t="shared" si="2"/>
        <v>78148370</v>
      </c>
      <c r="BI17" s="1054">
        <f t="shared" si="2"/>
        <v>397221.11906997696</v>
      </c>
      <c r="BJ17" s="580">
        <f>BJ29</f>
        <v>1585722</v>
      </c>
      <c r="BK17" s="580">
        <f t="shared" si="2"/>
        <v>5538646530</v>
      </c>
      <c r="BL17" s="1450">
        <f>BL18+BL19+BL20+BL21+BL22+BL23+BL24+BL25+BL26+BL27+BL28+BL29</f>
        <v>1217375.6009731088</v>
      </c>
      <c r="BM17" s="580">
        <f>BM29</f>
        <v>207268646</v>
      </c>
      <c r="BN17" s="580">
        <f>BN29</f>
        <v>15510</v>
      </c>
      <c r="BO17" s="580">
        <f t="shared" ref="BO17:BP17" si="4">BO18+BO19+BO20+BO21+BO22+BO23+BO24+BO25+BO26+BO27+BO28+BO29</f>
        <v>181709043</v>
      </c>
      <c r="BP17" s="1054">
        <f t="shared" si="4"/>
        <v>774328.8298470421</v>
      </c>
      <c r="BQ17" s="580">
        <f>BQ29</f>
        <v>19850911</v>
      </c>
      <c r="BR17" s="580">
        <f>BR29</f>
        <v>13704</v>
      </c>
      <c r="BS17" s="580">
        <f>BS29</f>
        <v>106733</v>
      </c>
      <c r="BU17" s="1327"/>
      <c r="BV17" s="1327"/>
    </row>
    <row r="18" spans="1:74" s="184" customFormat="1" ht="11.25" customHeight="1">
      <c r="A18" s="1118" t="s">
        <v>565</v>
      </c>
      <c r="B18" s="1118">
        <v>1649517</v>
      </c>
      <c r="C18" s="1119">
        <v>202636.00549710292</v>
      </c>
      <c r="D18" s="1118">
        <v>9516</v>
      </c>
      <c r="E18" s="1119">
        <v>206.73015956</v>
      </c>
      <c r="F18" s="1118">
        <v>1659033</v>
      </c>
      <c r="G18" s="1119">
        <v>202842.7356566629</v>
      </c>
      <c r="H18" s="1118">
        <v>13398738</v>
      </c>
      <c r="I18" s="1119">
        <v>49119.83277993201</v>
      </c>
      <c r="J18" s="1118">
        <v>537464</v>
      </c>
      <c r="K18" s="1119">
        <v>581.66958493099992</v>
      </c>
      <c r="L18" s="1118">
        <v>6644</v>
      </c>
      <c r="M18" s="1119">
        <v>12.606325479300002</v>
      </c>
      <c r="N18" s="1118">
        <v>2106121</v>
      </c>
      <c r="O18" s="1119">
        <v>1248.9034585080001</v>
      </c>
      <c r="P18" s="1118">
        <v>243793</v>
      </c>
      <c r="Q18" s="1119">
        <v>233.21360683564993</v>
      </c>
      <c r="R18" s="1118">
        <v>807115</v>
      </c>
      <c r="S18" s="1119">
        <v>440.85201795699993</v>
      </c>
      <c r="T18" s="1118">
        <v>125636</v>
      </c>
      <c r="U18" s="1119">
        <v>60.749221170300018</v>
      </c>
      <c r="V18" s="1118">
        <v>3826773</v>
      </c>
      <c r="W18" s="1119">
        <v>2577.9942148812502</v>
      </c>
      <c r="X18" s="1119">
        <v>7281.2290249230009</v>
      </c>
      <c r="Y18" s="1118" t="s">
        <v>565</v>
      </c>
      <c r="Z18" s="1118">
        <v>31707919</v>
      </c>
      <c r="AA18" s="1119">
        <v>34151.280482898997</v>
      </c>
      <c r="AB18" s="1118">
        <v>9520</v>
      </c>
      <c r="AC18" s="1119">
        <v>19.932478428000003</v>
      </c>
      <c r="AD18" s="1118">
        <v>2101874</v>
      </c>
      <c r="AE18" s="1119">
        <v>772.13439491600002</v>
      </c>
      <c r="AF18" s="1118">
        <v>39955</v>
      </c>
      <c r="AG18" s="1119">
        <v>33.366148688999999</v>
      </c>
      <c r="AH18" s="1118">
        <v>2305148</v>
      </c>
      <c r="AI18" s="1119">
        <v>410.012584522</v>
      </c>
      <c r="AJ18" s="1118">
        <v>77442</v>
      </c>
      <c r="AK18" s="1119">
        <v>20.459789328999999</v>
      </c>
      <c r="AL18" s="1118">
        <v>36241858</v>
      </c>
      <c r="AM18" s="1119">
        <v>35407.185878782999</v>
      </c>
      <c r="AN18" s="1118">
        <v>336308</v>
      </c>
      <c r="AO18" s="1119">
        <v>229.95972937400009</v>
      </c>
      <c r="AP18" s="1118">
        <v>111710</v>
      </c>
      <c r="AQ18" s="1119">
        <v>60.597311433149997</v>
      </c>
      <c r="AR18" s="1118">
        <v>69168</v>
      </c>
      <c r="AS18" s="1119">
        <v>88.734829999999988</v>
      </c>
      <c r="AT18" s="1118">
        <v>78786</v>
      </c>
      <c r="AU18" s="1119">
        <v>67.675018949499986</v>
      </c>
      <c r="AV18" s="1118">
        <v>68995</v>
      </c>
      <c r="AW18" s="1119">
        <v>27.836900808999999</v>
      </c>
      <c r="AX18" s="1118" t="s">
        <v>565</v>
      </c>
      <c r="AY18" s="1118">
        <v>216949</v>
      </c>
      <c r="AZ18" s="1119">
        <v>184.24674975849996</v>
      </c>
      <c r="BA18" s="1146">
        <v>40733598</v>
      </c>
      <c r="BB18" s="1119">
        <v>38459.9838842299</v>
      </c>
      <c r="BC18" s="1118">
        <v>2007724</v>
      </c>
      <c r="BD18" s="1118">
        <v>27950359</v>
      </c>
      <c r="BE18" s="1118">
        <v>2528173</v>
      </c>
      <c r="BF18" s="1118">
        <v>32486256</v>
      </c>
      <c r="BG18" s="1118">
        <v>5472264</v>
      </c>
      <c r="BH18" s="1118">
        <v>5703793</v>
      </c>
      <c r="BI18" s="1119">
        <v>23548.536446219998</v>
      </c>
      <c r="BJ18" s="1118">
        <v>1526239</v>
      </c>
      <c r="BK18" s="1118">
        <v>431892765</v>
      </c>
      <c r="BL18" s="1119">
        <v>89169.25535799301</v>
      </c>
      <c r="BM18" s="1118">
        <v>181137763</v>
      </c>
      <c r="BN18" s="1118">
        <v>14412</v>
      </c>
      <c r="BO18" s="1118">
        <v>12448213</v>
      </c>
      <c r="BP18" s="1119">
        <v>52784.435324975995</v>
      </c>
      <c r="BQ18" s="1118">
        <v>16293910</v>
      </c>
      <c r="BR18" s="1118">
        <v>13065</v>
      </c>
      <c r="BS18" s="1118">
        <v>101993</v>
      </c>
      <c r="BT18" s="1236"/>
      <c r="BU18" s="1327"/>
      <c r="BV18" s="1327"/>
    </row>
    <row r="19" spans="1:74" s="184" customFormat="1" ht="11.25" customHeight="1">
      <c r="A19" s="1116" t="s">
        <v>566</v>
      </c>
      <c r="B19" s="1116">
        <v>1813828</v>
      </c>
      <c r="C19" s="1117">
        <v>231027.26298447303</v>
      </c>
      <c r="D19" s="1116">
        <v>9566</v>
      </c>
      <c r="E19" s="1117">
        <v>275.69495008000001</v>
      </c>
      <c r="F19" s="1116">
        <v>1823394</v>
      </c>
      <c r="G19" s="1117">
        <v>231302.95793455304</v>
      </c>
      <c r="H19" s="1116">
        <v>10270841</v>
      </c>
      <c r="I19" s="1117">
        <v>51699.025985130997</v>
      </c>
      <c r="J19" s="1116">
        <v>305734</v>
      </c>
      <c r="K19" s="1117">
        <v>297.46379853299993</v>
      </c>
      <c r="L19" s="1116">
        <v>11207</v>
      </c>
      <c r="M19" s="1117">
        <v>21.551331748349998</v>
      </c>
      <c r="N19" s="1116">
        <v>2167546</v>
      </c>
      <c r="O19" s="1117">
        <v>1237.755219726</v>
      </c>
      <c r="P19" s="1116">
        <v>248170</v>
      </c>
      <c r="Q19" s="1117">
        <v>222.70378755519994</v>
      </c>
      <c r="R19" s="1116">
        <v>864402</v>
      </c>
      <c r="S19" s="1117">
        <v>450.83845392900002</v>
      </c>
      <c r="T19" s="1116">
        <v>144881</v>
      </c>
      <c r="U19" s="1117">
        <v>72.090876788599999</v>
      </c>
      <c r="V19" s="1116">
        <v>3741940</v>
      </c>
      <c r="W19" s="1117">
        <v>2302.4034682801498</v>
      </c>
      <c r="X19" s="1117">
        <v>7704.961692246</v>
      </c>
      <c r="Y19" s="1116" t="s">
        <v>566</v>
      </c>
      <c r="Z19" s="1116">
        <v>30727592</v>
      </c>
      <c r="AA19" s="1117">
        <v>32772.288250981997</v>
      </c>
      <c r="AB19" s="1116">
        <v>23847</v>
      </c>
      <c r="AC19" s="1117">
        <v>45.6440391816</v>
      </c>
      <c r="AD19" s="1116">
        <v>2051844</v>
      </c>
      <c r="AE19" s="1117">
        <v>712.74522970499993</v>
      </c>
      <c r="AF19" s="1116">
        <v>57902</v>
      </c>
      <c r="AG19" s="1117">
        <v>40.9528005815</v>
      </c>
      <c r="AH19" s="1116">
        <v>2422183</v>
      </c>
      <c r="AI19" s="1117">
        <v>414.59060374500018</v>
      </c>
      <c r="AJ19" s="1116">
        <v>171033</v>
      </c>
      <c r="AK19" s="1117">
        <v>32.590970567999996</v>
      </c>
      <c r="AL19" s="1116">
        <v>35454401</v>
      </c>
      <c r="AM19" s="1117">
        <v>34018.811894763094</v>
      </c>
      <c r="AN19" s="1116">
        <v>321726</v>
      </c>
      <c r="AO19" s="1117">
        <v>212.87233370899997</v>
      </c>
      <c r="AP19" s="1116">
        <v>160962</v>
      </c>
      <c r="AQ19" s="1117">
        <v>84.795698124750004</v>
      </c>
      <c r="AR19" s="1116">
        <v>63646</v>
      </c>
      <c r="AS19" s="1117">
        <v>75.588319999999996</v>
      </c>
      <c r="AT19" s="1116">
        <v>74124</v>
      </c>
      <c r="AU19" s="1117">
        <v>64.650515808999998</v>
      </c>
      <c r="AV19" s="1116">
        <v>72909</v>
      </c>
      <c r="AW19" s="1117">
        <v>28.635353281</v>
      </c>
      <c r="AX19" s="1116" t="s">
        <v>566</v>
      </c>
      <c r="AY19" s="1116">
        <v>210679</v>
      </c>
      <c r="AZ19" s="1117">
        <v>168.87418908999999</v>
      </c>
      <c r="BA19" s="1153">
        <v>39889708</v>
      </c>
      <c r="BB19" s="1117">
        <v>36787.757583967003</v>
      </c>
      <c r="BC19" s="1116">
        <v>2022259</v>
      </c>
      <c r="BD19" s="1116">
        <v>28372594</v>
      </c>
      <c r="BE19" s="1116">
        <v>2985576</v>
      </c>
      <c r="BF19" s="1116">
        <v>33380429</v>
      </c>
      <c r="BG19" s="1116">
        <v>5716529</v>
      </c>
      <c r="BH19" s="1116">
        <v>5970748</v>
      </c>
      <c r="BI19" s="1117">
        <v>25543.982178814</v>
      </c>
      <c r="BJ19" s="1116">
        <v>1493398</v>
      </c>
      <c r="BK19" s="1116">
        <v>408059052</v>
      </c>
      <c r="BL19" s="1117">
        <v>87446.365902944221</v>
      </c>
      <c r="BM19" s="1116">
        <v>183224610</v>
      </c>
      <c r="BN19" s="1116">
        <v>14509</v>
      </c>
      <c r="BO19" s="1116">
        <v>12988273</v>
      </c>
      <c r="BP19" s="1117">
        <v>57542.348755307008</v>
      </c>
      <c r="BQ19" s="1116">
        <v>16537969</v>
      </c>
      <c r="BR19" s="1116">
        <v>13099</v>
      </c>
      <c r="BS19" s="1116">
        <v>103094</v>
      </c>
      <c r="BT19" s="1236"/>
      <c r="BU19" s="1327"/>
    </row>
    <row r="20" spans="1:74" s="184" customFormat="1" ht="11.25" customHeight="1">
      <c r="A20" s="1118" t="s">
        <v>560</v>
      </c>
      <c r="B20" s="1118">
        <v>1793147</v>
      </c>
      <c r="C20" s="1119">
        <v>216515.895644509</v>
      </c>
      <c r="D20" s="1118">
        <v>9074</v>
      </c>
      <c r="E20" s="1119">
        <v>248.47614779200001</v>
      </c>
      <c r="F20" s="1118">
        <v>1802221</v>
      </c>
      <c r="G20" s="1119">
        <v>216764.37179230101</v>
      </c>
      <c r="H20" s="1118">
        <v>9730251</v>
      </c>
      <c r="I20" s="1119">
        <v>48008.86222586799</v>
      </c>
      <c r="J20" s="1118">
        <v>275702</v>
      </c>
      <c r="K20" s="1119">
        <v>249.10009712200005</v>
      </c>
      <c r="L20" s="1118">
        <v>12868</v>
      </c>
      <c r="M20" s="1119">
        <v>22.1391225974</v>
      </c>
      <c r="N20" s="1118">
        <v>2151129</v>
      </c>
      <c r="O20" s="1119">
        <v>1213.5365075119998</v>
      </c>
      <c r="P20" s="1118">
        <v>269478</v>
      </c>
      <c r="Q20" s="1119">
        <v>239.71581757025004</v>
      </c>
      <c r="R20" s="1118">
        <v>875899</v>
      </c>
      <c r="S20" s="1119">
        <v>484.59167348900019</v>
      </c>
      <c r="T20" s="1118">
        <v>140097</v>
      </c>
      <c r="U20" s="1119">
        <v>72.686008021199981</v>
      </c>
      <c r="V20" s="1118">
        <v>3725173</v>
      </c>
      <c r="W20" s="1119">
        <v>2281.7692263118502</v>
      </c>
      <c r="X20" s="1119">
        <v>7790.9249361109987</v>
      </c>
      <c r="Y20" s="1118" t="s">
        <v>560</v>
      </c>
      <c r="Z20" s="1118">
        <v>30738357</v>
      </c>
      <c r="AA20" s="1119">
        <v>33048.737961022009</v>
      </c>
      <c r="AB20" s="1118">
        <v>32870</v>
      </c>
      <c r="AC20" s="1119">
        <v>69.361218919000009</v>
      </c>
      <c r="AD20" s="1118">
        <v>2074680</v>
      </c>
      <c r="AE20" s="1119">
        <v>720.01220303299999</v>
      </c>
      <c r="AF20" s="1118">
        <v>68822</v>
      </c>
      <c r="AG20" s="1119">
        <v>51.578971019000001</v>
      </c>
      <c r="AH20" s="1118">
        <v>2482218</v>
      </c>
      <c r="AI20" s="1119">
        <v>434.80153298300007</v>
      </c>
      <c r="AJ20" s="1118">
        <v>122407</v>
      </c>
      <c r="AK20" s="1119">
        <v>30.712125464000003</v>
      </c>
      <c r="AL20" s="1118">
        <v>35519354</v>
      </c>
      <c r="AM20" s="1119">
        <v>34355.204012440008</v>
      </c>
      <c r="AN20" s="1118">
        <v>339262</v>
      </c>
      <c r="AO20" s="1119">
        <v>229.54801825700002</v>
      </c>
      <c r="AP20" s="1118">
        <v>185120</v>
      </c>
      <c r="AQ20" s="1119">
        <v>99.559959695200007</v>
      </c>
      <c r="AR20" s="1118">
        <v>33513</v>
      </c>
      <c r="AS20" s="1119">
        <v>45.304720299999993</v>
      </c>
      <c r="AT20" s="1118">
        <v>58938</v>
      </c>
      <c r="AU20" s="1119">
        <v>55.353041109999999</v>
      </c>
      <c r="AV20" s="1118">
        <v>55438</v>
      </c>
      <c r="AW20" s="1119">
        <v>16.086852977000003</v>
      </c>
      <c r="AX20" s="1118" t="s">
        <v>560</v>
      </c>
      <c r="AY20" s="1118">
        <v>147889</v>
      </c>
      <c r="AZ20" s="1119">
        <v>116.744614387</v>
      </c>
      <c r="BA20" s="1146">
        <v>39916798</v>
      </c>
      <c r="BB20" s="1119">
        <v>37082.825831091046</v>
      </c>
      <c r="BC20" s="1118">
        <v>2037598</v>
      </c>
      <c r="BD20" s="1118">
        <v>28784052</v>
      </c>
      <c r="BE20" s="1118">
        <v>3099201</v>
      </c>
      <c r="BF20" s="1118">
        <v>33920851</v>
      </c>
      <c r="BG20" s="1118">
        <v>5889226</v>
      </c>
      <c r="BH20" s="1118">
        <v>6024976</v>
      </c>
      <c r="BI20" s="1119">
        <v>26605.388500904995</v>
      </c>
      <c r="BJ20" s="1118">
        <v>1505321</v>
      </c>
      <c r="BK20" s="1118">
        <v>408379707</v>
      </c>
      <c r="BL20" s="1119">
        <v>87635.165541996568</v>
      </c>
      <c r="BM20" s="1118">
        <v>185257932</v>
      </c>
      <c r="BN20" s="1118">
        <v>14716</v>
      </c>
      <c r="BO20" s="1118">
        <v>12732190</v>
      </c>
      <c r="BP20" s="1119">
        <v>59295.219292353991</v>
      </c>
      <c r="BQ20" s="1118">
        <v>16781251</v>
      </c>
      <c r="BR20" s="1118">
        <v>13210</v>
      </c>
      <c r="BS20" s="1118">
        <v>101712</v>
      </c>
      <c r="BT20" s="1236"/>
      <c r="BU20" s="1327"/>
    </row>
    <row r="21" spans="1:74" s="184" customFormat="1" ht="11.25" customHeight="1">
      <c r="A21" s="1474" t="s">
        <v>567</v>
      </c>
      <c r="B21" s="1116">
        <v>1804087</v>
      </c>
      <c r="C21" s="1117">
        <v>202714.520875396</v>
      </c>
      <c r="D21" s="1116">
        <v>9588</v>
      </c>
      <c r="E21" s="1117">
        <v>228.81203046100001</v>
      </c>
      <c r="F21" s="1116">
        <v>1813675</v>
      </c>
      <c r="G21" s="1117">
        <v>202943.33290585701</v>
      </c>
      <c r="H21" s="1116">
        <v>19944569</v>
      </c>
      <c r="I21" s="1117">
        <v>49241.193540115004</v>
      </c>
      <c r="J21" s="1116">
        <v>300746</v>
      </c>
      <c r="K21" s="1117">
        <v>278.27265123000001</v>
      </c>
      <c r="L21" s="1116">
        <v>12833</v>
      </c>
      <c r="M21" s="1117">
        <v>20.582455651699998</v>
      </c>
      <c r="N21" s="1116">
        <v>2262276</v>
      </c>
      <c r="O21" s="1117">
        <v>1293.423238072</v>
      </c>
      <c r="P21" s="1116">
        <v>294136</v>
      </c>
      <c r="Q21" s="1117">
        <v>265.80038767050002</v>
      </c>
      <c r="R21" s="1116">
        <v>934287</v>
      </c>
      <c r="S21" s="1117">
        <v>530.60861513299994</v>
      </c>
      <c r="T21" s="1116">
        <v>137364</v>
      </c>
      <c r="U21" s="1117">
        <v>69.551401433999999</v>
      </c>
      <c r="V21" s="1116">
        <v>3941642</v>
      </c>
      <c r="W21" s="1117">
        <v>2458.2387491912</v>
      </c>
      <c r="X21" s="1117">
        <v>7963.2711617329996</v>
      </c>
      <c r="Y21" s="1116" t="s">
        <v>567</v>
      </c>
      <c r="Z21" s="1116">
        <v>31912334</v>
      </c>
      <c r="AA21" s="1117">
        <v>33917.624082527997</v>
      </c>
      <c r="AB21" s="1116">
        <v>32398</v>
      </c>
      <c r="AC21" s="1117">
        <v>71.876545355000005</v>
      </c>
      <c r="AD21" s="1116">
        <v>2154044</v>
      </c>
      <c r="AE21" s="1117">
        <v>749.00966447899998</v>
      </c>
      <c r="AF21" s="1116">
        <v>79211</v>
      </c>
      <c r="AG21" s="1117">
        <v>58.312762106999998</v>
      </c>
      <c r="AH21" s="1116">
        <v>2546429</v>
      </c>
      <c r="AI21" s="1117">
        <v>445.590501985</v>
      </c>
      <c r="AJ21" s="1116">
        <v>130974</v>
      </c>
      <c r="AK21" s="1117">
        <v>29.804467472999999</v>
      </c>
      <c r="AL21" s="1116">
        <v>36855390</v>
      </c>
      <c r="AM21" s="1117">
        <v>35272.218023927002</v>
      </c>
      <c r="AN21" s="1116">
        <v>325905</v>
      </c>
      <c r="AO21" s="1117">
        <v>215.30157891600001</v>
      </c>
      <c r="AP21" s="1116">
        <v>180177</v>
      </c>
      <c r="AQ21" s="1117">
        <v>89.067913960799999</v>
      </c>
      <c r="AR21" s="1116">
        <v>34584</v>
      </c>
      <c r="AS21" s="1117">
        <v>48.116419999999998</v>
      </c>
      <c r="AT21" s="1116">
        <v>61196</v>
      </c>
      <c r="AU21" s="1117">
        <v>56.234574686999999</v>
      </c>
      <c r="AV21" s="1116">
        <v>48897</v>
      </c>
      <c r="AW21" s="1117">
        <v>14.606709499000001</v>
      </c>
      <c r="AX21" s="1116" t="s">
        <v>567</v>
      </c>
      <c r="AY21" s="1116">
        <v>144677</v>
      </c>
      <c r="AZ21" s="1117">
        <v>118.957704186</v>
      </c>
      <c r="BA21" s="1153">
        <v>41447791</v>
      </c>
      <c r="BB21" s="1117">
        <v>38153.783970181001</v>
      </c>
      <c r="BC21" s="1116">
        <v>2068597</v>
      </c>
      <c r="BD21" s="1116">
        <v>29155758</v>
      </c>
      <c r="BE21" s="1116">
        <v>3198443</v>
      </c>
      <c r="BF21" s="1116">
        <v>34422798</v>
      </c>
      <c r="BG21" s="1116">
        <v>6019687</v>
      </c>
      <c r="BH21" s="1116">
        <v>6117675</v>
      </c>
      <c r="BI21" s="1117">
        <v>25965.271321205</v>
      </c>
      <c r="BJ21" s="1116">
        <v>1521803</v>
      </c>
      <c r="BK21" s="1116">
        <v>444062360</v>
      </c>
      <c r="BL21" s="1117">
        <v>93013.440808555781</v>
      </c>
      <c r="BM21" s="1116">
        <v>187523593</v>
      </c>
      <c r="BN21" s="1116">
        <v>14833</v>
      </c>
      <c r="BO21" s="1116">
        <v>15506520</v>
      </c>
      <c r="BP21" s="1117">
        <v>59765.873358441997</v>
      </c>
      <c r="BQ21" s="1116">
        <v>17042562</v>
      </c>
      <c r="BR21" s="1116">
        <v>13269</v>
      </c>
      <c r="BS21" s="1116">
        <v>102488</v>
      </c>
      <c r="BT21" s="1236"/>
      <c r="BU21" s="1327"/>
    </row>
    <row r="22" spans="1:74" s="184" customFormat="1" ht="11.25" customHeight="1">
      <c r="A22" s="1118" t="s">
        <v>568</v>
      </c>
      <c r="B22" s="1118">
        <v>1934064</v>
      </c>
      <c r="C22" s="1119">
        <v>227335.62459041193</v>
      </c>
      <c r="D22" s="1118">
        <v>9825</v>
      </c>
      <c r="E22" s="1119">
        <v>238.93786359299997</v>
      </c>
      <c r="F22" s="1118">
        <v>1943889</v>
      </c>
      <c r="G22" s="1119">
        <v>227574.56245400492</v>
      </c>
      <c r="H22" s="1118">
        <v>11106837</v>
      </c>
      <c r="I22" s="1119">
        <v>50322.474459369005</v>
      </c>
      <c r="J22" s="1118">
        <v>294745</v>
      </c>
      <c r="K22" s="1119">
        <v>275.56447863700009</v>
      </c>
      <c r="L22" s="1118">
        <v>10346</v>
      </c>
      <c r="M22" s="1119">
        <v>16.644283342000001</v>
      </c>
      <c r="N22" s="1118">
        <v>2175109</v>
      </c>
      <c r="O22" s="1119">
        <v>1310.2241300619999</v>
      </c>
      <c r="P22" s="1118">
        <v>255155</v>
      </c>
      <c r="Q22" s="1119">
        <v>230.4580237079999</v>
      </c>
      <c r="R22" s="1118">
        <v>1002128</v>
      </c>
      <c r="S22" s="1119">
        <v>548.61049771400019</v>
      </c>
      <c r="T22" s="1118">
        <v>137806</v>
      </c>
      <c r="U22" s="1119">
        <v>77.699769103500003</v>
      </c>
      <c r="V22" s="1118">
        <v>3875289</v>
      </c>
      <c r="W22" s="1119">
        <v>2459.2011825664995</v>
      </c>
      <c r="X22" s="1119">
        <v>8081.4645698180029</v>
      </c>
      <c r="Y22" s="1118" t="s">
        <v>568</v>
      </c>
      <c r="Z22" s="1118">
        <v>32672687</v>
      </c>
      <c r="AA22" s="1119">
        <v>35024.369650155</v>
      </c>
      <c r="AB22" s="1118">
        <v>29846</v>
      </c>
      <c r="AC22" s="1119">
        <v>71.346056673999996</v>
      </c>
      <c r="AD22" s="1118">
        <v>2118175</v>
      </c>
      <c r="AE22" s="1119">
        <v>727.10963299800005</v>
      </c>
      <c r="AF22" s="1118">
        <v>75297</v>
      </c>
      <c r="AG22" s="1119">
        <v>61.159001789000008</v>
      </c>
      <c r="AH22" s="1118">
        <v>2539175</v>
      </c>
      <c r="AI22" s="1119">
        <v>440.56617210900015</v>
      </c>
      <c r="AJ22" s="1118">
        <v>93709</v>
      </c>
      <c r="AK22" s="1119">
        <v>31.762348953</v>
      </c>
      <c r="AL22" s="1118">
        <v>37528889</v>
      </c>
      <c r="AM22" s="1119">
        <v>36356.312862677994</v>
      </c>
      <c r="AN22" s="1118">
        <v>333057</v>
      </c>
      <c r="AO22" s="1119">
        <v>218.30361029100001</v>
      </c>
      <c r="AP22" s="1118">
        <v>160957</v>
      </c>
      <c r="AQ22" s="1119">
        <v>83.595061401500004</v>
      </c>
      <c r="AR22" s="1118">
        <v>36006</v>
      </c>
      <c r="AS22" s="1119">
        <v>51.334510000000002</v>
      </c>
      <c r="AT22" s="1118">
        <v>67685</v>
      </c>
      <c r="AU22" s="1119">
        <v>62.887701202999992</v>
      </c>
      <c r="AV22" s="1118">
        <v>53000</v>
      </c>
      <c r="AW22" s="1119">
        <v>16.220736223999999</v>
      </c>
      <c r="AX22" s="1118" t="s">
        <v>568</v>
      </c>
      <c r="AY22" s="1118">
        <v>156691</v>
      </c>
      <c r="AZ22" s="1119">
        <v>130.44294742699998</v>
      </c>
      <c r="BA22" s="1146">
        <v>42054883</v>
      </c>
      <c r="BB22" s="1119">
        <v>39247.855664363997</v>
      </c>
      <c r="BC22" s="1118">
        <v>2087136</v>
      </c>
      <c r="BD22" s="1118">
        <v>29542887</v>
      </c>
      <c r="BE22" s="1118">
        <v>3279020</v>
      </c>
      <c r="BF22" s="1118">
        <v>34909043</v>
      </c>
      <c r="BG22" s="1118">
        <v>6127001</v>
      </c>
      <c r="BH22" s="1118">
        <v>6201828</v>
      </c>
      <c r="BI22" s="1119">
        <v>27426.641374221999</v>
      </c>
      <c r="BJ22" s="1118">
        <v>1531405</v>
      </c>
      <c r="BK22" s="1118">
        <v>415974768</v>
      </c>
      <c r="BL22" s="1119">
        <v>92125.748510986014</v>
      </c>
      <c r="BM22" s="1118">
        <v>188559736</v>
      </c>
      <c r="BN22" s="1118">
        <v>15056</v>
      </c>
      <c r="BO22" s="1118">
        <v>14627647</v>
      </c>
      <c r="BP22" s="1119">
        <v>65062.233981172001</v>
      </c>
      <c r="BQ22" s="1118">
        <v>17251563</v>
      </c>
      <c r="BR22" s="1118">
        <v>13367</v>
      </c>
      <c r="BS22" s="1118">
        <v>103035</v>
      </c>
      <c r="BT22" s="1236"/>
      <c r="BU22" s="1327"/>
    </row>
    <row r="23" spans="1:74" s="184" customFormat="1" ht="11.25" customHeight="1">
      <c r="A23" s="1116" t="s">
        <v>561</v>
      </c>
      <c r="B23" s="1116">
        <v>1791749</v>
      </c>
      <c r="C23" s="1117">
        <v>197130.23509777905</v>
      </c>
      <c r="D23" s="1116">
        <v>9635</v>
      </c>
      <c r="E23" s="1117">
        <v>268.38040873</v>
      </c>
      <c r="F23" s="1116">
        <v>1801384</v>
      </c>
      <c r="G23" s="1117">
        <v>197398.61550650906</v>
      </c>
      <c r="H23" s="1116">
        <v>9767821</v>
      </c>
      <c r="I23" s="1117">
        <v>49478.623392813999</v>
      </c>
      <c r="J23" s="1116">
        <v>272094</v>
      </c>
      <c r="K23" s="1117">
        <v>249.69703199200001</v>
      </c>
      <c r="L23" s="1116">
        <v>12491</v>
      </c>
      <c r="M23" s="1117">
        <v>20.136423478680005</v>
      </c>
      <c r="N23" s="1116">
        <v>2340788</v>
      </c>
      <c r="O23" s="1117">
        <v>1381.5050390799997</v>
      </c>
      <c r="P23" s="1116">
        <v>273549</v>
      </c>
      <c r="Q23" s="1117">
        <v>259.04707803600007</v>
      </c>
      <c r="R23" s="1116">
        <v>953414</v>
      </c>
      <c r="S23" s="1117">
        <v>502.43321497199992</v>
      </c>
      <c r="T23" s="1116">
        <v>133129</v>
      </c>
      <c r="U23" s="1117">
        <v>76.563376310399988</v>
      </c>
      <c r="V23" s="1116">
        <v>3985465</v>
      </c>
      <c r="W23" s="1117">
        <v>2489.3821638690797</v>
      </c>
      <c r="X23" s="1117">
        <v>8302.7366383320004</v>
      </c>
      <c r="Y23" s="1116" t="s">
        <v>561</v>
      </c>
      <c r="Z23" s="1116">
        <v>32463206</v>
      </c>
      <c r="AA23" s="1117">
        <v>35254.499612189989</v>
      </c>
      <c r="AB23" s="1116">
        <v>35734</v>
      </c>
      <c r="AC23" s="1117">
        <v>101.912280219</v>
      </c>
      <c r="AD23" s="1116">
        <v>2281442</v>
      </c>
      <c r="AE23" s="1117">
        <v>804.72717918000001</v>
      </c>
      <c r="AF23" s="1116">
        <v>77509</v>
      </c>
      <c r="AG23" s="1117">
        <v>63.388873661999995</v>
      </c>
      <c r="AH23" s="1116">
        <v>2516615</v>
      </c>
      <c r="AI23" s="1117">
        <v>453.31003675800002</v>
      </c>
      <c r="AJ23" s="1116">
        <v>98404</v>
      </c>
      <c r="AK23" s="1117">
        <v>32.807043438000008</v>
      </c>
      <c r="AL23" s="1116">
        <v>37472910</v>
      </c>
      <c r="AM23" s="1117">
        <v>36710.645025446989</v>
      </c>
      <c r="AN23" s="1116">
        <v>351918</v>
      </c>
      <c r="AO23" s="1117">
        <v>226.48278852199999</v>
      </c>
      <c r="AP23" s="1116">
        <v>150488</v>
      </c>
      <c r="AQ23" s="1117">
        <v>85.777385608779994</v>
      </c>
      <c r="AR23" s="1116">
        <v>40941</v>
      </c>
      <c r="AS23" s="1117">
        <v>59.340130000000009</v>
      </c>
      <c r="AT23" s="1116">
        <v>84296</v>
      </c>
      <c r="AU23" s="1117">
        <v>74.474574380999996</v>
      </c>
      <c r="AV23" s="1116">
        <v>56109</v>
      </c>
      <c r="AW23" s="1117">
        <v>19.075008827000001</v>
      </c>
      <c r="AX23" s="1116" t="s">
        <v>561</v>
      </c>
      <c r="AY23" s="1116">
        <v>181346</v>
      </c>
      <c r="AZ23" s="1117">
        <v>152.88971320800002</v>
      </c>
      <c r="BA23" s="1153">
        <v>42142127</v>
      </c>
      <c r="BB23" s="1117">
        <v>39665.177076654858</v>
      </c>
      <c r="BC23" s="1116">
        <v>2115861</v>
      </c>
      <c r="BD23" s="1116">
        <v>29849136</v>
      </c>
      <c r="BE23" s="1116">
        <v>3383951</v>
      </c>
      <c r="BF23" s="1116">
        <v>35348948</v>
      </c>
      <c r="BG23" s="1116">
        <v>6252634</v>
      </c>
      <c r="BH23" s="1116">
        <v>5624146</v>
      </c>
      <c r="BI23" s="1117">
        <v>27558.790016972998</v>
      </c>
      <c r="BJ23" s="1116">
        <v>1554637</v>
      </c>
      <c r="BK23" s="1116">
        <v>428324785</v>
      </c>
      <c r="BL23" s="1117">
        <v>96132.863114536696</v>
      </c>
      <c r="BM23" s="1116">
        <v>191063573</v>
      </c>
      <c r="BN23" s="1116">
        <v>15226</v>
      </c>
      <c r="BO23" s="1116">
        <v>15621424</v>
      </c>
      <c r="BP23" s="1117">
        <v>62761.351277084017</v>
      </c>
      <c r="BQ23" s="1116">
        <v>17478884</v>
      </c>
      <c r="BR23" s="1116">
        <v>13434</v>
      </c>
      <c r="BS23" s="1116">
        <v>103055</v>
      </c>
      <c r="BT23" s="1236"/>
      <c r="BU23" s="1327"/>
    </row>
    <row r="24" spans="1:74" s="184" customFormat="1" ht="11.25" customHeight="1">
      <c r="A24" s="1118" t="s">
        <v>569</v>
      </c>
      <c r="B24" s="1118">
        <v>1999514</v>
      </c>
      <c r="C24" s="1119">
        <v>211488.01673531198</v>
      </c>
      <c r="D24" s="1118">
        <v>8946</v>
      </c>
      <c r="E24" s="1119">
        <v>252.55733189099999</v>
      </c>
      <c r="F24" s="1118">
        <v>2008460</v>
      </c>
      <c r="G24" s="1119">
        <v>211740.57406720298</v>
      </c>
      <c r="H24" s="1118">
        <v>22203302</v>
      </c>
      <c r="I24" s="1119">
        <v>62004.328083974993</v>
      </c>
      <c r="J24" s="1118">
        <v>280131</v>
      </c>
      <c r="K24" s="1119">
        <v>255.91857677299998</v>
      </c>
      <c r="L24" s="1118">
        <v>10740</v>
      </c>
      <c r="M24" s="1119">
        <v>17.389299542559993</v>
      </c>
      <c r="N24" s="1118">
        <v>2308787</v>
      </c>
      <c r="O24" s="1119">
        <v>1377.7503870610003</v>
      </c>
      <c r="P24" s="1118">
        <v>272575</v>
      </c>
      <c r="Q24" s="1119">
        <v>269.55458247300015</v>
      </c>
      <c r="R24" s="1118">
        <v>975434</v>
      </c>
      <c r="S24" s="1119">
        <v>506.06047521499983</v>
      </c>
      <c r="T24" s="1118">
        <v>140437</v>
      </c>
      <c r="U24" s="1119">
        <v>79.838194278800017</v>
      </c>
      <c r="V24" s="1118">
        <v>3988104</v>
      </c>
      <c r="W24" s="1119">
        <v>2506.5115153433608</v>
      </c>
      <c r="X24" s="1119">
        <v>8332.1782330310016</v>
      </c>
      <c r="Y24" s="1118" t="s">
        <v>569</v>
      </c>
      <c r="Z24" s="1118">
        <v>33380373</v>
      </c>
      <c r="AA24" s="1119">
        <v>35304.61289415299</v>
      </c>
      <c r="AB24" s="1118">
        <v>25762</v>
      </c>
      <c r="AC24" s="1119">
        <v>72.844545650000001</v>
      </c>
      <c r="AD24" s="1118">
        <v>2401494</v>
      </c>
      <c r="AE24" s="1119">
        <v>799.10875257500015</v>
      </c>
      <c r="AF24" s="1118">
        <v>76612</v>
      </c>
      <c r="AG24" s="1119">
        <v>61.860976347999994</v>
      </c>
      <c r="AH24" s="1118">
        <v>2664740</v>
      </c>
      <c r="AI24" s="1119">
        <v>492.34365736299992</v>
      </c>
      <c r="AJ24" s="1118">
        <v>88534</v>
      </c>
      <c r="AK24" s="1119">
        <v>34.53358841899999</v>
      </c>
      <c r="AL24" s="1118">
        <v>38637515</v>
      </c>
      <c r="AM24" s="1119">
        <v>36765.304414507991</v>
      </c>
      <c r="AN24" s="1118">
        <v>373707</v>
      </c>
      <c r="AO24" s="1119">
        <v>245.77525462099996</v>
      </c>
      <c r="AP24" s="1118">
        <v>147797</v>
      </c>
      <c r="AQ24" s="1119">
        <v>84.293147823351987</v>
      </c>
      <c r="AR24" s="1118">
        <v>40609</v>
      </c>
      <c r="AS24" s="1119">
        <v>58.059567094000002</v>
      </c>
      <c r="AT24" s="1118">
        <v>92671</v>
      </c>
      <c r="AU24" s="1119">
        <v>79.542084027000016</v>
      </c>
      <c r="AV24" s="1118">
        <v>66752</v>
      </c>
      <c r="AW24" s="1119">
        <v>18.188469929</v>
      </c>
      <c r="AX24" s="1118" t="s">
        <v>569</v>
      </c>
      <c r="AY24" s="1118">
        <v>200032</v>
      </c>
      <c r="AZ24" s="1119">
        <v>155.79012105000001</v>
      </c>
      <c r="BA24" s="1146">
        <v>43347155</v>
      </c>
      <c r="BB24" s="1119">
        <v>39757.674453345709</v>
      </c>
      <c r="BC24" s="1118">
        <v>2136173</v>
      </c>
      <c r="BD24" s="1118">
        <v>30244096</v>
      </c>
      <c r="BE24" s="1118">
        <v>3487706</v>
      </c>
      <c r="BF24" s="1118">
        <v>35867975</v>
      </c>
      <c r="BG24" s="1118">
        <v>6432921</v>
      </c>
      <c r="BH24" s="1118">
        <v>6901854</v>
      </c>
      <c r="BI24" s="1119">
        <v>33925.579326465006</v>
      </c>
      <c r="BJ24" s="1118">
        <v>1569112</v>
      </c>
      <c r="BK24" s="1118">
        <v>462957809</v>
      </c>
      <c r="BL24" s="1119">
        <v>100593.41971264863</v>
      </c>
      <c r="BM24" s="1118">
        <v>194125137</v>
      </c>
      <c r="BN24" s="1118">
        <v>15270</v>
      </c>
      <c r="BO24" s="1118">
        <v>15829033</v>
      </c>
      <c r="BP24" s="1119">
        <v>70970.068731453008</v>
      </c>
      <c r="BQ24" s="1118">
        <v>17760150</v>
      </c>
      <c r="BR24" s="1118">
        <v>13501</v>
      </c>
      <c r="BS24" s="1118">
        <v>102865</v>
      </c>
      <c r="BT24" s="1236"/>
      <c r="BU24" s="1327"/>
    </row>
    <row r="25" spans="1:74" s="184" customFormat="1" ht="11.25" customHeight="1">
      <c r="A25" s="1116" t="s">
        <v>570</v>
      </c>
      <c r="B25" s="1116">
        <v>1732955</v>
      </c>
      <c r="C25" s="1117">
        <v>192470.50241532901</v>
      </c>
      <c r="D25" s="1116">
        <v>7736</v>
      </c>
      <c r="E25" s="1117">
        <v>1262.2011276440001</v>
      </c>
      <c r="F25" s="1116">
        <v>1740691</v>
      </c>
      <c r="G25" s="1117">
        <v>193732.703542973</v>
      </c>
      <c r="H25" s="1116">
        <v>23703801</v>
      </c>
      <c r="I25" s="1117">
        <v>54405.727886517998</v>
      </c>
      <c r="J25" s="1116">
        <v>265435</v>
      </c>
      <c r="K25" s="1117">
        <v>239.69049316600004</v>
      </c>
      <c r="L25" s="1116">
        <v>9988</v>
      </c>
      <c r="M25" s="1117">
        <v>16.571563401399999</v>
      </c>
      <c r="N25" s="1116">
        <v>2092907</v>
      </c>
      <c r="O25" s="1117">
        <v>1269.263364118</v>
      </c>
      <c r="P25" s="1116">
        <v>245334</v>
      </c>
      <c r="Q25" s="1117">
        <v>239.21723389749999</v>
      </c>
      <c r="R25" s="1116">
        <v>916622</v>
      </c>
      <c r="S25" s="1117">
        <v>477.34085432900002</v>
      </c>
      <c r="T25" s="1116">
        <v>131818</v>
      </c>
      <c r="U25" s="1117">
        <v>70.782231648999982</v>
      </c>
      <c r="V25" s="1116">
        <v>3662104</v>
      </c>
      <c r="W25" s="1117">
        <v>2312.8657405609001</v>
      </c>
      <c r="X25" s="1117">
        <v>8114.580758275999</v>
      </c>
      <c r="Y25" s="1116" t="s">
        <v>570</v>
      </c>
      <c r="Z25" s="1116">
        <v>32847627</v>
      </c>
      <c r="AA25" s="1117">
        <v>35384.468397060002</v>
      </c>
      <c r="AB25" s="1116">
        <v>23770</v>
      </c>
      <c r="AC25" s="1117">
        <v>72.480253502000011</v>
      </c>
      <c r="AD25" s="1116">
        <v>2072201</v>
      </c>
      <c r="AE25" s="1117">
        <v>721.60168254200005</v>
      </c>
      <c r="AF25" s="1116">
        <v>71204</v>
      </c>
      <c r="AG25" s="1117">
        <v>55.600777983</v>
      </c>
      <c r="AH25" s="1116">
        <v>2441934</v>
      </c>
      <c r="AI25" s="1117">
        <v>426.287958807</v>
      </c>
      <c r="AJ25" s="1116">
        <v>78011</v>
      </c>
      <c r="AK25" s="1117">
        <v>29.819034137000003</v>
      </c>
      <c r="AL25" s="1116">
        <v>37534747</v>
      </c>
      <c r="AM25" s="1117">
        <v>36690.258104031003</v>
      </c>
      <c r="AN25" s="1116">
        <v>363365</v>
      </c>
      <c r="AO25" s="1117">
        <v>229.81788644299999</v>
      </c>
      <c r="AP25" s="1116">
        <v>135062</v>
      </c>
      <c r="AQ25" s="1117">
        <v>73.056679541920005</v>
      </c>
      <c r="AR25" s="1116">
        <v>36215</v>
      </c>
      <c r="AS25" s="1117">
        <v>56.451499999999996</v>
      </c>
      <c r="AT25" s="1116">
        <v>82202</v>
      </c>
      <c r="AU25" s="1117">
        <v>82.847564025469993</v>
      </c>
      <c r="AV25" s="1116">
        <v>61624</v>
      </c>
      <c r="AW25" s="1117">
        <v>18.961686252000003</v>
      </c>
      <c r="AX25" s="1116" t="s">
        <v>570</v>
      </c>
      <c r="AY25" s="1116">
        <v>180041</v>
      </c>
      <c r="AZ25" s="1117">
        <v>158.26075027747001</v>
      </c>
      <c r="BA25" s="1153">
        <v>41875319</v>
      </c>
      <c r="BB25" s="1117">
        <v>39464.259160854286</v>
      </c>
      <c r="BC25" s="1116">
        <v>2158816</v>
      </c>
      <c r="BD25" s="1116">
        <v>30652242</v>
      </c>
      <c r="BE25" s="1116">
        <v>3609114</v>
      </c>
      <c r="BF25" s="1116">
        <v>36420172</v>
      </c>
      <c r="BG25" s="1116">
        <v>6569164</v>
      </c>
      <c r="BH25" s="1116">
        <v>5709234</v>
      </c>
      <c r="BI25" s="1117">
        <v>29385.875278543001</v>
      </c>
      <c r="BJ25" s="1116">
        <v>1581284</v>
      </c>
      <c r="BK25" s="1116">
        <v>450945081</v>
      </c>
      <c r="BL25" s="1117">
        <v>97307.587125448146</v>
      </c>
      <c r="BM25" s="1116">
        <v>196759171</v>
      </c>
      <c r="BN25" s="1116">
        <v>15376</v>
      </c>
      <c r="BO25" s="1116">
        <v>16889984</v>
      </c>
      <c r="BP25" s="1117">
        <v>63510.777514418005</v>
      </c>
      <c r="BQ25" s="1116">
        <v>18365881</v>
      </c>
      <c r="BR25" s="1116">
        <v>13524</v>
      </c>
      <c r="BS25" s="1116">
        <v>103199</v>
      </c>
      <c r="BT25" s="1236"/>
      <c r="BU25" s="1327"/>
    </row>
    <row r="26" spans="1:74" s="184" customFormat="1" ht="11.25" customHeight="1">
      <c r="A26" s="1118" t="s">
        <v>562</v>
      </c>
      <c r="B26" s="1118">
        <v>1883580</v>
      </c>
      <c r="C26" s="1119">
        <v>209093.74515308102</v>
      </c>
      <c r="D26" s="1118">
        <v>8206</v>
      </c>
      <c r="E26" s="1119">
        <v>235.41120403000002</v>
      </c>
      <c r="F26" s="1118">
        <v>1891786</v>
      </c>
      <c r="G26" s="1119">
        <v>209329.15635711103</v>
      </c>
      <c r="H26" s="1118">
        <v>12996763</v>
      </c>
      <c r="I26" s="1119">
        <v>58432.219160667999</v>
      </c>
      <c r="J26" s="1118">
        <v>295658</v>
      </c>
      <c r="K26" s="1119">
        <v>267.85354900700003</v>
      </c>
      <c r="L26" s="1118">
        <v>11404</v>
      </c>
      <c r="M26" s="1119">
        <v>18.800908600899998</v>
      </c>
      <c r="N26" s="1118">
        <v>2270054</v>
      </c>
      <c r="O26" s="1119">
        <v>1469.0348755470004</v>
      </c>
      <c r="P26" s="1118">
        <v>277495</v>
      </c>
      <c r="Q26" s="1119">
        <v>256.67316405399998</v>
      </c>
      <c r="R26" s="1118">
        <v>1043445</v>
      </c>
      <c r="S26" s="1119">
        <v>552.891557702</v>
      </c>
      <c r="T26" s="1118">
        <v>151054</v>
      </c>
      <c r="U26" s="1119">
        <v>87.062162251500027</v>
      </c>
      <c r="V26" s="1118">
        <v>4049110</v>
      </c>
      <c r="W26" s="1119">
        <v>2652.3162171623999</v>
      </c>
      <c r="X26" s="1119">
        <v>8621.9290595080001</v>
      </c>
      <c r="Y26" s="1118" t="s">
        <v>562</v>
      </c>
      <c r="Z26" s="1118">
        <v>37357707</v>
      </c>
      <c r="AA26" s="1119">
        <v>40731.375458905008</v>
      </c>
      <c r="AB26" s="1118">
        <v>26673</v>
      </c>
      <c r="AC26" s="1119">
        <v>73.601717248400007</v>
      </c>
      <c r="AD26" s="1118">
        <v>2353260</v>
      </c>
      <c r="AE26" s="1119">
        <v>885.05563324700006</v>
      </c>
      <c r="AF26" s="1118">
        <v>82700</v>
      </c>
      <c r="AG26" s="1119">
        <v>61.129308363000007</v>
      </c>
      <c r="AH26" s="1118">
        <v>2675176</v>
      </c>
      <c r="AI26" s="1119">
        <v>473.58371882200009</v>
      </c>
      <c r="AJ26" s="1118">
        <v>93329</v>
      </c>
      <c r="AK26" s="1119">
        <v>34.896888752000002</v>
      </c>
      <c r="AL26" s="1118">
        <v>42588845</v>
      </c>
      <c r="AM26" s="1119">
        <v>42259.642725337413</v>
      </c>
      <c r="AN26" s="1118">
        <v>396901</v>
      </c>
      <c r="AO26" s="1119">
        <v>247.84704405800002</v>
      </c>
      <c r="AP26" s="1118">
        <v>148072</v>
      </c>
      <c r="AQ26" s="1119">
        <v>78.410345142000011</v>
      </c>
      <c r="AR26" s="1118">
        <v>38153</v>
      </c>
      <c r="AS26" s="1119">
        <v>56.443478499999998</v>
      </c>
      <c r="AT26" s="1118">
        <v>82557</v>
      </c>
      <c r="AU26" s="1119">
        <v>90.606870523250009</v>
      </c>
      <c r="AV26" s="1118">
        <v>68721</v>
      </c>
      <c r="AW26" s="1119">
        <v>27.117265508999999</v>
      </c>
      <c r="AX26" s="1377" t="s">
        <v>562</v>
      </c>
      <c r="AY26" s="1118">
        <v>189431</v>
      </c>
      <c r="AZ26" s="1119">
        <v>174.16761453224998</v>
      </c>
      <c r="BA26" s="1146">
        <v>47372359</v>
      </c>
      <c r="BB26" s="1119">
        <v>45412.383946232068</v>
      </c>
      <c r="BC26" s="1118">
        <v>2178046</v>
      </c>
      <c r="BD26" s="1118">
        <v>30997335</v>
      </c>
      <c r="BE26" s="1118">
        <v>3745357</v>
      </c>
      <c r="BF26" s="1118">
        <v>36920738</v>
      </c>
      <c r="BG26" s="1118">
        <v>6710423</v>
      </c>
      <c r="BH26" s="1118">
        <v>6532095</v>
      </c>
      <c r="BI26" s="1119">
        <v>33557.426629867994</v>
      </c>
      <c r="BJ26" s="1118">
        <v>1598000</v>
      </c>
      <c r="BK26" s="1118">
        <v>482456025</v>
      </c>
      <c r="BL26" s="1119">
        <v>108467.26551336258</v>
      </c>
      <c r="BM26" s="1118">
        <v>198091783</v>
      </c>
      <c r="BN26" s="1118">
        <v>15409</v>
      </c>
      <c r="BO26" s="1118">
        <v>15428976</v>
      </c>
      <c r="BP26" s="1119">
        <v>77530.200648072001</v>
      </c>
      <c r="BQ26" s="1118">
        <v>18935184</v>
      </c>
      <c r="BR26" s="1118">
        <v>13568</v>
      </c>
      <c r="BS26" s="1118">
        <v>105413</v>
      </c>
      <c r="BT26" s="1236"/>
      <c r="BU26" s="1327"/>
    </row>
    <row r="27" spans="1:74" s="184" customFormat="1" ht="11.25" customHeight="1">
      <c r="A27" s="1116" t="s">
        <v>571</v>
      </c>
      <c r="B27" s="1116">
        <v>1713849</v>
      </c>
      <c r="C27" s="1117">
        <v>188173.34884155999</v>
      </c>
      <c r="D27" s="1116">
        <v>8122</v>
      </c>
      <c r="E27" s="1117">
        <v>211.85</v>
      </c>
      <c r="F27" s="1116">
        <v>1721971</v>
      </c>
      <c r="G27" s="1117">
        <v>188385.19884155999</v>
      </c>
      <c r="H27" s="1116">
        <v>27049634</v>
      </c>
      <c r="I27" s="1117">
        <v>61014.54</v>
      </c>
      <c r="J27" s="1116">
        <v>268043</v>
      </c>
      <c r="K27" s="1117">
        <v>247.67451288800004</v>
      </c>
      <c r="L27" s="1116">
        <v>10959</v>
      </c>
      <c r="M27" s="1117">
        <v>19.047993203880001</v>
      </c>
      <c r="N27" s="1116">
        <v>2600018</v>
      </c>
      <c r="O27" s="1117">
        <v>1630.4058550739999</v>
      </c>
      <c r="P27" s="1116">
        <v>250153</v>
      </c>
      <c r="Q27" s="1117">
        <v>228.54226865959998</v>
      </c>
      <c r="R27" s="1116">
        <v>1002520</v>
      </c>
      <c r="S27" s="1117">
        <v>539.97721904799982</v>
      </c>
      <c r="T27" s="1116">
        <v>145696</v>
      </c>
      <c r="U27" s="1117">
        <v>80.723185448099983</v>
      </c>
      <c r="V27" s="1116">
        <v>4277389</v>
      </c>
      <c r="W27" s="1117">
        <v>2746.3710343215794</v>
      </c>
      <c r="X27" s="1117">
        <v>8794.1732905360004</v>
      </c>
      <c r="Y27" s="1116" t="s">
        <v>571</v>
      </c>
      <c r="Z27" s="1116">
        <v>40382417</v>
      </c>
      <c r="AA27" s="1117">
        <v>42392.196683619994</v>
      </c>
      <c r="AB27" s="1116">
        <v>22198</v>
      </c>
      <c r="AC27" s="1117">
        <v>52.716719892</v>
      </c>
      <c r="AD27" s="1116">
        <v>2937695</v>
      </c>
      <c r="AE27" s="1117">
        <v>1080.573079886</v>
      </c>
      <c r="AF27" s="1116">
        <v>73764</v>
      </c>
      <c r="AG27" s="1117">
        <v>54.938741522999997</v>
      </c>
      <c r="AH27" s="1116">
        <v>2926674</v>
      </c>
      <c r="AI27" s="1117">
        <v>531.01610049800001</v>
      </c>
      <c r="AJ27" s="1116">
        <v>87541</v>
      </c>
      <c r="AK27" s="1117">
        <v>32.811717669000004</v>
      </c>
      <c r="AL27" s="1116">
        <v>46430289</v>
      </c>
      <c r="AM27" s="1117">
        <v>44144.253043088007</v>
      </c>
      <c r="AN27" s="1116">
        <v>454017</v>
      </c>
      <c r="AO27" s="1117">
        <v>288.50365139400003</v>
      </c>
      <c r="AP27" s="1116">
        <v>121747</v>
      </c>
      <c r="AQ27" s="1117">
        <v>67.944226305300006</v>
      </c>
      <c r="AR27" s="1116">
        <v>34957</v>
      </c>
      <c r="AS27" s="1117">
        <v>52.611800000000002</v>
      </c>
      <c r="AT27" s="1116">
        <v>63761</v>
      </c>
      <c r="AU27" s="1117">
        <v>56.531326843999992</v>
      </c>
      <c r="AV27" s="1116">
        <v>73967</v>
      </c>
      <c r="AW27" s="1117">
        <v>29.481672321999998</v>
      </c>
      <c r="AX27" s="1369" t="s">
        <v>571</v>
      </c>
      <c r="AY27" s="1116">
        <v>172685</v>
      </c>
      <c r="AZ27" s="1117">
        <v>138.624799166</v>
      </c>
      <c r="BA27" s="1153">
        <v>51456127</v>
      </c>
      <c r="BB27" s="1117">
        <v>47385.69675427489</v>
      </c>
      <c r="BC27" s="1116">
        <v>2198834</v>
      </c>
      <c r="BD27" s="1116">
        <v>31305571</v>
      </c>
      <c r="BE27" s="1116">
        <v>3870178</v>
      </c>
      <c r="BF27" s="1116">
        <v>37374583</v>
      </c>
      <c r="BG27" s="1116">
        <v>6930832</v>
      </c>
      <c r="BH27" s="1116">
        <v>7695750</v>
      </c>
      <c r="BI27" s="1117">
        <v>44638.406156489</v>
      </c>
      <c r="BJ27" s="1116">
        <v>1555791</v>
      </c>
      <c r="BK27" s="1116">
        <v>531055866</v>
      </c>
      <c r="BL27" s="1117">
        <v>124954.00198143101</v>
      </c>
      <c r="BM27" s="1116">
        <v>200689210</v>
      </c>
      <c r="BN27" s="1116">
        <v>15411</v>
      </c>
      <c r="BO27" s="1116">
        <v>16270577</v>
      </c>
      <c r="BP27" s="1117">
        <v>64255.874040659997</v>
      </c>
      <c r="BQ27" s="1116">
        <v>19248377</v>
      </c>
      <c r="BR27" s="1116">
        <v>13614</v>
      </c>
      <c r="BS27" s="1116">
        <v>106514</v>
      </c>
      <c r="BT27" s="1236"/>
      <c r="BU27" s="1327"/>
    </row>
    <row r="28" spans="1:74" s="184" customFormat="1" ht="11.25" customHeight="1">
      <c r="A28" s="1118" t="s">
        <v>572</v>
      </c>
      <c r="B28" s="1118">
        <v>1902985</v>
      </c>
      <c r="C28" s="1119">
        <v>205125.25301546598</v>
      </c>
      <c r="D28" s="1118">
        <v>8684</v>
      </c>
      <c r="E28" s="1119">
        <v>248.07147578199996</v>
      </c>
      <c r="F28" s="1118">
        <v>1911669</v>
      </c>
      <c r="G28" s="1119">
        <v>205373.32449124797</v>
      </c>
      <c r="H28" s="1118">
        <v>18755955</v>
      </c>
      <c r="I28" s="1119">
        <v>57970.647019796997</v>
      </c>
      <c r="J28" s="1118">
        <v>303120</v>
      </c>
      <c r="K28" s="1119">
        <v>267.53323347399999</v>
      </c>
      <c r="L28" s="1118">
        <v>10345</v>
      </c>
      <c r="M28" s="1119">
        <v>16.987278392049994</v>
      </c>
      <c r="N28" s="1118">
        <v>2208679</v>
      </c>
      <c r="O28" s="1119">
        <v>1380.7753769019996</v>
      </c>
      <c r="P28" s="1118">
        <v>293477</v>
      </c>
      <c r="Q28" s="1119">
        <v>262.06469525700004</v>
      </c>
      <c r="R28" s="1118">
        <v>1070534</v>
      </c>
      <c r="S28" s="1119">
        <v>575.0279003149999</v>
      </c>
      <c r="T28" s="1118">
        <v>169809</v>
      </c>
      <c r="U28" s="1119">
        <v>90.088899666200007</v>
      </c>
      <c r="V28" s="1118">
        <v>4055964</v>
      </c>
      <c r="W28" s="1119">
        <v>2592.4773840062498</v>
      </c>
      <c r="X28" s="1119">
        <v>8862.9412184840021</v>
      </c>
      <c r="Y28" s="1118" t="s">
        <v>572</v>
      </c>
      <c r="Z28" s="1118">
        <v>35970414</v>
      </c>
      <c r="AA28" s="1119">
        <v>37469.690769784</v>
      </c>
      <c r="AB28" s="1118">
        <v>25639</v>
      </c>
      <c r="AC28" s="1119">
        <v>56.799252552000006</v>
      </c>
      <c r="AD28" s="1118">
        <v>2292050</v>
      </c>
      <c r="AE28" s="1119">
        <v>760.20741863199987</v>
      </c>
      <c r="AF28" s="1118">
        <v>88615</v>
      </c>
      <c r="AG28" s="1119">
        <v>61.959068863999981</v>
      </c>
      <c r="AH28" s="1118">
        <v>2720257</v>
      </c>
      <c r="AI28" s="1119">
        <v>487.37486504700007</v>
      </c>
      <c r="AJ28" s="1118">
        <v>111631</v>
      </c>
      <c r="AK28" s="1119">
        <v>36.678984501000002</v>
      </c>
      <c r="AL28" s="1118">
        <v>41208606</v>
      </c>
      <c r="AM28" s="1119">
        <v>38872.710359379998</v>
      </c>
      <c r="AN28" s="1118">
        <v>362774</v>
      </c>
      <c r="AO28" s="1119">
        <v>217.05043922199997</v>
      </c>
      <c r="AP28" s="1118">
        <v>139752</v>
      </c>
      <c r="AQ28" s="1119">
        <v>136.27326204654997</v>
      </c>
      <c r="AR28" s="1118">
        <v>33992</v>
      </c>
      <c r="AS28" s="1119">
        <v>50.49208999999999</v>
      </c>
      <c r="AT28" s="1118">
        <v>79449</v>
      </c>
      <c r="AU28" s="1119">
        <v>84.748918650000007</v>
      </c>
      <c r="AV28" s="1118">
        <v>76111</v>
      </c>
      <c r="AW28" s="1119">
        <v>25.281637277999998</v>
      </c>
      <c r="AX28" s="1437" t="s">
        <v>572</v>
      </c>
      <c r="AY28" s="1118">
        <v>189552</v>
      </c>
      <c r="AZ28" s="1119">
        <v>160.522645928</v>
      </c>
      <c r="BA28" s="1146">
        <v>45956648</v>
      </c>
      <c r="BB28" s="1119">
        <v>41979.034090582798</v>
      </c>
      <c r="BC28" s="1118">
        <v>2216484</v>
      </c>
      <c r="BD28" s="1118">
        <v>31718430</v>
      </c>
      <c r="BE28" s="1118">
        <v>4037398</v>
      </c>
      <c r="BF28" s="1118">
        <v>37972312</v>
      </c>
      <c r="BG28" s="1118">
        <v>7027516</v>
      </c>
      <c r="BH28" s="1118">
        <v>7393749</v>
      </c>
      <c r="BI28" s="1119">
        <v>49965.953894003003</v>
      </c>
      <c r="BJ28" s="1118">
        <v>1570340</v>
      </c>
      <c r="BK28" s="1118">
        <v>501923307</v>
      </c>
      <c r="BL28" s="1119">
        <v>108355.18746702909</v>
      </c>
      <c r="BM28" s="1118">
        <v>203970186</v>
      </c>
      <c r="BN28" s="1118">
        <v>15473</v>
      </c>
      <c r="BO28" s="1118">
        <v>15276196</v>
      </c>
      <c r="BP28" s="1119">
        <v>72678.846923103993</v>
      </c>
      <c r="BQ28" s="1118">
        <v>19643273</v>
      </c>
      <c r="BR28" s="1118">
        <v>13658</v>
      </c>
      <c r="BS28" s="1118">
        <v>106816</v>
      </c>
      <c r="BT28" s="1236"/>
      <c r="BU28" s="1327"/>
    </row>
    <row r="29" spans="1:74" s="184" customFormat="1" ht="11.25" customHeight="1">
      <c r="A29" s="1116" t="s">
        <v>563</v>
      </c>
      <c r="B29" s="1116">
        <v>2085942</v>
      </c>
      <c r="C29" s="1117">
        <v>249484.19855561701</v>
      </c>
      <c r="D29" s="1116">
        <v>10636</v>
      </c>
      <c r="E29" s="1117">
        <v>298.37432103999998</v>
      </c>
      <c r="F29" s="1116">
        <v>2096578</v>
      </c>
      <c r="G29" s="1117">
        <v>249782.57287665701</v>
      </c>
      <c r="H29" s="1116">
        <v>40161362</v>
      </c>
      <c r="I29" s="1117">
        <v>78321.673839576993</v>
      </c>
      <c r="J29" s="1116">
        <v>284014</v>
      </c>
      <c r="K29" s="1117">
        <v>264.05908712830001</v>
      </c>
      <c r="L29" s="1116">
        <v>8587</v>
      </c>
      <c r="M29" s="1117">
        <v>14.93726600962</v>
      </c>
      <c r="N29" s="1116">
        <v>2214713</v>
      </c>
      <c r="O29" s="1117">
        <v>1439.8010974270001</v>
      </c>
      <c r="P29" s="1116">
        <v>244345</v>
      </c>
      <c r="Q29" s="1117">
        <v>211.439721929</v>
      </c>
      <c r="R29" s="1116">
        <v>998662</v>
      </c>
      <c r="S29" s="1117">
        <v>569.98155423699995</v>
      </c>
      <c r="T29" s="1116">
        <v>155138</v>
      </c>
      <c r="U29" s="1117">
        <v>82.270560664000001</v>
      </c>
      <c r="V29" s="1116">
        <v>3905459</v>
      </c>
      <c r="W29" s="1117">
        <v>2583.02107154962</v>
      </c>
      <c r="X29" s="1117">
        <v>8937.9329594219998</v>
      </c>
      <c r="Y29" s="1116" t="s">
        <v>563</v>
      </c>
      <c r="Z29" s="1116">
        <v>39738111</v>
      </c>
      <c r="AA29" s="1117">
        <v>43553.238976749999</v>
      </c>
      <c r="AB29" s="1116">
        <v>26394</v>
      </c>
      <c r="AC29" s="1117">
        <v>55.170019568000001</v>
      </c>
      <c r="AD29" s="1116">
        <v>2583539</v>
      </c>
      <c r="AE29" s="1117">
        <v>1074.9306049750001</v>
      </c>
      <c r="AF29" s="1116">
        <v>85015</v>
      </c>
      <c r="AG29" s="1117">
        <v>57.879777494000002</v>
      </c>
      <c r="AH29" s="1116">
        <v>2918363</v>
      </c>
      <c r="AI29" s="1117">
        <v>566.87687714900005</v>
      </c>
      <c r="AJ29" s="1116">
        <v>118195</v>
      </c>
      <c r="AK29" s="1117">
        <v>40.337390169999999</v>
      </c>
      <c r="AL29" s="1116">
        <v>45469617</v>
      </c>
      <c r="AM29" s="1117">
        <v>45348.433646106001</v>
      </c>
      <c r="AN29" s="1116">
        <v>506407</v>
      </c>
      <c r="AO29" s="1117">
        <v>336.01673139899998</v>
      </c>
      <c r="AP29" s="1116">
        <v>124156</v>
      </c>
      <c r="AQ29" s="1117">
        <v>81.220770417500006</v>
      </c>
      <c r="AR29" s="1116">
        <v>44276</v>
      </c>
      <c r="AS29" s="1117">
        <v>63.328069999999997</v>
      </c>
      <c r="AT29" s="1116">
        <v>98187</v>
      </c>
      <c r="AU29" s="1117">
        <v>114.06923855060001</v>
      </c>
      <c r="AV29" s="1116">
        <v>101349</v>
      </c>
      <c r="AW29" s="1117">
        <v>67.972083705000003</v>
      </c>
      <c r="AX29" s="1116" t="s">
        <v>563</v>
      </c>
      <c r="AY29" s="1116">
        <v>243812</v>
      </c>
      <c r="AZ29" s="1117">
        <v>245.36939225559999</v>
      </c>
      <c r="BA29" s="1153">
        <v>50249451</v>
      </c>
      <c r="BB29" s="1117">
        <v>48594.061611727702</v>
      </c>
      <c r="BC29" s="1116">
        <v>2238663</v>
      </c>
      <c r="BD29" s="1116">
        <v>32131984</v>
      </c>
      <c r="BE29" s="1116">
        <v>4269805</v>
      </c>
      <c r="BF29" s="1116">
        <v>38640452</v>
      </c>
      <c r="BG29" s="1116">
        <v>7237380</v>
      </c>
      <c r="BH29" s="1116">
        <v>8272522</v>
      </c>
      <c r="BI29" s="1117">
        <v>49099.267946270003</v>
      </c>
      <c r="BJ29" s="1116">
        <v>1585722</v>
      </c>
      <c r="BK29" s="1116">
        <v>572615005</v>
      </c>
      <c r="BL29" s="1117">
        <v>132175.29993617701</v>
      </c>
      <c r="BM29" s="1116">
        <v>207268646</v>
      </c>
      <c r="BN29" s="1116">
        <v>15510</v>
      </c>
      <c r="BO29" s="1116">
        <v>18090010</v>
      </c>
      <c r="BP29" s="1117">
        <v>68171.600000000006</v>
      </c>
      <c r="BQ29" s="1116">
        <v>19850911</v>
      </c>
      <c r="BR29" s="1116">
        <v>13704</v>
      </c>
      <c r="BS29" s="1116">
        <v>106733</v>
      </c>
      <c r="BT29" s="1236"/>
      <c r="BU29" s="1327"/>
    </row>
    <row r="30" spans="1:74" s="185" customFormat="1" ht="11.25" customHeight="1">
      <c r="A30" s="1449" t="s">
        <v>2345</v>
      </c>
      <c r="B30" s="1113">
        <f>B31+B32+B33+B34+B35+B36+B37+B38+B39+B40+B41+B42</f>
        <v>21091631</v>
      </c>
      <c r="C30" s="1114">
        <f t="shared" ref="C30:W30" si="5">C31+C32+C33+C34+C35+C36+C37+C38+C39+C40+C41+C42</f>
        <v>2412600.3618839737</v>
      </c>
      <c r="D30" s="1113">
        <f>D31+D32+D33+D34+D35+D36+D37+D38+D39+D40+D41+D42</f>
        <v>113446</v>
      </c>
      <c r="E30" s="1114">
        <f t="shared" si="5"/>
        <v>4053.6459536020002</v>
      </c>
      <c r="F30" s="1234">
        <f t="shared" si="5"/>
        <v>21205077</v>
      </c>
      <c r="G30" s="1114">
        <f t="shared" si="5"/>
        <v>2416654.0078375759</v>
      </c>
      <c r="H30" s="1661">
        <f t="shared" si="5"/>
        <v>255817095</v>
      </c>
      <c r="I30" s="1114">
        <f t="shared" si="5"/>
        <v>883627.69924694602</v>
      </c>
      <c r="J30" s="1113">
        <f t="shared" si="5"/>
        <v>4181317</v>
      </c>
      <c r="K30" s="1114">
        <f t="shared" si="5"/>
        <v>3678.8517993910004</v>
      </c>
      <c r="L30" s="1661">
        <f t="shared" si="5"/>
        <v>156300</v>
      </c>
      <c r="M30" s="1114">
        <f t="shared" si="5"/>
        <v>285.60501492489999</v>
      </c>
      <c r="N30" s="1113">
        <f t="shared" si="5"/>
        <v>30927656</v>
      </c>
      <c r="O30" s="1114">
        <f t="shared" si="5"/>
        <v>17868.264305528999</v>
      </c>
      <c r="P30" s="1113">
        <f t="shared" si="5"/>
        <v>3881013</v>
      </c>
      <c r="Q30" s="1114">
        <f t="shared" si="5"/>
        <v>3404.9242624932999</v>
      </c>
      <c r="R30" s="1661">
        <f t="shared" si="5"/>
        <v>14110578</v>
      </c>
      <c r="S30" s="1114">
        <f t="shared" si="5"/>
        <v>7798.2766557109999</v>
      </c>
      <c r="T30" s="1113">
        <f t="shared" si="5"/>
        <v>2506018</v>
      </c>
      <c r="U30" s="1114">
        <f t="shared" si="5"/>
        <v>1366.28361760545</v>
      </c>
      <c r="V30" s="1113">
        <f t="shared" si="5"/>
        <v>55762882</v>
      </c>
      <c r="W30" s="1114">
        <f t="shared" si="5"/>
        <v>34402.205655654645</v>
      </c>
      <c r="X30" s="1114">
        <f>X42</f>
        <v>10751.054323832999</v>
      </c>
      <c r="Y30" s="1449" t="s">
        <v>2345</v>
      </c>
      <c r="Z30" s="1113">
        <f t="shared" ref="Z30:AW30" si="6">Z31+Z32+Z33+Z34+Z35+Z36+Z37+Z38+Z39+Z40+Z41+Z42</f>
        <v>434492001</v>
      </c>
      <c r="AA30" s="1114">
        <f t="shared" si="6"/>
        <v>474180.37460322591</v>
      </c>
      <c r="AB30" s="1661">
        <f t="shared" si="6"/>
        <v>454744</v>
      </c>
      <c r="AC30" s="1114">
        <f t="shared" si="6"/>
        <v>1091.9693004845501</v>
      </c>
      <c r="AD30" s="1113">
        <f t="shared" si="6"/>
        <v>33644266</v>
      </c>
      <c r="AE30" s="1114">
        <f t="shared" si="6"/>
        <v>12583.985970700998</v>
      </c>
      <c r="AF30" s="1113">
        <f t="shared" si="6"/>
        <v>1488603</v>
      </c>
      <c r="AG30" s="1114">
        <f t="shared" si="6"/>
        <v>1073.3576745513001</v>
      </c>
      <c r="AH30" s="1113">
        <f t="shared" si="6"/>
        <v>37362081</v>
      </c>
      <c r="AI30" s="1114">
        <f t="shared" si="6"/>
        <v>7322.8434994829986</v>
      </c>
      <c r="AJ30" s="1661">
        <f t="shared" si="6"/>
        <v>2347656</v>
      </c>
      <c r="AK30" s="1662">
        <f t="shared" si="6"/>
        <v>758.96039009250001</v>
      </c>
      <c r="AL30" s="1113">
        <f t="shared" si="6"/>
        <v>509789351</v>
      </c>
      <c r="AM30" s="1114">
        <f t="shared" si="6"/>
        <v>497011.49143853842</v>
      </c>
      <c r="AN30" s="1113">
        <f t="shared" si="6"/>
        <v>5793017</v>
      </c>
      <c r="AO30" s="1114">
        <f t="shared" si="6"/>
        <v>3802.1311255627998</v>
      </c>
      <c r="AP30" s="1113">
        <f t="shared" si="6"/>
        <v>2320695</v>
      </c>
      <c r="AQ30" s="1114">
        <f t="shared" si="6"/>
        <v>1165.97937289385</v>
      </c>
      <c r="AR30" s="1113">
        <f t="shared" si="6"/>
        <v>468345</v>
      </c>
      <c r="AS30" s="1114">
        <f t="shared" si="6"/>
        <v>684.19183862</v>
      </c>
      <c r="AT30" s="1113">
        <f t="shared" si="6"/>
        <v>1394674</v>
      </c>
      <c r="AU30" s="1114">
        <f t="shared" si="6"/>
        <v>1592.5701099263999</v>
      </c>
      <c r="AV30" s="1113">
        <f t="shared" si="6"/>
        <v>1534558</v>
      </c>
      <c r="AW30" s="1114">
        <f t="shared" si="6"/>
        <v>1060.2527108180002</v>
      </c>
      <c r="AX30" s="1449" t="s">
        <v>2345</v>
      </c>
      <c r="AY30" s="1113">
        <f t="shared" ref="AY30:BK30" si="7">AY31+AY32+AY33+AY34+AY35+AY36+AY37+AY38+AY39+AY40+AY41+AY42</f>
        <v>3397577</v>
      </c>
      <c r="AZ30" s="1114">
        <f t="shared" si="7"/>
        <v>3337.0146593643999</v>
      </c>
      <c r="BA30" s="1113">
        <f t="shared" si="7"/>
        <v>577063522</v>
      </c>
      <c r="BB30" s="1114">
        <f>BB31+BB32+BB33+BB34+BB35+BB36+BB37+BB38+BB39+BB40+BB41+BB42</f>
        <v>539718.82225201407</v>
      </c>
      <c r="BC30" s="1113">
        <f>BC42</f>
        <v>2506478</v>
      </c>
      <c r="BD30" s="1238">
        <f t="shared" ref="BD30:BG30" si="8">BD42</f>
        <v>37046957</v>
      </c>
      <c r="BE30" s="1661">
        <f t="shared" si="8"/>
        <v>6075310</v>
      </c>
      <c r="BF30" s="1113">
        <f t="shared" si="8"/>
        <v>45628745</v>
      </c>
      <c r="BG30" s="1113">
        <f t="shared" si="8"/>
        <v>8951034</v>
      </c>
      <c r="BH30" s="1113">
        <f t="shared" si="7"/>
        <v>125632927</v>
      </c>
      <c r="BI30" s="1114">
        <f t="shared" si="7"/>
        <v>984606.09178214392</v>
      </c>
      <c r="BJ30" s="1113">
        <f>BJ42</f>
        <v>1807659</v>
      </c>
      <c r="BK30" s="1113">
        <f t="shared" si="7"/>
        <v>6781512755</v>
      </c>
      <c r="BL30" s="1662">
        <f>BL31+BL32+BL33+BL34+BL35+BL36+BL37+BL38+BL39+BL40+BL41+BL42</f>
        <v>1536169.9589394298</v>
      </c>
      <c r="BM30" s="1113">
        <f>BM42</f>
        <v>232418206</v>
      </c>
      <c r="BN30" s="1113">
        <f>BN42</f>
        <v>15990</v>
      </c>
      <c r="BO30" s="1113">
        <f t="shared" ref="BO30:BP30" si="9">BO31+BO32+BO33+BO34+BO35+BO36+BO37+BO38+BO39+BO40+BO41+BO42</f>
        <v>177379063</v>
      </c>
      <c r="BP30" s="1114">
        <f t="shared" si="9"/>
        <v>832532.88427655981</v>
      </c>
      <c r="BQ30" s="1113">
        <f>BQ42</f>
        <v>23033242</v>
      </c>
      <c r="BR30" s="1113">
        <f>BR42</f>
        <v>13438</v>
      </c>
      <c r="BS30" s="1113">
        <f>BS42</f>
        <v>118313</v>
      </c>
      <c r="BT30" s="1600"/>
      <c r="BU30" s="1448"/>
    </row>
    <row r="31" spans="1:74" s="184" customFormat="1" ht="11.25" customHeight="1">
      <c r="A31" s="1116" t="s">
        <v>565</v>
      </c>
      <c r="B31" s="1116">
        <v>1698503</v>
      </c>
      <c r="C31" s="1117">
        <v>210366.77721241894</v>
      </c>
      <c r="D31" s="1116">
        <v>9186</v>
      </c>
      <c r="E31" s="1117">
        <v>236.48079004600001</v>
      </c>
      <c r="F31" s="1116">
        <f t="shared" ref="F31:G40" si="10">B31+D31</f>
        <v>1707689</v>
      </c>
      <c r="G31" s="1117">
        <f t="shared" si="10"/>
        <v>210603.25800246492</v>
      </c>
      <c r="H31" s="1116">
        <v>11436309</v>
      </c>
      <c r="I31" s="1117">
        <v>60564.028841293984</v>
      </c>
      <c r="J31" s="1116">
        <v>307281</v>
      </c>
      <c r="K31" s="1117">
        <v>261.544496751</v>
      </c>
      <c r="L31" s="1116">
        <v>12831</v>
      </c>
      <c r="M31" s="1117">
        <v>23.109241840400003</v>
      </c>
      <c r="N31" s="1116">
        <v>2338888</v>
      </c>
      <c r="O31" s="1117">
        <v>1346.3737255719998</v>
      </c>
      <c r="P31" s="1116">
        <v>362023</v>
      </c>
      <c r="Q31" s="1117">
        <v>338.50285320689994</v>
      </c>
      <c r="R31" s="1116">
        <v>1096296</v>
      </c>
      <c r="S31" s="1117">
        <v>596.634285793</v>
      </c>
      <c r="T31" s="1116">
        <v>177080</v>
      </c>
      <c r="U31" s="1117">
        <v>108.21664897110004</v>
      </c>
      <c r="V31" s="1116">
        <v>4294399</v>
      </c>
      <c r="W31" s="1117">
        <v>2674.3812521344003</v>
      </c>
      <c r="X31" s="1117">
        <v>9094.9524403349988</v>
      </c>
      <c r="Y31" s="1116" t="s">
        <v>565</v>
      </c>
      <c r="Z31" s="1116">
        <v>32469129</v>
      </c>
      <c r="AA31" s="1117">
        <v>32740.432400392001</v>
      </c>
      <c r="AB31" s="1116">
        <v>33218</v>
      </c>
      <c r="AC31" s="1117">
        <v>73.733184510000001</v>
      </c>
      <c r="AD31" s="1116">
        <v>2547176</v>
      </c>
      <c r="AE31" s="1117">
        <v>953.47974511799987</v>
      </c>
      <c r="AF31" s="1116">
        <v>117185</v>
      </c>
      <c r="AG31" s="1117">
        <v>89.431046025000015</v>
      </c>
      <c r="AH31" s="1116">
        <v>2870391</v>
      </c>
      <c r="AI31" s="1117">
        <v>553.68705178399978</v>
      </c>
      <c r="AJ31" s="1116">
        <v>131311</v>
      </c>
      <c r="AK31" s="1117">
        <v>45.960117920000002</v>
      </c>
      <c r="AL31" s="1116">
        <v>38168410</v>
      </c>
      <c r="AM31" s="1117">
        <v>34456.723545749002</v>
      </c>
      <c r="AN31" s="1116">
        <v>381496</v>
      </c>
      <c r="AO31" s="1117">
        <v>209.766902367</v>
      </c>
      <c r="AP31" s="1116">
        <v>131595</v>
      </c>
      <c r="AQ31" s="1117">
        <v>90.085327975100014</v>
      </c>
      <c r="AR31" s="1116">
        <v>41136</v>
      </c>
      <c r="AS31" s="1117">
        <v>58.186640000000011</v>
      </c>
      <c r="AT31" s="1116">
        <v>106844</v>
      </c>
      <c r="AU31" s="1117">
        <v>113.9594153944</v>
      </c>
      <c r="AV31" s="1116">
        <v>105471</v>
      </c>
      <c r="AW31" s="1117">
        <v>66.602287795999999</v>
      </c>
      <c r="AX31" s="1116" t="s">
        <v>565</v>
      </c>
      <c r="AY31" s="1116">
        <v>253451</v>
      </c>
      <c r="AZ31" s="1117">
        <v>238.74834319039996</v>
      </c>
      <c r="BA31" s="1153">
        <v>43229351</v>
      </c>
      <c r="BB31" s="1117">
        <v>37669.70537141589</v>
      </c>
      <c r="BC31" s="1116">
        <v>2268371</v>
      </c>
      <c r="BD31" s="1116">
        <v>32666507</v>
      </c>
      <c r="BE31" s="1116">
        <v>4409712</v>
      </c>
      <c r="BF31" s="1116">
        <f t="shared" ref="BF31:BF50" si="11">BC31+BD31+BE31</f>
        <v>39344590</v>
      </c>
      <c r="BG31" s="1116">
        <v>7442964</v>
      </c>
      <c r="BH31" s="1116">
        <v>7807126</v>
      </c>
      <c r="BI31" s="1117">
        <v>46243.446591025997</v>
      </c>
      <c r="BJ31" s="1116">
        <v>1601445</v>
      </c>
      <c r="BK31" s="1116">
        <v>483531836</v>
      </c>
      <c r="BL31" s="1117">
        <v>98306.850671469001</v>
      </c>
      <c r="BM31" s="1116">
        <v>209569834</v>
      </c>
      <c r="BN31" s="1116">
        <v>15574</v>
      </c>
      <c r="BO31" s="1116">
        <v>14858617</v>
      </c>
      <c r="BP31" s="1117">
        <v>68004.100000000006</v>
      </c>
      <c r="BQ31" s="1116">
        <v>20154126</v>
      </c>
      <c r="BR31" s="1116">
        <v>13725</v>
      </c>
      <c r="BS31" s="1116">
        <v>106832</v>
      </c>
      <c r="BT31" s="1236"/>
      <c r="BU31" s="1327"/>
    </row>
    <row r="32" spans="1:74" s="184" customFormat="1" ht="11.25" customHeight="1">
      <c r="A32" s="1118" t="s">
        <v>566</v>
      </c>
      <c r="B32" s="1118">
        <v>1698614</v>
      </c>
      <c r="C32" s="1119">
        <v>212753.76986995997</v>
      </c>
      <c r="D32" s="1118">
        <v>8849</v>
      </c>
      <c r="E32" s="1119">
        <v>227.395696692</v>
      </c>
      <c r="F32" s="1146">
        <f t="shared" si="10"/>
        <v>1707463</v>
      </c>
      <c r="G32" s="1119">
        <f t="shared" si="10"/>
        <v>212981.16556665197</v>
      </c>
      <c r="H32" s="1118">
        <v>12035293</v>
      </c>
      <c r="I32" s="1119">
        <v>62303.407874569995</v>
      </c>
      <c r="J32" s="1118">
        <v>325854</v>
      </c>
      <c r="K32" s="1119">
        <v>278.17162491900001</v>
      </c>
      <c r="L32" s="1118">
        <v>9812</v>
      </c>
      <c r="M32" s="1119">
        <v>16.321894176000004</v>
      </c>
      <c r="N32" s="1118">
        <v>2415852</v>
      </c>
      <c r="O32" s="1119">
        <v>1362.3112226349995</v>
      </c>
      <c r="P32" s="1118">
        <v>270179</v>
      </c>
      <c r="Q32" s="1119">
        <v>231.69098848199999</v>
      </c>
      <c r="R32" s="1118">
        <v>1134101</v>
      </c>
      <c r="S32" s="1119">
        <v>599.03707768999993</v>
      </c>
      <c r="T32" s="1118">
        <v>200399</v>
      </c>
      <c r="U32" s="1119">
        <v>104.09684516050002</v>
      </c>
      <c r="V32" s="1118">
        <v>4356197</v>
      </c>
      <c r="W32" s="1119">
        <v>2591.6296530624995</v>
      </c>
      <c r="X32" s="1119">
        <v>9150.417508165001</v>
      </c>
      <c r="Y32" s="1118" t="s">
        <v>566</v>
      </c>
      <c r="Z32" s="1118">
        <v>33588910</v>
      </c>
      <c r="AA32" s="1119">
        <v>36028.081620524004</v>
      </c>
      <c r="AB32" s="1118">
        <v>32986</v>
      </c>
      <c r="AC32" s="1119">
        <v>91.740850253000019</v>
      </c>
      <c r="AD32" s="1118">
        <v>2623129</v>
      </c>
      <c r="AE32" s="1119">
        <v>994.10892778799973</v>
      </c>
      <c r="AF32" s="1118">
        <v>105419</v>
      </c>
      <c r="AG32" s="1119">
        <v>71.275097895000002</v>
      </c>
      <c r="AH32" s="1118">
        <v>2834825</v>
      </c>
      <c r="AI32" s="1119">
        <v>564.63960246700003</v>
      </c>
      <c r="AJ32" s="1118">
        <v>160747</v>
      </c>
      <c r="AK32" s="1119">
        <v>53.809612289499995</v>
      </c>
      <c r="AL32" s="1118">
        <v>39346016</v>
      </c>
      <c r="AM32" s="1119">
        <v>37803.655711216496</v>
      </c>
      <c r="AN32" s="1118">
        <v>426533</v>
      </c>
      <c r="AO32" s="1119">
        <v>266.42395943799994</v>
      </c>
      <c r="AP32" s="1118">
        <v>163885</v>
      </c>
      <c r="AQ32" s="1119">
        <v>89.349575676000015</v>
      </c>
      <c r="AR32" s="1118">
        <v>41901</v>
      </c>
      <c r="AS32" s="1119">
        <v>57.824030000000008</v>
      </c>
      <c r="AT32" s="1118">
        <v>98881</v>
      </c>
      <c r="AU32" s="1119">
        <v>117.88135295199999</v>
      </c>
      <c r="AV32" s="1118">
        <v>125115</v>
      </c>
      <c r="AW32" s="1119">
        <v>94.468138274000012</v>
      </c>
      <c r="AX32" s="1118" t="s">
        <v>566</v>
      </c>
      <c r="AY32" s="1118">
        <v>265897</v>
      </c>
      <c r="AZ32" s="1119">
        <v>270.17352122599999</v>
      </c>
      <c r="BA32" s="1146">
        <v>44558528</v>
      </c>
      <c r="BB32" s="1119">
        <v>41021.232420619002</v>
      </c>
      <c r="BC32" s="1118">
        <v>2294491</v>
      </c>
      <c r="BD32" s="1118">
        <v>33156910</v>
      </c>
      <c r="BE32" s="1118">
        <v>4590842</v>
      </c>
      <c r="BF32" s="1118">
        <f t="shared" si="11"/>
        <v>40042243</v>
      </c>
      <c r="BG32" s="1118">
        <v>7632300</v>
      </c>
      <c r="BH32" s="1118">
        <v>8414924</v>
      </c>
      <c r="BI32" s="1119">
        <v>52099.672853853001</v>
      </c>
      <c r="BJ32" s="1118">
        <v>1618988</v>
      </c>
      <c r="BK32" s="1118">
        <v>512290724</v>
      </c>
      <c r="BL32" s="1119">
        <v>109555.147981909</v>
      </c>
      <c r="BM32" s="1118">
        <v>212420476</v>
      </c>
      <c r="BN32" s="1118">
        <v>15671</v>
      </c>
      <c r="BO32" s="1118">
        <v>13226342</v>
      </c>
      <c r="BP32" s="1119">
        <v>68125.248690278997</v>
      </c>
      <c r="BQ32" s="1118">
        <v>20449522</v>
      </c>
      <c r="BR32" s="1118">
        <v>13732</v>
      </c>
      <c r="BS32" s="1118">
        <v>106225</v>
      </c>
      <c r="BT32" s="1236"/>
      <c r="BU32" s="1327"/>
    </row>
    <row r="33" spans="1:73" s="184" customFormat="1" ht="11.25" customHeight="1">
      <c r="A33" s="1116" t="s">
        <v>560</v>
      </c>
      <c r="B33" s="1116">
        <v>1581755</v>
      </c>
      <c r="C33" s="1117">
        <v>180115.63721498</v>
      </c>
      <c r="D33" s="1116">
        <v>9596</v>
      </c>
      <c r="E33" s="1117">
        <v>281.27739935699998</v>
      </c>
      <c r="F33" s="1153">
        <f t="shared" si="10"/>
        <v>1591351</v>
      </c>
      <c r="G33" s="1117">
        <f t="shared" si="10"/>
        <v>180396.914614337</v>
      </c>
      <c r="H33" s="1116">
        <v>10869818</v>
      </c>
      <c r="I33" s="1117">
        <v>55598.038399805999</v>
      </c>
      <c r="J33" s="1116">
        <v>326079</v>
      </c>
      <c r="K33" s="1117">
        <v>283.348895992</v>
      </c>
      <c r="L33" s="1116">
        <v>10883</v>
      </c>
      <c r="M33" s="1117">
        <v>18.702842159999999</v>
      </c>
      <c r="N33" s="1116">
        <v>2407950</v>
      </c>
      <c r="O33" s="1117">
        <v>1328.8220753640001</v>
      </c>
      <c r="P33" s="1116">
        <v>287593</v>
      </c>
      <c r="Q33" s="1117">
        <v>244.25554785900005</v>
      </c>
      <c r="R33" s="1116">
        <v>1125802</v>
      </c>
      <c r="S33" s="1117">
        <v>579.66387659600002</v>
      </c>
      <c r="T33" s="1116">
        <v>198388</v>
      </c>
      <c r="U33" s="1117">
        <v>108.49269728999998</v>
      </c>
      <c r="V33" s="1116">
        <v>4356695</v>
      </c>
      <c r="W33" s="1117">
        <v>2563.2859352610003</v>
      </c>
      <c r="X33" s="1117">
        <v>9211.3310051279968</v>
      </c>
      <c r="Y33" s="1116" t="s">
        <v>560</v>
      </c>
      <c r="Z33" s="1116">
        <v>32888976</v>
      </c>
      <c r="AA33" s="1117">
        <v>34983.290902247005</v>
      </c>
      <c r="AB33" s="1116">
        <v>39413</v>
      </c>
      <c r="AC33" s="1117">
        <v>90.005993062999977</v>
      </c>
      <c r="AD33" s="1116">
        <v>2660788</v>
      </c>
      <c r="AE33" s="1117">
        <v>998.68039978499996</v>
      </c>
      <c r="AF33" s="1116">
        <v>122915</v>
      </c>
      <c r="AG33" s="1117">
        <v>75.896604322999991</v>
      </c>
      <c r="AH33" s="1116">
        <v>2838836</v>
      </c>
      <c r="AI33" s="1117">
        <v>549.59056211899997</v>
      </c>
      <c r="AJ33" s="1116">
        <v>179319</v>
      </c>
      <c r="AK33" s="1117">
        <v>62.044389264499998</v>
      </c>
      <c r="AL33" s="1116">
        <v>38730247</v>
      </c>
      <c r="AM33" s="1117">
        <v>36759.508850801503</v>
      </c>
      <c r="AN33" s="1116">
        <v>436819</v>
      </c>
      <c r="AO33" s="1117">
        <v>269.36636807000002</v>
      </c>
      <c r="AP33" s="1116">
        <v>168387</v>
      </c>
      <c r="AQ33" s="1117">
        <v>88.584469685499997</v>
      </c>
      <c r="AR33" s="1116">
        <v>40749</v>
      </c>
      <c r="AS33" s="1117">
        <v>54.01079</v>
      </c>
      <c r="AT33" s="1116">
        <v>103024</v>
      </c>
      <c r="AU33" s="1117">
        <v>128.39668516099999</v>
      </c>
      <c r="AV33" s="1116">
        <v>120845</v>
      </c>
      <c r="AW33" s="1117">
        <v>80.167801056000002</v>
      </c>
      <c r="AX33" s="1369" t="s">
        <v>560</v>
      </c>
      <c r="AY33" s="1116">
        <v>264618</v>
      </c>
      <c r="AZ33" s="1117">
        <v>262.57527621700001</v>
      </c>
      <c r="BA33" s="1153">
        <v>43956766</v>
      </c>
      <c r="BB33" s="1117">
        <v>39943.320900035011</v>
      </c>
      <c r="BC33" s="1116">
        <v>2316132</v>
      </c>
      <c r="BD33" s="1116">
        <v>33598824</v>
      </c>
      <c r="BE33" s="1116">
        <v>4736851</v>
      </c>
      <c r="BF33" s="1116">
        <f t="shared" si="11"/>
        <v>40651807</v>
      </c>
      <c r="BG33" s="1116">
        <v>7788896</v>
      </c>
      <c r="BH33" s="1116">
        <v>8234472</v>
      </c>
      <c r="BI33" s="1117">
        <v>48716.377547828</v>
      </c>
      <c r="BJ33" s="1116">
        <v>1629716</v>
      </c>
      <c r="BK33" s="1116">
        <v>497412883</v>
      </c>
      <c r="BL33" s="1117">
        <v>108378.227160043</v>
      </c>
      <c r="BM33" s="1116">
        <v>215041746</v>
      </c>
      <c r="BN33" s="1116">
        <v>15539</v>
      </c>
      <c r="BO33" s="1116">
        <v>12032552</v>
      </c>
      <c r="BP33" s="1117">
        <v>59312.866945061003</v>
      </c>
      <c r="BQ33" s="1116">
        <v>20683628</v>
      </c>
      <c r="BR33" s="1116">
        <v>13623</v>
      </c>
      <c r="BS33" s="1116">
        <v>106451</v>
      </c>
      <c r="BT33" s="1236"/>
      <c r="BU33" s="1327"/>
    </row>
    <row r="34" spans="1:73" s="184" customFormat="1" ht="11.25" customHeight="1">
      <c r="A34" s="1118" t="s">
        <v>567</v>
      </c>
      <c r="B34" s="1118">
        <v>1847520</v>
      </c>
      <c r="C34" s="1119">
        <v>214885.96555261899</v>
      </c>
      <c r="D34" s="1118">
        <v>9402</v>
      </c>
      <c r="E34" s="1119">
        <v>282.74721766800002</v>
      </c>
      <c r="F34" s="1146">
        <v>1856922</v>
      </c>
      <c r="G34" s="1119">
        <f t="shared" si="10"/>
        <v>215168.71277028698</v>
      </c>
      <c r="H34" s="1118">
        <v>27380116</v>
      </c>
      <c r="I34" s="1119">
        <v>71929.487599486005</v>
      </c>
      <c r="J34" s="1118">
        <v>358561</v>
      </c>
      <c r="K34" s="1119">
        <v>306.770765407</v>
      </c>
      <c r="L34" s="1118">
        <v>16059</v>
      </c>
      <c r="M34" s="1119">
        <v>28.974927018799999</v>
      </c>
      <c r="N34" s="1118">
        <v>2574948</v>
      </c>
      <c r="O34" s="1119">
        <v>1463.528894065</v>
      </c>
      <c r="P34" s="1118">
        <v>348068</v>
      </c>
      <c r="Q34" s="1119">
        <v>301.24410659699998</v>
      </c>
      <c r="R34" s="1118">
        <v>1260773</v>
      </c>
      <c r="S34" s="1119">
        <v>654.03405320399997</v>
      </c>
      <c r="T34" s="1118">
        <v>224945</v>
      </c>
      <c r="U34" s="1119">
        <v>111.1088772956</v>
      </c>
      <c r="V34" s="1118">
        <v>4783354</v>
      </c>
      <c r="W34" s="1119">
        <v>2865.6616235873998</v>
      </c>
      <c r="X34" s="1119">
        <v>9497.3123796359996</v>
      </c>
      <c r="Y34" s="1118" t="s">
        <v>567</v>
      </c>
      <c r="Z34" s="1118">
        <v>35482731</v>
      </c>
      <c r="AA34" s="1119">
        <v>37616.300498520002</v>
      </c>
      <c r="AB34" s="1118">
        <v>52217</v>
      </c>
      <c r="AC34" s="1119">
        <v>128.21989595599999</v>
      </c>
      <c r="AD34" s="1118">
        <v>2810261</v>
      </c>
      <c r="AE34" s="1119">
        <v>1075.0802064239999</v>
      </c>
      <c r="AF34" s="1118">
        <v>144565</v>
      </c>
      <c r="AG34" s="1119">
        <v>88.777513888000001</v>
      </c>
      <c r="AH34" s="1118">
        <v>3120589</v>
      </c>
      <c r="AI34" s="1119">
        <v>608.34554821899997</v>
      </c>
      <c r="AJ34" s="1118">
        <v>199976</v>
      </c>
      <c r="AK34" s="1119">
        <v>58.964967934000001</v>
      </c>
      <c r="AL34" s="1118">
        <v>41810339</v>
      </c>
      <c r="AM34" s="1119">
        <v>39575.688630940997</v>
      </c>
      <c r="AN34" s="1118">
        <v>469293</v>
      </c>
      <c r="AO34" s="1119">
        <v>285.63369172699998</v>
      </c>
      <c r="AP34" s="1118">
        <v>198418</v>
      </c>
      <c r="AQ34" s="1119">
        <v>94.760536032000005</v>
      </c>
      <c r="AR34" s="1118">
        <v>42986</v>
      </c>
      <c r="AS34" s="1119">
        <v>58.276240000000001</v>
      </c>
      <c r="AT34" s="1118">
        <v>102905</v>
      </c>
      <c r="AU34" s="1119">
        <v>134.49906232199999</v>
      </c>
      <c r="AV34" s="1118">
        <v>126044</v>
      </c>
      <c r="AW34" s="1119">
        <v>84.087330874000003</v>
      </c>
      <c r="AX34" s="1118" t="s">
        <v>567</v>
      </c>
      <c r="AY34" s="1118">
        <v>271935</v>
      </c>
      <c r="AZ34" s="1119">
        <v>276.86263319599999</v>
      </c>
      <c r="BA34" s="1146">
        <v>47533339</v>
      </c>
      <c r="BB34" s="1119">
        <v>43098.607115483399</v>
      </c>
      <c r="BC34" s="1118">
        <v>2337580</v>
      </c>
      <c r="BD34" s="1118">
        <v>34001815</v>
      </c>
      <c r="BE34" s="1118">
        <v>4904421</v>
      </c>
      <c r="BF34" s="1118">
        <f t="shared" si="11"/>
        <v>41243816</v>
      </c>
      <c r="BG34" s="1118">
        <v>7980859</v>
      </c>
      <c r="BH34" s="1118">
        <v>10337750</v>
      </c>
      <c r="BI34" s="1119">
        <v>78863.083189718003</v>
      </c>
      <c r="BJ34" s="1118">
        <v>1678207</v>
      </c>
      <c r="BK34" s="1118">
        <v>573271299</v>
      </c>
      <c r="BL34" s="1119">
        <v>120596.465772636</v>
      </c>
      <c r="BM34" s="1118">
        <v>217710830</v>
      </c>
      <c r="BN34" s="1118">
        <v>15542</v>
      </c>
      <c r="BO34" s="1118">
        <v>16089259</v>
      </c>
      <c r="BP34" s="1119">
        <v>70459.860334437995</v>
      </c>
      <c r="BQ34" s="1118">
        <v>20931465</v>
      </c>
      <c r="BR34" s="1118">
        <v>13655</v>
      </c>
      <c r="BS34" s="1118">
        <v>107035</v>
      </c>
      <c r="BT34" s="1236"/>
      <c r="BU34" s="1327"/>
    </row>
    <row r="35" spans="1:73" s="184" customFormat="1" ht="11.25" customHeight="1">
      <c r="A35" s="1116" t="s">
        <v>568</v>
      </c>
      <c r="B35" s="1116">
        <v>1850445</v>
      </c>
      <c r="C35" s="1117">
        <v>205727.014980882</v>
      </c>
      <c r="D35" s="1116">
        <v>8494</v>
      </c>
      <c r="E35" s="1117">
        <v>225.05943243499999</v>
      </c>
      <c r="F35" s="1116">
        <f t="shared" ref="F35:F40" si="12">B35+D35</f>
        <v>1858939</v>
      </c>
      <c r="G35" s="1117">
        <f t="shared" si="10"/>
        <v>205952.07441331699</v>
      </c>
      <c r="H35" s="1116">
        <v>16245938</v>
      </c>
      <c r="I35" s="1117">
        <v>72689.365954292007</v>
      </c>
      <c r="J35" s="1116">
        <v>349173</v>
      </c>
      <c r="K35" s="1117">
        <v>302.96941623200001</v>
      </c>
      <c r="L35" s="1116">
        <v>14453</v>
      </c>
      <c r="M35" s="1117">
        <v>26.999779919000002</v>
      </c>
      <c r="N35" s="1116">
        <v>2412776</v>
      </c>
      <c r="O35" s="1117">
        <v>1372.9109652919999</v>
      </c>
      <c r="P35" s="1116">
        <v>296342</v>
      </c>
      <c r="Q35" s="1117">
        <v>265.35799295800001</v>
      </c>
      <c r="R35" s="1116">
        <v>1238701</v>
      </c>
      <c r="S35" s="1117">
        <v>653.36042484899997</v>
      </c>
      <c r="T35" s="1116">
        <v>222825</v>
      </c>
      <c r="U35" s="1117">
        <v>127.2146839823</v>
      </c>
      <c r="V35" s="1116">
        <v>4534270</v>
      </c>
      <c r="W35" s="1117">
        <v>2748.8132632323</v>
      </c>
      <c r="X35" s="1117">
        <v>9586.1225684849996</v>
      </c>
      <c r="Y35" s="1116" t="s">
        <v>568</v>
      </c>
      <c r="Z35" s="1116">
        <v>34459563</v>
      </c>
      <c r="AA35" s="1117">
        <v>37386.725317053999</v>
      </c>
      <c r="AB35" s="1116">
        <v>47422</v>
      </c>
      <c r="AC35" s="1117">
        <v>121.79554095100001</v>
      </c>
      <c r="AD35" s="1116">
        <v>2616668</v>
      </c>
      <c r="AE35" s="1117">
        <v>962.43418754499999</v>
      </c>
      <c r="AF35" s="1116">
        <v>136586</v>
      </c>
      <c r="AG35" s="1117">
        <v>91.284506813500002</v>
      </c>
      <c r="AH35" s="1116">
        <v>3232987</v>
      </c>
      <c r="AI35" s="1117">
        <v>623.22273326300001</v>
      </c>
      <c r="AJ35" s="1116">
        <v>213293</v>
      </c>
      <c r="AK35" s="1117">
        <v>68.339254069000006</v>
      </c>
      <c r="AL35" s="1116">
        <v>40706519</v>
      </c>
      <c r="AM35" s="1117">
        <v>39253.801539695502</v>
      </c>
      <c r="AN35" s="1116">
        <v>480023</v>
      </c>
      <c r="AO35" s="1117">
        <v>289.01881718300001</v>
      </c>
      <c r="AP35" s="1116">
        <v>209288</v>
      </c>
      <c r="AQ35" s="1117">
        <v>97.039955438999996</v>
      </c>
      <c r="AR35" s="1116">
        <v>41063</v>
      </c>
      <c r="AS35" s="1117">
        <v>55.590339999999998</v>
      </c>
      <c r="AT35" s="1116">
        <v>107430</v>
      </c>
      <c r="AU35" s="1117">
        <v>113.925147262</v>
      </c>
      <c r="AV35" s="1116">
        <v>115832</v>
      </c>
      <c r="AW35" s="1117">
        <v>79.812545610000001</v>
      </c>
      <c r="AX35" s="1116" t="s">
        <v>568</v>
      </c>
      <c r="AY35" s="1116">
        <v>264325</v>
      </c>
      <c r="AZ35" s="1117">
        <v>249.32803287199999</v>
      </c>
      <c r="BA35" s="1153">
        <v>46194425</v>
      </c>
      <c r="BB35" s="1117">
        <v>42638.0016084218</v>
      </c>
      <c r="BC35" s="1116">
        <v>2367620</v>
      </c>
      <c r="BD35" s="1116">
        <v>34331261</v>
      </c>
      <c r="BE35" s="1116">
        <v>4997524</v>
      </c>
      <c r="BF35" s="1116">
        <f t="shared" si="11"/>
        <v>41696405</v>
      </c>
      <c r="BG35" s="1116">
        <v>8172648</v>
      </c>
      <c r="BH35" s="1116">
        <v>9747240</v>
      </c>
      <c r="BI35" s="1117">
        <v>82866.226303652002</v>
      </c>
      <c r="BJ35" s="1116">
        <v>1701943</v>
      </c>
      <c r="BK35" s="1116">
        <v>542074508</v>
      </c>
      <c r="BL35" s="1117">
        <v>119669.18965844699</v>
      </c>
      <c r="BM35" s="1116">
        <v>220086186</v>
      </c>
      <c r="BN35" s="1116">
        <v>15581</v>
      </c>
      <c r="BO35" s="1116">
        <v>14580631</v>
      </c>
      <c r="BP35" s="1117">
        <v>70444.378387324003</v>
      </c>
      <c r="BQ35" s="1116">
        <v>21195205</v>
      </c>
      <c r="BR35" s="1116">
        <v>13437</v>
      </c>
      <c r="BS35" s="1116">
        <v>107144</v>
      </c>
      <c r="BT35" s="1236"/>
      <c r="BU35" s="1327"/>
    </row>
    <row r="36" spans="1:73" s="184" customFormat="1" ht="11.25" customHeight="1">
      <c r="A36" s="1118" t="s">
        <v>561</v>
      </c>
      <c r="B36" s="1118">
        <v>1655043</v>
      </c>
      <c r="C36" s="1119">
        <v>182738.56533114699</v>
      </c>
      <c r="D36" s="1118">
        <v>9754</v>
      </c>
      <c r="E36" s="1119">
        <v>313.77793898099998</v>
      </c>
      <c r="F36" s="1146">
        <f t="shared" si="12"/>
        <v>1664797</v>
      </c>
      <c r="G36" s="1119">
        <f t="shared" si="10"/>
        <v>183052.34327012798</v>
      </c>
      <c r="H36" s="1118">
        <v>16780017</v>
      </c>
      <c r="I36" s="1119">
        <v>68182.869789613993</v>
      </c>
      <c r="J36" s="1118">
        <v>358058</v>
      </c>
      <c r="K36" s="1119">
        <v>314.48887471900002</v>
      </c>
      <c r="L36" s="1118">
        <v>17271</v>
      </c>
      <c r="M36" s="1119">
        <v>33.746116625299997</v>
      </c>
      <c r="N36" s="1118">
        <v>2582874</v>
      </c>
      <c r="O36" s="1119">
        <v>1467.3255885809999</v>
      </c>
      <c r="P36" s="1118">
        <v>349172</v>
      </c>
      <c r="Q36" s="1119">
        <v>319.63655331349997</v>
      </c>
      <c r="R36" s="1118">
        <v>1205621</v>
      </c>
      <c r="S36" s="1119">
        <v>661.00001046700004</v>
      </c>
      <c r="T36" s="1118">
        <v>202619</v>
      </c>
      <c r="U36" s="1119">
        <v>120.7122621515</v>
      </c>
      <c r="V36" s="1118">
        <v>4715615</v>
      </c>
      <c r="W36" s="1119">
        <v>2916.9094058573</v>
      </c>
      <c r="X36" s="1119">
        <v>9884.867291519</v>
      </c>
      <c r="Y36" s="1118" t="s">
        <v>561</v>
      </c>
      <c r="Z36" s="1118">
        <v>36270911</v>
      </c>
      <c r="AA36" s="1119">
        <v>39801.38472029</v>
      </c>
      <c r="AB36" s="1118">
        <v>55311</v>
      </c>
      <c r="AC36" s="1119">
        <v>152.74570868800001</v>
      </c>
      <c r="AD36" s="1118">
        <v>2766966</v>
      </c>
      <c r="AE36" s="1119">
        <v>1056.9825483469999</v>
      </c>
      <c r="AF36" s="1118">
        <v>137640</v>
      </c>
      <c r="AG36" s="1119">
        <v>105.593556206</v>
      </c>
      <c r="AH36" s="1118">
        <v>2945278</v>
      </c>
      <c r="AI36" s="1119">
        <v>560.52229142900001</v>
      </c>
      <c r="AJ36" s="1118">
        <v>214155</v>
      </c>
      <c r="AK36" s="1119">
        <v>74.789194832500002</v>
      </c>
      <c r="AL36" s="1118">
        <v>42390261</v>
      </c>
      <c r="AM36" s="1119">
        <v>41752.0180197925</v>
      </c>
      <c r="AN36" s="1118">
        <v>447143</v>
      </c>
      <c r="AO36" s="1119">
        <v>289.17183307599998</v>
      </c>
      <c r="AP36" s="1118">
        <v>222079</v>
      </c>
      <c r="AQ36" s="1119">
        <v>122.10576920600001</v>
      </c>
      <c r="AR36" s="1118">
        <v>37424</v>
      </c>
      <c r="AS36" s="1119">
        <v>68.211197920000004</v>
      </c>
      <c r="AT36" s="1118">
        <v>120421</v>
      </c>
      <c r="AU36" s="1119">
        <v>116.025734196</v>
      </c>
      <c r="AV36" s="1118">
        <v>132328</v>
      </c>
      <c r="AW36" s="1119">
        <v>87.591291662000003</v>
      </c>
      <c r="AX36" s="1118" t="s">
        <v>561</v>
      </c>
      <c r="AY36" s="1118">
        <v>290173</v>
      </c>
      <c r="AZ36" s="1119">
        <v>271.82822377799999</v>
      </c>
      <c r="BA36" s="1146">
        <v>48065271</v>
      </c>
      <c r="BB36" s="1119">
        <v>45352.0332517098</v>
      </c>
      <c r="BC36" s="1118">
        <v>2398577</v>
      </c>
      <c r="BD36" s="1118">
        <v>34569683</v>
      </c>
      <c r="BE36" s="1118">
        <v>5120934</v>
      </c>
      <c r="BF36" s="1118">
        <f t="shared" si="11"/>
        <v>42089194</v>
      </c>
      <c r="BG36" s="1118">
        <v>8331730</v>
      </c>
      <c r="BH36" s="1118">
        <v>9850726</v>
      </c>
      <c r="BI36" s="1119">
        <v>81640.235815248001</v>
      </c>
      <c r="BJ36" s="1118">
        <v>1724515</v>
      </c>
      <c r="BK36" s="1118">
        <v>550908856</v>
      </c>
      <c r="BL36" s="1119">
        <v>124548.463896698</v>
      </c>
      <c r="BM36" s="1118">
        <v>220457448</v>
      </c>
      <c r="BN36" s="1118">
        <v>15757</v>
      </c>
      <c r="BO36" s="1118">
        <v>13976607</v>
      </c>
      <c r="BP36" s="1119">
        <v>67225.719058249</v>
      </c>
      <c r="BQ36" s="1118">
        <v>21418816</v>
      </c>
      <c r="BR36" s="1118">
        <v>13436</v>
      </c>
      <c r="BS36" s="1118">
        <v>108469</v>
      </c>
      <c r="BT36" s="1236"/>
      <c r="BU36" s="1327"/>
    </row>
    <row r="37" spans="1:73" s="184" customFormat="1" ht="11.25" customHeight="1">
      <c r="A37" s="1116" t="s">
        <v>569</v>
      </c>
      <c r="B37" s="1116">
        <v>1925594</v>
      </c>
      <c r="C37" s="1117">
        <v>207300.56354946899</v>
      </c>
      <c r="D37" s="1116">
        <v>9176</v>
      </c>
      <c r="E37" s="1117">
        <v>262.65764582999998</v>
      </c>
      <c r="F37" s="1153">
        <f t="shared" si="12"/>
        <v>1934770</v>
      </c>
      <c r="G37" s="1117">
        <f t="shared" si="10"/>
        <v>207563.221195299</v>
      </c>
      <c r="H37" s="1116">
        <v>19537853</v>
      </c>
      <c r="I37" s="1117">
        <v>82285.260951356991</v>
      </c>
      <c r="J37" s="1116">
        <v>359636</v>
      </c>
      <c r="K37" s="1117">
        <v>317.93553623700001</v>
      </c>
      <c r="L37" s="1116">
        <v>14360</v>
      </c>
      <c r="M37" s="1117">
        <v>27.642036128499999</v>
      </c>
      <c r="N37" s="1116">
        <v>2601846</v>
      </c>
      <c r="O37" s="1117">
        <v>1482.1982028140001</v>
      </c>
      <c r="P37" s="1116">
        <v>321685</v>
      </c>
      <c r="Q37" s="1117">
        <v>298.80001105050002</v>
      </c>
      <c r="R37" s="1116">
        <v>1183707</v>
      </c>
      <c r="S37" s="1117">
        <v>654.80441124900005</v>
      </c>
      <c r="T37" s="1116">
        <v>203428</v>
      </c>
      <c r="U37" s="1117">
        <v>118.5519972665</v>
      </c>
      <c r="V37" s="1116">
        <v>4684662</v>
      </c>
      <c r="W37" s="1117">
        <v>2899.9321947455001</v>
      </c>
      <c r="X37" s="1117">
        <v>10013.49101623</v>
      </c>
      <c r="Y37" s="1116" t="s">
        <v>569</v>
      </c>
      <c r="Z37" s="1116">
        <v>36923118</v>
      </c>
      <c r="AA37" s="1117">
        <v>40714.95095754401</v>
      </c>
      <c r="AB37" s="1116">
        <v>40349</v>
      </c>
      <c r="AC37" s="1117">
        <v>99.098533338999999</v>
      </c>
      <c r="AD37" s="1116">
        <v>2608485</v>
      </c>
      <c r="AE37" s="1117">
        <v>1080.3442430950001</v>
      </c>
      <c r="AF37" s="1116">
        <v>120175</v>
      </c>
      <c r="AG37" s="1117">
        <v>96.289219374499993</v>
      </c>
      <c r="AH37" s="1116">
        <v>3307426</v>
      </c>
      <c r="AI37" s="1117">
        <v>664.86279608399991</v>
      </c>
      <c r="AJ37" s="1116">
        <v>194605</v>
      </c>
      <c r="AK37" s="1117">
        <v>70.239047538999998</v>
      </c>
      <c r="AL37" s="1116">
        <v>43194158</v>
      </c>
      <c r="AM37" s="1117">
        <v>42725.784796975517</v>
      </c>
      <c r="AN37" s="1116">
        <v>515232</v>
      </c>
      <c r="AO37" s="1117">
        <v>362.22698171199994</v>
      </c>
      <c r="AP37" s="1116">
        <v>210733</v>
      </c>
      <c r="AQ37" s="1117">
        <v>123.52517027999997</v>
      </c>
      <c r="AR37" s="1116">
        <v>36607</v>
      </c>
      <c r="AS37" s="1117">
        <v>53.360590000000002</v>
      </c>
      <c r="AT37" s="1116">
        <v>122716</v>
      </c>
      <c r="AU37" s="1117">
        <v>116.89875784500001</v>
      </c>
      <c r="AV37" s="1116">
        <v>123315</v>
      </c>
      <c r="AW37" s="1117">
        <v>89.787821763000011</v>
      </c>
      <c r="AX37" s="1116" t="s">
        <v>569</v>
      </c>
      <c r="AY37" s="1116">
        <v>282638</v>
      </c>
      <c r="AZ37" s="1117">
        <v>260.04716960799999</v>
      </c>
      <c r="BA37" s="1153">
        <v>48887423</v>
      </c>
      <c r="BB37" s="1117">
        <v>46371.516313321015</v>
      </c>
      <c r="BC37" s="1116">
        <v>2418708</v>
      </c>
      <c r="BD37" s="1116">
        <v>35062332</v>
      </c>
      <c r="BE37" s="1116">
        <v>5255904</v>
      </c>
      <c r="BF37" s="1116">
        <f t="shared" si="11"/>
        <v>42736944</v>
      </c>
      <c r="BG37" s="1116">
        <v>8486538</v>
      </c>
      <c r="BH37" s="1116">
        <v>10622601</v>
      </c>
      <c r="BI37" s="1117">
        <v>96205.903293743002</v>
      </c>
      <c r="BJ37" s="1116">
        <v>1739321</v>
      </c>
      <c r="BK37" s="1116">
        <v>562750812</v>
      </c>
      <c r="BL37" s="1117">
        <v>129500.639051329</v>
      </c>
      <c r="BM37" s="1116">
        <v>219119012</v>
      </c>
      <c r="BN37" s="1116">
        <v>15761</v>
      </c>
      <c r="BO37" s="1116">
        <v>14948766</v>
      </c>
      <c r="BP37" s="1117">
        <v>73983.927014909001</v>
      </c>
      <c r="BQ37" s="1116">
        <v>21696736</v>
      </c>
      <c r="BR37" s="1116">
        <v>13461</v>
      </c>
      <c r="BS37" s="1116">
        <v>109128</v>
      </c>
      <c r="BT37" s="1327"/>
    </row>
    <row r="38" spans="1:73" s="184" customFormat="1" ht="11.25" customHeight="1">
      <c r="A38" s="1118" t="s">
        <v>570</v>
      </c>
      <c r="B38" s="1118">
        <v>1701852</v>
      </c>
      <c r="C38" s="1119">
        <v>180819.42971081295</v>
      </c>
      <c r="D38" s="1118">
        <v>9146</v>
      </c>
      <c r="E38" s="1119">
        <v>279.029687223</v>
      </c>
      <c r="F38" s="1146">
        <f t="shared" si="12"/>
        <v>1710998</v>
      </c>
      <c r="G38" s="1119">
        <f t="shared" si="10"/>
        <v>181098.45939803595</v>
      </c>
      <c r="H38" s="1118">
        <v>29615269</v>
      </c>
      <c r="I38" s="1119">
        <v>76897.669573603998</v>
      </c>
      <c r="J38" s="1118">
        <v>358684</v>
      </c>
      <c r="K38" s="1119">
        <v>314.04897285200002</v>
      </c>
      <c r="L38" s="1118">
        <v>13300</v>
      </c>
      <c r="M38" s="1119">
        <v>24.603281482749999</v>
      </c>
      <c r="N38" s="1118">
        <v>2544606</v>
      </c>
      <c r="O38" s="1119">
        <v>1470.451585622</v>
      </c>
      <c r="P38" s="1118">
        <v>318719</v>
      </c>
      <c r="Q38" s="1119">
        <v>284.24638302329998</v>
      </c>
      <c r="R38" s="1118">
        <v>1134961</v>
      </c>
      <c r="S38" s="1119">
        <v>633.98972962899995</v>
      </c>
      <c r="T38" s="1118">
        <v>198377</v>
      </c>
      <c r="U38" s="1119">
        <v>104.1681234058</v>
      </c>
      <c r="V38" s="1118">
        <v>4568647</v>
      </c>
      <c r="W38" s="1119">
        <v>2831.5080760148498</v>
      </c>
      <c r="X38" s="1119">
        <v>10199.682911305001</v>
      </c>
      <c r="Y38" s="1118" t="s">
        <v>570</v>
      </c>
      <c r="Z38" s="1118">
        <v>36507771</v>
      </c>
      <c r="AA38" s="1119">
        <v>40320.196292909997</v>
      </c>
      <c r="AB38" s="1118">
        <v>39762</v>
      </c>
      <c r="AC38" s="1119">
        <v>94.576199015499995</v>
      </c>
      <c r="AD38" s="1118">
        <v>2489809</v>
      </c>
      <c r="AE38" s="1119">
        <v>886.68832314500014</v>
      </c>
      <c r="AF38" s="1118">
        <v>123724</v>
      </c>
      <c r="AG38" s="1119">
        <v>94.685774413000019</v>
      </c>
      <c r="AH38" s="1118">
        <v>3114735</v>
      </c>
      <c r="AI38" s="1119">
        <v>616.21748430899993</v>
      </c>
      <c r="AJ38" s="1118">
        <v>199293</v>
      </c>
      <c r="AK38" s="1119">
        <v>66.482518967500013</v>
      </c>
      <c r="AL38" s="1118">
        <v>42475094</v>
      </c>
      <c r="AM38" s="1119">
        <v>42078.846592759997</v>
      </c>
      <c r="AN38" s="1118">
        <v>478731</v>
      </c>
      <c r="AO38" s="1119">
        <v>335.54312523400006</v>
      </c>
      <c r="AP38" s="1118">
        <v>211208</v>
      </c>
      <c r="AQ38" s="1119">
        <v>103.6031509455</v>
      </c>
      <c r="AR38" s="1118">
        <v>39053</v>
      </c>
      <c r="AS38" s="1119">
        <v>57.74888</v>
      </c>
      <c r="AT38" s="1118">
        <v>141444</v>
      </c>
      <c r="AU38" s="1119">
        <v>170.11643794400001</v>
      </c>
      <c r="AV38" s="1118">
        <v>122755</v>
      </c>
      <c r="AW38" s="1119">
        <v>87.901032565000008</v>
      </c>
      <c r="AX38" s="1118" t="s">
        <v>570</v>
      </c>
      <c r="AY38" s="1118">
        <v>303252</v>
      </c>
      <c r="AZ38" s="1119">
        <v>315.76635050900001</v>
      </c>
      <c r="BA38" s="1146">
        <v>48036932</v>
      </c>
      <c r="BB38" s="1119">
        <v>45665.267295463345</v>
      </c>
      <c r="BC38" s="1118">
        <v>2424363</v>
      </c>
      <c r="BD38" s="1118">
        <v>35418498</v>
      </c>
      <c r="BE38" s="1118">
        <v>5379541</v>
      </c>
      <c r="BF38" s="1118">
        <f t="shared" si="11"/>
        <v>43222402</v>
      </c>
      <c r="BG38" s="1118">
        <v>8915009</v>
      </c>
      <c r="BH38" s="1118">
        <v>10775757</v>
      </c>
      <c r="BI38" s="1119">
        <v>93822.747532517998</v>
      </c>
      <c r="BJ38" s="1118">
        <v>1754723</v>
      </c>
      <c r="BK38" s="1118">
        <v>584272437</v>
      </c>
      <c r="BL38" s="1119">
        <v>130140.073243219</v>
      </c>
      <c r="BM38" s="1118">
        <v>221478625</v>
      </c>
      <c r="BN38" s="1118">
        <v>15773</v>
      </c>
      <c r="BO38" s="1118">
        <v>15446110</v>
      </c>
      <c r="BP38" s="1119">
        <v>69295.889898476002</v>
      </c>
      <c r="BQ38" s="1118">
        <v>21929947</v>
      </c>
      <c r="BR38" s="1118">
        <v>13465</v>
      </c>
      <c r="BS38" s="1118">
        <v>110089</v>
      </c>
      <c r="BT38" s="1327"/>
    </row>
    <row r="39" spans="1:73" s="184" customFormat="1" ht="11.25" customHeight="1">
      <c r="A39" s="1116" t="s">
        <v>562</v>
      </c>
      <c r="B39" s="1116">
        <v>1828497</v>
      </c>
      <c r="C39" s="1117">
        <v>197388.340214019</v>
      </c>
      <c r="D39" s="1116">
        <v>9392</v>
      </c>
      <c r="E39" s="1117">
        <v>278.63456310999999</v>
      </c>
      <c r="F39" s="1153">
        <f t="shared" si="12"/>
        <v>1837889</v>
      </c>
      <c r="G39" s="1117">
        <f t="shared" si="10"/>
        <v>197666.97477712901</v>
      </c>
      <c r="H39" s="1116">
        <v>26367162</v>
      </c>
      <c r="I39" s="1117">
        <v>81733.814314044008</v>
      </c>
      <c r="J39" s="1116">
        <v>375172</v>
      </c>
      <c r="K39" s="1117">
        <v>336.24321357100001</v>
      </c>
      <c r="L39" s="1116">
        <v>12337</v>
      </c>
      <c r="M39" s="1117">
        <v>22.708506095000001</v>
      </c>
      <c r="N39" s="1116">
        <v>2954874</v>
      </c>
      <c r="O39" s="1117">
        <v>1755.334266759</v>
      </c>
      <c r="P39" s="1116">
        <v>299686</v>
      </c>
      <c r="Q39" s="1117">
        <v>256.72693283180001</v>
      </c>
      <c r="R39" s="1116">
        <v>1209404</v>
      </c>
      <c r="S39" s="1117">
        <v>709.19442884</v>
      </c>
      <c r="T39" s="1116">
        <v>220787</v>
      </c>
      <c r="U39" s="1117">
        <v>110.22392533750001</v>
      </c>
      <c r="V39" s="1116">
        <v>5072260</v>
      </c>
      <c r="W39" s="1117">
        <v>3190.4312734342998</v>
      </c>
      <c r="X39" s="1117">
        <v>10371.922275622999</v>
      </c>
      <c r="Y39" s="1116" t="s">
        <v>562</v>
      </c>
      <c r="Z39" s="1116">
        <v>40843289</v>
      </c>
      <c r="AA39" s="1117">
        <v>46032.241273933985</v>
      </c>
      <c r="AB39" s="1116">
        <v>34256</v>
      </c>
      <c r="AC39" s="1117">
        <v>72.37285517174999</v>
      </c>
      <c r="AD39" s="1116">
        <v>3071612</v>
      </c>
      <c r="AE39" s="1117">
        <v>1166.9949586680007</v>
      </c>
      <c r="AF39" s="1116">
        <v>118608</v>
      </c>
      <c r="AG39" s="1117">
        <v>90.868834010300006</v>
      </c>
      <c r="AH39" s="1116">
        <v>3364473</v>
      </c>
      <c r="AI39" s="1117">
        <v>671.5610946879998</v>
      </c>
      <c r="AJ39" s="1116">
        <v>238608</v>
      </c>
      <c r="AK39" s="1117">
        <v>67.059582528500002</v>
      </c>
      <c r="AL39" s="1116">
        <v>47670846</v>
      </c>
      <c r="AM39" s="1117">
        <v>48101.098599000536</v>
      </c>
      <c r="AN39" s="1116">
        <v>538793</v>
      </c>
      <c r="AO39" s="1117">
        <v>364.02709580799996</v>
      </c>
      <c r="AP39" s="1116">
        <v>236837</v>
      </c>
      <c r="AQ39" s="1117">
        <v>103.03820531074999</v>
      </c>
      <c r="AR39" s="1116">
        <v>39894</v>
      </c>
      <c r="AS39" s="1117">
        <v>58.29610000000001</v>
      </c>
      <c r="AT39" s="1116">
        <v>129144</v>
      </c>
      <c r="AU39" s="1117">
        <v>160.47194431400001</v>
      </c>
      <c r="AV39" s="1116">
        <v>137771</v>
      </c>
      <c r="AW39" s="1117">
        <v>105.80498474000001</v>
      </c>
      <c r="AX39" s="1116" t="s">
        <v>562</v>
      </c>
      <c r="AY39" s="1116">
        <v>306809</v>
      </c>
      <c r="AZ39" s="1117">
        <v>324.57302905400002</v>
      </c>
      <c r="BA39" s="1153">
        <v>53825545</v>
      </c>
      <c r="BB39" s="1117">
        <v>52083.16820260758</v>
      </c>
      <c r="BC39" s="1116">
        <v>2450700</v>
      </c>
      <c r="BD39" s="1116">
        <v>35869678</v>
      </c>
      <c r="BE39" s="1116">
        <v>5697192</v>
      </c>
      <c r="BF39" s="1116">
        <f t="shared" si="11"/>
        <v>44017570</v>
      </c>
      <c r="BG39" s="1116">
        <v>8338860</v>
      </c>
      <c r="BH39" s="1116">
        <v>12441038</v>
      </c>
      <c r="BI39" s="1117">
        <v>99510.62042152397</v>
      </c>
      <c r="BJ39" s="1116">
        <v>1769911</v>
      </c>
      <c r="BK39" s="1116">
        <v>609373836</v>
      </c>
      <c r="BL39" s="1117">
        <v>153757.980103237</v>
      </c>
      <c r="BM39" s="1116">
        <v>224001412</v>
      </c>
      <c r="BN39" s="1116">
        <v>15835</v>
      </c>
      <c r="BO39" s="1116">
        <v>15325171</v>
      </c>
      <c r="BP39" s="1117">
        <v>72956.441154614993</v>
      </c>
      <c r="BQ39" s="1116">
        <v>22249033</v>
      </c>
      <c r="BR39" s="1116">
        <v>13485</v>
      </c>
      <c r="BS39" s="1116">
        <v>113734</v>
      </c>
      <c r="BT39" s="1327"/>
    </row>
    <row r="40" spans="1:73" s="184" customFormat="1" ht="11.25" customHeight="1">
      <c r="A40" s="1118" t="s">
        <v>571</v>
      </c>
      <c r="B40" s="1118">
        <v>1593054</v>
      </c>
      <c r="C40" s="1119">
        <v>189553.88032722601</v>
      </c>
      <c r="D40" s="1118">
        <v>9047</v>
      </c>
      <c r="E40" s="1119">
        <v>442.164963</v>
      </c>
      <c r="F40" s="1146">
        <f t="shared" si="12"/>
        <v>1602101</v>
      </c>
      <c r="G40" s="1119">
        <f t="shared" si="10"/>
        <v>189996.045290226</v>
      </c>
      <c r="H40" s="1118">
        <v>18966499</v>
      </c>
      <c r="I40" s="1119">
        <v>71729.674012887001</v>
      </c>
      <c r="J40" s="1118">
        <v>342734</v>
      </c>
      <c r="K40" s="1119">
        <v>313.46534198000001</v>
      </c>
      <c r="L40" s="1118">
        <v>13121</v>
      </c>
      <c r="M40" s="1119">
        <v>22.990658049</v>
      </c>
      <c r="N40" s="1118">
        <v>2806155</v>
      </c>
      <c r="O40" s="1119">
        <v>1656.773446289</v>
      </c>
      <c r="P40" s="1118">
        <v>357248</v>
      </c>
      <c r="Q40" s="1119">
        <v>298.58198302099999</v>
      </c>
      <c r="R40" s="1118">
        <v>1125674</v>
      </c>
      <c r="S40" s="1119">
        <v>659.01151781099998</v>
      </c>
      <c r="T40" s="1118">
        <v>207047</v>
      </c>
      <c r="U40" s="1119">
        <v>112.783494506</v>
      </c>
      <c r="V40" s="1118">
        <v>4851979</v>
      </c>
      <c r="W40" s="1119">
        <v>3063.6064416559998</v>
      </c>
      <c r="X40" s="1119">
        <v>10475.379101396</v>
      </c>
      <c r="Y40" s="1118" t="s">
        <v>571</v>
      </c>
      <c r="Z40" s="1118">
        <v>37818963</v>
      </c>
      <c r="AA40" s="1119">
        <v>42109.471936180998</v>
      </c>
      <c r="AB40" s="1118">
        <v>29654</v>
      </c>
      <c r="AC40" s="1119">
        <v>55.882477377000001</v>
      </c>
      <c r="AD40" s="1118">
        <v>3346113</v>
      </c>
      <c r="AE40" s="1119">
        <v>1230.151298497</v>
      </c>
      <c r="AF40" s="1118">
        <v>125558</v>
      </c>
      <c r="AG40" s="1119">
        <v>90.572049804000002</v>
      </c>
      <c r="AH40" s="1118">
        <v>3155906</v>
      </c>
      <c r="AI40" s="1119">
        <v>623.73166646300001</v>
      </c>
      <c r="AJ40" s="1118">
        <v>189654</v>
      </c>
      <c r="AK40" s="1119">
        <v>57.720952593500002</v>
      </c>
      <c r="AL40" s="1118">
        <v>44665848</v>
      </c>
      <c r="AM40" s="1119">
        <v>44167.530380915501</v>
      </c>
      <c r="AN40" s="1118">
        <v>533098</v>
      </c>
      <c r="AO40" s="1119">
        <v>372.302344952</v>
      </c>
      <c r="AP40" s="1118">
        <v>181332</v>
      </c>
      <c r="AQ40" s="1119">
        <v>86.358193664500007</v>
      </c>
      <c r="AR40" s="1118">
        <v>36083</v>
      </c>
      <c r="AS40" s="1119">
        <v>53.473080000000003</v>
      </c>
      <c r="AT40" s="1118">
        <v>121867</v>
      </c>
      <c r="AU40" s="1119">
        <v>127.640097723</v>
      </c>
      <c r="AV40" s="1118">
        <v>141902</v>
      </c>
      <c r="AW40" s="1119">
        <v>93.864875165000001</v>
      </c>
      <c r="AX40" s="1118" t="s">
        <v>571</v>
      </c>
      <c r="AY40" s="1118">
        <v>299852</v>
      </c>
      <c r="AZ40" s="1119">
        <v>274.97805288799998</v>
      </c>
      <c r="BA40" s="1146">
        <v>50532109</v>
      </c>
      <c r="BB40" s="1119">
        <v>47964.775414076001</v>
      </c>
      <c r="BC40" s="1118">
        <v>2469541</v>
      </c>
      <c r="BD40" s="1118">
        <v>36215413</v>
      </c>
      <c r="BE40" s="1118">
        <v>5850790</v>
      </c>
      <c r="BF40" s="1118">
        <f t="shared" si="11"/>
        <v>44535744</v>
      </c>
      <c r="BG40" s="1118">
        <v>8524325</v>
      </c>
      <c r="BH40" s="1118">
        <v>11883072</v>
      </c>
      <c r="BI40" s="1119">
        <v>97094.517377337004</v>
      </c>
      <c r="BJ40" s="1118">
        <v>1779741</v>
      </c>
      <c r="BK40" s="1118">
        <v>614152914</v>
      </c>
      <c r="BL40" s="1119">
        <v>144929.50417074701</v>
      </c>
      <c r="BM40" s="1118">
        <v>226505553</v>
      </c>
      <c r="BN40" s="1118">
        <v>15840</v>
      </c>
      <c r="BO40" s="1118">
        <v>14146303</v>
      </c>
      <c r="BP40" s="1119">
        <v>67458.362707481996</v>
      </c>
      <c r="BQ40" s="1118">
        <v>22532147</v>
      </c>
      <c r="BR40" s="1118">
        <v>13507</v>
      </c>
      <c r="BS40" s="1118">
        <v>114828</v>
      </c>
      <c r="BT40" s="1327"/>
    </row>
    <row r="41" spans="1:73" s="184" customFormat="1" ht="11.25" customHeight="1">
      <c r="A41" s="1116" t="s">
        <v>572</v>
      </c>
      <c r="B41" s="1116">
        <v>1757021</v>
      </c>
      <c r="C41" s="1117">
        <v>196509.725859105</v>
      </c>
      <c r="D41" s="1116">
        <v>9936</v>
      </c>
      <c r="E41" s="1117">
        <v>686.57522725000001</v>
      </c>
      <c r="F41" s="1116">
        <f t="shared" ref="F41" si="13">B41+D41</f>
        <v>1766957</v>
      </c>
      <c r="G41" s="1117">
        <f t="shared" ref="G41" si="14">C41+E41</f>
        <v>197196.301086355</v>
      </c>
      <c r="H41" s="1116">
        <v>26181961</v>
      </c>
      <c r="I41" s="1117">
        <v>85061.135004269003</v>
      </c>
      <c r="J41" s="1116">
        <v>370480</v>
      </c>
      <c r="K41" s="1117">
        <v>325.18176183299994</v>
      </c>
      <c r="L41" s="1116">
        <v>10314</v>
      </c>
      <c r="M41" s="1117">
        <v>19.204528681999999</v>
      </c>
      <c r="N41" s="1116">
        <v>2645092</v>
      </c>
      <c r="O41" s="1117">
        <v>1579.9099879540001</v>
      </c>
      <c r="P41" s="1116">
        <v>310984</v>
      </c>
      <c r="Q41" s="1117">
        <v>256.56075278800006</v>
      </c>
      <c r="R41" s="1116">
        <v>1231194</v>
      </c>
      <c r="S41" s="1117">
        <v>702.51179184599994</v>
      </c>
      <c r="T41" s="1116">
        <v>228440</v>
      </c>
      <c r="U41" s="1117">
        <v>120.67240919704997</v>
      </c>
      <c r="V41" s="1116">
        <v>4796504</v>
      </c>
      <c r="W41" s="1117">
        <v>3004.0412323000501</v>
      </c>
      <c r="X41" s="1117">
        <v>10481.503434674001</v>
      </c>
      <c r="Y41" s="1116" t="s">
        <v>572</v>
      </c>
      <c r="Z41" s="1116">
        <v>36917581</v>
      </c>
      <c r="AA41" s="1117">
        <v>40541.680353374999</v>
      </c>
      <c r="AB41" s="1116">
        <v>25454</v>
      </c>
      <c r="AC41" s="1117">
        <v>54.032786463299999</v>
      </c>
      <c r="AD41" s="1116">
        <v>3010727</v>
      </c>
      <c r="AE41" s="1117">
        <v>1125.9765289749998</v>
      </c>
      <c r="AF41" s="1116">
        <v>114984</v>
      </c>
      <c r="AG41" s="1117">
        <v>84.894431041999979</v>
      </c>
      <c r="AH41" s="1116">
        <v>3181334</v>
      </c>
      <c r="AI41" s="1117">
        <v>621.16342906200009</v>
      </c>
      <c r="AJ41" s="1116">
        <v>224257</v>
      </c>
      <c r="AK41" s="1117">
        <v>70.063503678499998</v>
      </c>
      <c r="AL41" s="1116">
        <v>43474337</v>
      </c>
      <c r="AM41" s="1117">
        <v>42497.811032595797</v>
      </c>
      <c r="AN41" s="1116">
        <v>496055</v>
      </c>
      <c r="AO41" s="1117">
        <v>344.70344251080002</v>
      </c>
      <c r="AP41" s="1116">
        <v>213354</v>
      </c>
      <c r="AQ41" s="1117">
        <v>91.889914925400006</v>
      </c>
      <c r="AR41" s="1116">
        <v>37305</v>
      </c>
      <c r="AS41" s="1117">
        <v>54.515180699999995</v>
      </c>
      <c r="AT41" s="1116">
        <v>134612</v>
      </c>
      <c r="AU41" s="1117">
        <v>172.14157565800002</v>
      </c>
      <c r="AV41" s="1116">
        <v>138438</v>
      </c>
      <c r="AW41" s="1117">
        <v>94.064048244000006</v>
      </c>
      <c r="AX41" s="1116" t="s">
        <v>572</v>
      </c>
      <c r="AY41" s="1116">
        <v>310355</v>
      </c>
      <c r="AZ41" s="1117">
        <v>320.72080460199999</v>
      </c>
      <c r="BA41" s="1153">
        <v>49290605</v>
      </c>
      <c r="BB41" s="1117">
        <v>46259.166426934054</v>
      </c>
      <c r="BC41" s="1116">
        <v>2491202</v>
      </c>
      <c r="BD41" s="1116">
        <v>36658363</v>
      </c>
      <c r="BE41" s="1116">
        <v>5995954</v>
      </c>
      <c r="BF41" s="1116">
        <f t="shared" si="11"/>
        <v>45145519</v>
      </c>
      <c r="BG41" s="1116">
        <v>8752117</v>
      </c>
      <c r="BH41" s="1116">
        <v>12795772</v>
      </c>
      <c r="BI41" s="1117">
        <v>103038.635496189</v>
      </c>
      <c r="BJ41" s="1116">
        <v>1794350</v>
      </c>
      <c r="BK41" s="1116">
        <v>607652282</v>
      </c>
      <c r="BL41" s="1117">
        <v>140952.08738656601</v>
      </c>
      <c r="BM41" s="1116">
        <v>229918913</v>
      </c>
      <c r="BN41" s="1116">
        <v>15885</v>
      </c>
      <c r="BO41" s="1116">
        <v>15281122</v>
      </c>
      <c r="BP41" s="1117">
        <v>72137.642818809996</v>
      </c>
      <c r="BQ41" s="1116">
        <v>22827855</v>
      </c>
      <c r="BR41" s="1116">
        <v>13428</v>
      </c>
      <c r="BS41" s="1116">
        <v>116232</v>
      </c>
      <c r="BT41" s="1327"/>
    </row>
    <row r="42" spans="1:73" s="184" customFormat="1" ht="11.25" customHeight="1">
      <c r="A42" s="1118" t="s">
        <v>563</v>
      </c>
      <c r="B42" s="1118">
        <v>1953733</v>
      </c>
      <c r="C42" s="1119">
        <v>234440.69206133499</v>
      </c>
      <c r="D42" s="1118">
        <v>11468</v>
      </c>
      <c r="E42" s="1119">
        <v>537.84539200999996</v>
      </c>
      <c r="F42" s="1118">
        <f t="shared" ref="F42" si="15">B42+D42</f>
        <v>1965201</v>
      </c>
      <c r="G42" s="1119">
        <f t="shared" ref="G42" si="16">C42+E42</f>
        <v>234978.53745334499</v>
      </c>
      <c r="H42" s="1118">
        <v>40400860</v>
      </c>
      <c r="I42" s="1119">
        <v>94652.946931722996</v>
      </c>
      <c r="J42" s="1118">
        <v>349605</v>
      </c>
      <c r="K42" s="1119">
        <v>324.68289889800002</v>
      </c>
      <c r="L42" s="1118">
        <v>11559</v>
      </c>
      <c r="M42" s="1119">
        <v>20.601202748150001</v>
      </c>
      <c r="N42" s="1118">
        <v>2641795</v>
      </c>
      <c r="O42" s="1119">
        <v>1582.3243445820001</v>
      </c>
      <c r="P42" s="1118">
        <v>359314</v>
      </c>
      <c r="Q42" s="1119">
        <v>309.32015736229999</v>
      </c>
      <c r="R42" s="1118">
        <v>1164344</v>
      </c>
      <c r="S42" s="1119">
        <v>695.03504773700001</v>
      </c>
      <c r="T42" s="1118">
        <v>221683</v>
      </c>
      <c r="U42" s="1119">
        <v>120.0416530416</v>
      </c>
      <c r="V42" s="1118">
        <v>4748300</v>
      </c>
      <c r="W42" s="1119">
        <v>3052.00530436905</v>
      </c>
      <c r="X42" s="1119">
        <v>10751.054323832999</v>
      </c>
      <c r="Y42" s="1118" t="s">
        <v>563</v>
      </c>
      <c r="Z42" s="1118">
        <v>40321059</v>
      </c>
      <c r="AA42" s="1119">
        <v>45905.618330254998</v>
      </c>
      <c r="AB42" s="1118">
        <v>24702</v>
      </c>
      <c r="AC42" s="1119">
        <v>57.765275697</v>
      </c>
      <c r="AD42" s="1118">
        <v>3092532</v>
      </c>
      <c r="AE42" s="1119">
        <v>1053.0646033139999</v>
      </c>
      <c r="AF42" s="1118">
        <v>121244</v>
      </c>
      <c r="AG42" s="1119">
        <v>93.789040756999995</v>
      </c>
      <c r="AH42" s="1118">
        <v>3395301</v>
      </c>
      <c r="AI42" s="1119">
        <v>665.29923959600001</v>
      </c>
      <c r="AJ42" s="1118">
        <v>202438</v>
      </c>
      <c r="AK42" s="1119">
        <v>63.487248475999998</v>
      </c>
      <c r="AL42" s="1118">
        <v>47157276</v>
      </c>
      <c r="AM42" s="1119">
        <v>47839.023738094998</v>
      </c>
      <c r="AN42" s="1118">
        <v>589801</v>
      </c>
      <c r="AO42" s="1119">
        <v>413.94656348500001</v>
      </c>
      <c r="AP42" s="1118">
        <v>173579</v>
      </c>
      <c r="AQ42" s="1119">
        <v>75.639103754100006</v>
      </c>
      <c r="AR42" s="1118">
        <v>34144</v>
      </c>
      <c r="AS42" s="1119">
        <v>54.698770000000003</v>
      </c>
      <c r="AT42" s="1118">
        <v>105386</v>
      </c>
      <c r="AU42" s="1119">
        <v>120.613899155</v>
      </c>
      <c r="AV42" s="1118">
        <v>144742</v>
      </c>
      <c r="AW42" s="1119">
        <v>96.100553069</v>
      </c>
      <c r="AX42" s="1118" t="s">
        <v>563</v>
      </c>
      <c r="AY42" s="1118">
        <v>284272</v>
      </c>
      <c r="AZ42" s="1119">
        <v>271.41322222399998</v>
      </c>
      <c r="BA42" s="1146">
        <v>52953228</v>
      </c>
      <c r="BB42" s="1119">
        <v>51652.027931927099</v>
      </c>
      <c r="BC42" s="1118">
        <v>2506478</v>
      </c>
      <c r="BD42" s="1118">
        <v>37046957</v>
      </c>
      <c r="BE42" s="1118">
        <v>6075310</v>
      </c>
      <c r="BF42" s="1118">
        <f t="shared" si="11"/>
        <v>45628745</v>
      </c>
      <c r="BG42" s="1118">
        <v>8951034</v>
      </c>
      <c r="BH42" s="1118">
        <v>12722449</v>
      </c>
      <c r="BI42" s="1119">
        <v>104504.62535950801</v>
      </c>
      <c r="BJ42" s="1118">
        <v>1807659</v>
      </c>
      <c r="BK42" s="1118">
        <v>643820368</v>
      </c>
      <c r="BL42" s="1119">
        <v>155835.32984312999</v>
      </c>
      <c r="BM42" s="1118">
        <v>232418206</v>
      </c>
      <c r="BN42" s="1118">
        <v>15990</v>
      </c>
      <c r="BO42" s="1118">
        <v>17467583</v>
      </c>
      <c r="BP42" s="1119">
        <v>73128.447266917006</v>
      </c>
      <c r="BQ42" s="1118">
        <v>23033242</v>
      </c>
      <c r="BR42" s="1118">
        <v>13438</v>
      </c>
      <c r="BS42" s="1118">
        <v>118313</v>
      </c>
      <c r="BT42" s="1327"/>
    </row>
    <row r="43" spans="1:73" s="185" customFormat="1" ht="11.25" customHeight="1">
      <c r="A43" s="1278" t="s">
        <v>2681</v>
      </c>
      <c r="B43" s="1116"/>
      <c r="C43" s="1117"/>
      <c r="D43" s="1116"/>
      <c r="E43" s="1117"/>
      <c r="F43" s="1116"/>
      <c r="G43" s="1117"/>
      <c r="H43" s="1116"/>
      <c r="I43" s="1117"/>
      <c r="J43" s="1116"/>
      <c r="K43" s="1117"/>
      <c r="L43" s="1116"/>
      <c r="M43" s="1117"/>
      <c r="N43" s="1116"/>
      <c r="O43" s="1117"/>
      <c r="P43" s="1116"/>
      <c r="Q43" s="1117"/>
      <c r="R43" s="1116"/>
      <c r="S43" s="1117"/>
      <c r="T43" s="1116"/>
      <c r="U43" s="1117"/>
      <c r="V43" s="1116"/>
      <c r="W43" s="1117"/>
      <c r="X43" s="1117"/>
      <c r="Y43" s="1278" t="s">
        <v>2681</v>
      </c>
      <c r="Z43" s="1116"/>
      <c r="AA43" s="1117"/>
      <c r="AB43" s="1116"/>
      <c r="AC43" s="1117"/>
      <c r="AD43" s="1116"/>
      <c r="AE43" s="1117"/>
      <c r="AF43" s="1116"/>
      <c r="AG43" s="1117"/>
      <c r="AH43" s="1116"/>
      <c r="AI43" s="1117"/>
      <c r="AJ43" s="1116"/>
      <c r="AK43" s="1117"/>
      <c r="AL43" s="1116"/>
      <c r="AM43" s="1117"/>
      <c r="AN43" s="1116"/>
      <c r="AO43" s="1117"/>
      <c r="AP43" s="1116"/>
      <c r="AQ43" s="1117"/>
      <c r="AR43" s="1116"/>
      <c r="AS43" s="1117"/>
      <c r="AT43" s="1116"/>
      <c r="AU43" s="1117"/>
      <c r="AV43" s="1116"/>
      <c r="AW43" s="1117"/>
      <c r="AX43" s="1278" t="s">
        <v>2681</v>
      </c>
      <c r="AY43" s="1116"/>
      <c r="AZ43" s="1117"/>
      <c r="BA43" s="1153"/>
      <c r="BB43" s="1117"/>
      <c r="BC43" s="1116"/>
      <c r="BD43" s="1116"/>
      <c r="BE43" s="1116"/>
      <c r="BF43" s="1116"/>
      <c r="BG43" s="1116"/>
      <c r="BH43" s="1116"/>
      <c r="BI43" s="1117"/>
      <c r="BJ43" s="1116"/>
      <c r="BK43" s="1116"/>
      <c r="BL43" s="1117"/>
      <c r="BM43" s="1116"/>
      <c r="BN43" s="1116"/>
      <c r="BO43" s="1116"/>
      <c r="BP43" s="1117"/>
      <c r="BQ43" s="1116"/>
      <c r="BR43" s="1116"/>
      <c r="BS43" s="1116"/>
      <c r="BT43" s="1448"/>
    </row>
    <row r="44" spans="1:73" s="184" customFormat="1" ht="11.25" customHeight="1">
      <c r="A44" s="1118" t="s">
        <v>565</v>
      </c>
      <c r="B44" s="1118">
        <v>1496591</v>
      </c>
      <c r="C44" s="1119">
        <v>181640.83394591801</v>
      </c>
      <c r="D44" s="1118">
        <v>8645</v>
      </c>
      <c r="E44" s="1119">
        <v>360.76737254300002</v>
      </c>
      <c r="F44" s="1118">
        <f t="shared" ref="F44" si="17">B44+D44</f>
        <v>1505236</v>
      </c>
      <c r="G44" s="1119">
        <f t="shared" ref="G44" si="18">C44+E44</f>
        <v>182001.60131846101</v>
      </c>
      <c r="H44" s="1118">
        <v>12477488</v>
      </c>
      <c r="I44" s="1119">
        <v>74237.543900104007</v>
      </c>
      <c r="J44" s="1118">
        <v>343828</v>
      </c>
      <c r="K44" s="1119">
        <v>296.718040777</v>
      </c>
      <c r="L44" s="1118">
        <v>10254</v>
      </c>
      <c r="M44" s="1119">
        <v>18.270666421849999</v>
      </c>
      <c r="N44" s="1118">
        <v>2239289</v>
      </c>
      <c r="O44" s="1119">
        <v>1317.093646266</v>
      </c>
      <c r="P44" s="1118">
        <v>340137</v>
      </c>
      <c r="Q44" s="1119">
        <v>285.896885908</v>
      </c>
      <c r="R44" s="1118">
        <v>994676</v>
      </c>
      <c r="S44" s="1119">
        <v>630.87447012799998</v>
      </c>
      <c r="T44" s="1118">
        <v>200996</v>
      </c>
      <c r="U44" s="1119">
        <v>104.6705136082</v>
      </c>
      <c r="V44" s="1118">
        <v>4129180</v>
      </c>
      <c r="W44" s="1119">
        <v>2653.5242231090501</v>
      </c>
      <c r="X44" s="1119">
        <v>9966.9084084290007</v>
      </c>
      <c r="Y44" s="1118" t="s">
        <v>565</v>
      </c>
      <c r="Z44" s="1118">
        <v>32639342</v>
      </c>
      <c r="AA44" s="1119">
        <v>35911.465715610997</v>
      </c>
      <c r="AB44" s="1118">
        <v>26642</v>
      </c>
      <c r="AC44" s="1119">
        <v>62.007923130999998</v>
      </c>
      <c r="AD44" s="1118">
        <v>2462879</v>
      </c>
      <c r="AE44" s="1119">
        <v>814.02869825300002</v>
      </c>
      <c r="AF44" s="1118">
        <v>120342</v>
      </c>
      <c r="AG44" s="1119">
        <v>96.149936234999998</v>
      </c>
      <c r="AH44" s="1118">
        <v>2684045</v>
      </c>
      <c r="AI44" s="1119">
        <v>531.77660360799996</v>
      </c>
      <c r="AJ44" s="1118">
        <v>178320</v>
      </c>
      <c r="AK44" s="1119">
        <v>61.670302204400002</v>
      </c>
      <c r="AL44" s="1118">
        <v>38111570</v>
      </c>
      <c r="AM44" s="1119">
        <v>37477.099179042401</v>
      </c>
      <c r="AN44" s="1118">
        <v>495438</v>
      </c>
      <c r="AO44" s="1119">
        <v>356.98111661199999</v>
      </c>
      <c r="AP44" s="1118">
        <v>155966</v>
      </c>
      <c r="AQ44" s="1119">
        <v>67.345449140599996</v>
      </c>
      <c r="AR44" s="1118">
        <v>25775</v>
      </c>
      <c r="AS44" s="1119">
        <v>43.210230449999997</v>
      </c>
      <c r="AT44" s="1118">
        <v>177205</v>
      </c>
      <c r="AU44" s="1119">
        <v>158.93305223999999</v>
      </c>
      <c r="AV44" s="1118">
        <v>118193</v>
      </c>
      <c r="AW44" s="1119">
        <v>81.962294189999994</v>
      </c>
      <c r="AX44" s="1118" t="s">
        <v>565</v>
      </c>
      <c r="AY44" s="1118">
        <v>321173</v>
      </c>
      <c r="AZ44" s="1119">
        <v>284.10557688</v>
      </c>
      <c r="BA44" s="1146">
        <v>43213327</v>
      </c>
      <c r="BB44" s="1119">
        <v>40839.055544784002</v>
      </c>
      <c r="BC44" s="1118">
        <v>2520446</v>
      </c>
      <c r="BD44" s="1118">
        <v>37432352</v>
      </c>
      <c r="BE44" s="1118">
        <v>6542072</v>
      </c>
      <c r="BF44" s="1118">
        <f t="shared" si="11"/>
        <v>46494870</v>
      </c>
      <c r="BG44" s="1118">
        <v>8823053</v>
      </c>
      <c r="BH44" s="1118">
        <v>10550454</v>
      </c>
      <c r="BI44" s="1119">
        <v>82725.303415966002</v>
      </c>
      <c r="BJ44" s="1118">
        <v>1819374</v>
      </c>
      <c r="BK44" s="1118">
        <v>533139621</v>
      </c>
      <c r="BL44" s="1119">
        <v>122922.63718828501</v>
      </c>
      <c r="BM44" s="1118">
        <v>233127856</v>
      </c>
      <c r="BN44" s="1118">
        <v>16009</v>
      </c>
      <c r="BO44" s="1118">
        <v>13002972</v>
      </c>
      <c r="BP44" s="1119">
        <v>64775.231385403</v>
      </c>
      <c r="BQ44" s="1118">
        <v>23191503</v>
      </c>
      <c r="BR44" s="1118">
        <v>13212</v>
      </c>
      <c r="BS44" s="1118">
        <v>119617</v>
      </c>
      <c r="BT44" s="1327"/>
    </row>
    <row r="45" spans="1:73" s="184" customFormat="1" ht="11.25" customHeight="1">
      <c r="A45" s="1116" t="s">
        <v>566</v>
      </c>
      <c r="B45" s="1116">
        <v>1486429</v>
      </c>
      <c r="C45" s="1117">
        <v>148522.340252013</v>
      </c>
      <c r="D45" s="1116">
        <v>8427</v>
      </c>
      <c r="E45" s="1117">
        <v>437.52882163599998</v>
      </c>
      <c r="F45" s="1153">
        <f t="shared" ref="F45:F50" si="19">B45+D45</f>
        <v>1494856</v>
      </c>
      <c r="G45" s="1117">
        <f t="shared" ref="G45" si="20">C45+E45</f>
        <v>148959.869073649</v>
      </c>
      <c r="H45" s="1153">
        <v>12512982</v>
      </c>
      <c r="I45" s="1117">
        <v>67523.365363285004</v>
      </c>
      <c r="J45" s="1116">
        <v>288939</v>
      </c>
      <c r="K45" s="1117">
        <v>252.61503808500001</v>
      </c>
      <c r="L45" s="1116">
        <v>8989</v>
      </c>
      <c r="M45" s="1117">
        <v>18.875976779999998</v>
      </c>
      <c r="N45" s="1116">
        <v>2368317</v>
      </c>
      <c r="O45" s="1117">
        <v>1306.5125626849999</v>
      </c>
      <c r="P45" s="1116">
        <v>265623</v>
      </c>
      <c r="Q45" s="1117">
        <v>194.89702886699999</v>
      </c>
      <c r="R45" s="1116">
        <v>1134845</v>
      </c>
      <c r="S45" s="1117">
        <v>685.20949177399996</v>
      </c>
      <c r="T45" s="1116">
        <v>194933</v>
      </c>
      <c r="U45" s="1117">
        <v>98.039011521000006</v>
      </c>
      <c r="V45" s="1116">
        <v>4261646</v>
      </c>
      <c r="W45" s="1117">
        <v>2556.1491097120002</v>
      </c>
      <c r="X45" s="1117">
        <v>9956.8133674849996</v>
      </c>
      <c r="Y45" s="1116" t="s">
        <v>566</v>
      </c>
      <c r="Z45" s="1116">
        <v>27364490</v>
      </c>
      <c r="AA45" s="1117">
        <v>29197.782540921002</v>
      </c>
      <c r="AB45" s="1116">
        <v>21044</v>
      </c>
      <c r="AC45" s="1117">
        <v>63.311351412999997</v>
      </c>
      <c r="AD45" s="1116">
        <v>2733083</v>
      </c>
      <c r="AE45" s="1117">
        <v>914.81596145799995</v>
      </c>
      <c r="AF45" s="1116">
        <v>104949</v>
      </c>
      <c r="AG45" s="1117">
        <v>70.554194229000004</v>
      </c>
      <c r="AH45" s="1116">
        <v>3484856</v>
      </c>
      <c r="AI45" s="1117">
        <v>706.95421517099999</v>
      </c>
      <c r="AJ45" s="1116">
        <v>190729</v>
      </c>
      <c r="AK45" s="1117">
        <v>73.817159567000004</v>
      </c>
      <c r="AL45" s="1116">
        <v>33899151</v>
      </c>
      <c r="AM45" s="1117">
        <v>31027.235422759</v>
      </c>
      <c r="AN45" s="1116">
        <v>476213</v>
      </c>
      <c r="AO45" s="1117">
        <v>335.76115415700002</v>
      </c>
      <c r="AP45" s="1116">
        <v>137252</v>
      </c>
      <c r="AQ45" s="1117">
        <v>61.741690036000001</v>
      </c>
      <c r="AR45" s="1116">
        <v>22080</v>
      </c>
      <c r="AS45" s="1117">
        <v>35.637000919999998</v>
      </c>
      <c r="AT45" s="1116">
        <v>64376</v>
      </c>
      <c r="AU45" s="1117">
        <v>54.877846388000002</v>
      </c>
      <c r="AV45" s="1116">
        <v>154847</v>
      </c>
      <c r="AW45" s="1117">
        <v>93.956496884000003</v>
      </c>
      <c r="AX45" s="1116" t="s">
        <v>566</v>
      </c>
      <c r="AY45" s="1116">
        <v>241303</v>
      </c>
      <c r="AZ45" s="1117">
        <v>184.471344192</v>
      </c>
      <c r="BA45" s="1153">
        <v>39015565</v>
      </c>
      <c r="BB45" s="1117">
        <v>34165.358720855998</v>
      </c>
      <c r="BC45" s="1116">
        <v>2525821</v>
      </c>
      <c r="BD45" s="1116">
        <v>37776211</v>
      </c>
      <c r="BE45" s="1116">
        <v>6942797</v>
      </c>
      <c r="BF45" s="1116">
        <f t="shared" si="11"/>
        <v>47244829</v>
      </c>
      <c r="BG45" s="1116">
        <v>9047248</v>
      </c>
      <c r="BH45" s="1116">
        <v>12002747</v>
      </c>
      <c r="BI45" s="1117">
        <v>75938.974080022002</v>
      </c>
      <c r="BJ45" s="1116">
        <v>1833656</v>
      </c>
      <c r="BK45" s="1116">
        <v>577229136</v>
      </c>
      <c r="BL45" s="1117">
        <v>137920.37199149199</v>
      </c>
      <c r="BM45" s="1116">
        <v>231570347</v>
      </c>
      <c r="BN45" s="1116">
        <v>15994</v>
      </c>
      <c r="BO45" s="1116">
        <v>10758151</v>
      </c>
      <c r="BP45" s="1117">
        <v>52679.093178386</v>
      </c>
      <c r="BQ45" s="1116">
        <v>23311566</v>
      </c>
      <c r="BR45" s="1116">
        <v>13015</v>
      </c>
      <c r="BS45" s="1116">
        <v>120167</v>
      </c>
      <c r="BT45" s="1327"/>
    </row>
    <row r="46" spans="1:73" s="184" customFormat="1" ht="11.25" customHeight="1">
      <c r="A46" s="1118" t="s">
        <v>560</v>
      </c>
      <c r="B46" s="1118">
        <v>1551621</v>
      </c>
      <c r="C46" s="1119">
        <v>147526.38426000101</v>
      </c>
      <c r="D46" s="1118">
        <v>8961</v>
      </c>
      <c r="E46" s="1119">
        <v>469.589531798</v>
      </c>
      <c r="F46" s="1118">
        <f t="shared" si="19"/>
        <v>1560582</v>
      </c>
      <c r="G46" s="1119">
        <f t="shared" ref="G46" si="21">C46+E46</f>
        <v>147995.97379179901</v>
      </c>
      <c r="H46" s="1146">
        <v>14336064</v>
      </c>
      <c r="I46" s="1119">
        <v>73493.261028526002</v>
      </c>
      <c r="J46" s="1118">
        <v>353519</v>
      </c>
      <c r="K46" s="1119">
        <v>297.36977080899999</v>
      </c>
      <c r="L46" s="1118">
        <v>9470</v>
      </c>
      <c r="M46" s="1119">
        <v>18.321098142499999</v>
      </c>
      <c r="N46" s="1118">
        <v>2804621</v>
      </c>
      <c r="O46" s="1119">
        <v>1505.597446856</v>
      </c>
      <c r="P46" s="1118">
        <v>312557</v>
      </c>
      <c r="Q46" s="1119">
        <v>189.40766879</v>
      </c>
      <c r="R46" s="1118">
        <v>1299439</v>
      </c>
      <c r="S46" s="1119">
        <v>784.53123326299999</v>
      </c>
      <c r="T46" s="1118">
        <v>248392</v>
      </c>
      <c r="U46" s="1119">
        <v>122.808155525</v>
      </c>
      <c r="V46" s="1118">
        <v>5027998</v>
      </c>
      <c r="W46" s="1119">
        <v>2918.4684714744999</v>
      </c>
      <c r="X46" s="1119">
        <v>10709.386867097001</v>
      </c>
      <c r="Y46" s="1118" t="s">
        <v>560</v>
      </c>
      <c r="Z46" s="1118">
        <v>32595426</v>
      </c>
      <c r="AA46" s="1119">
        <v>32690.005881181001</v>
      </c>
      <c r="AB46" s="1118">
        <v>29344</v>
      </c>
      <c r="AC46" s="1119">
        <v>61.076697926000001</v>
      </c>
      <c r="AD46" s="1118">
        <v>3173853</v>
      </c>
      <c r="AE46" s="1119">
        <v>1070.6483947249999</v>
      </c>
      <c r="AF46" s="1118">
        <v>128149</v>
      </c>
      <c r="AG46" s="1119">
        <v>81.486303666500007</v>
      </c>
      <c r="AH46" s="1118">
        <v>3478150</v>
      </c>
      <c r="AI46" s="1119">
        <v>718.36662600700004</v>
      </c>
      <c r="AJ46" s="1118">
        <v>281738</v>
      </c>
      <c r="AK46" s="1119">
        <v>85.276200035000002</v>
      </c>
      <c r="AL46" s="1118">
        <v>39686660</v>
      </c>
      <c r="AM46" s="1119">
        <v>34706.860103540501</v>
      </c>
      <c r="AN46" s="1118">
        <v>518722</v>
      </c>
      <c r="AO46" s="1119">
        <v>342.65999271999999</v>
      </c>
      <c r="AP46" s="1118">
        <v>185123</v>
      </c>
      <c r="AQ46" s="1119">
        <v>66.323501071500004</v>
      </c>
      <c r="AR46" s="1118">
        <v>31058</v>
      </c>
      <c r="AS46" s="1119">
        <v>46.863590000000002</v>
      </c>
      <c r="AT46" s="1118">
        <v>87157</v>
      </c>
      <c r="AU46" s="1119">
        <v>81.209945954999995</v>
      </c>
      <c r="AV46" s="1118">
        <v>172952</v>
      </c>
      <c r="AW46" s="1119">
        <v>107.779630896</v>
      </c>
      <c r="AX46" s="1118" t="s">
        <v>560</v>
      </c>
      <c r="AY46" s="1118">
        <v>291167</v>
      </c>
      <c r="AZ46" s="1119">
        <v>235.853166851</v>
      </c>
      <c r="BA46" s="1146">
        <v>45709670</v>
      </c>
      <c r="BB46" s="1119">
        <v>38270.1652356575</v>
      </c>
      <c r="BC46" s="1118">
        <v>2544774</v>
      </c>
      <c r="BD46" s="1118">
        <v>38166451</v>
      </c>
      <c r="BE46" s="1118">
        <v>7111370</v>
      </c>
      <c r="BF46" s="1118">
        <f t="shared" si="11"/>
        <v>47822595</v>
      </c>
      <c r="BG46" s="1118">
        <v>10474769</v>
      </c>
      <c r="BH46" s="1118">
        <v>12974939</v>
      </c>
      <c r="BI46" s="1119">
        <v>80977.240571748</v>
      </c>
      <c r="BJ46" s="1118">
        <v>1856233</v>
      </c>
      <c r="BK46" s="1118">
        <v>591646271</v>
      </c>
      <c r="BL46" s="1119">
        <v>145067.646495953</v>
      </c>
      <c r="BM46" s="1118">
        <v>233773523</v>
      </c>
      <c r="BN46" s="1118">
        <v>15992</v>
      </c>
      <c r="BO46" s="1118">
        <v>14441273</v>
      </c>
      <c r="BP46" s="1119">
        <v>66964.149780891006</v>
      </c>
      <c r="BQ46" s="1118">
        <v>23487740</v>
      </c>
      <c r="BR46" s="1118">
        <v>13016</v>
      </c>
      <c r="BS46" s="1118">
        <v>120375</v>
      </c>
      <c r="BT46" s="1327"/>
    </row>
    <row r="47" spans="1:73" s="184" customFormat="1" ht="11.25" customHeight="1">
      <c r="A47" s="1116" t="s">
        <v>567</v>
      </c>
      <c r="B47" s="1116">
        <v>1784216</v>
      </c>
      <c r="C47" s="1117">
        <v>167222.623535305</v>
      </c>
      <c r="D47" s="1116">
        <v>9499</v>
      </c>
      <c r="E47" s="1117">
        <v>513.09347571700005</v>
      </c>
      <c r="F47" s="1116">
        <f t="shared" si="19"/>
        <v>1793715</v>
      </c>
      <c r="G47" s="1117">
        <f t="shared" ref="G47" si="22">C47+E47</f>
        <v>167735.717011022</v>
      </c>
      <c r="H47" s="1153">
        <v>22108236</v>
      </c>
      <c r="I47" s="1117">
        <v>74015.069871240994</v>
      </c>
      <c r="J47" s="1116">
        <v>365388</v>
      </c>
      <c r="K47" s="1117">
        <v>311.89071071299998</v>
      </c>
      <c r="L47" s="1116">
        <v>10663</v>
      </c>
      <c r="M47" s="1117">
        <v>20.8323246478</v>
      </c>
      <c r="N47" s="1116">
        <v>2933500</v>
      </c>
      <c r="O47" s="1117">
        <v>1615.42211681</v>
      </c>
      <c r="P47" s="1116">
        <v>344573</v>
      </c>
      <c r="Q47" s="1117">
        <v>269.97448478450002</v>
      </c>
      <c r="R47" s="1116">
        <v>1362803</v>
      </c>
      <c r="S47" s="1117">
        <v>844.706614016</v>
      </c>
      <c r="T47" s="1116">
        <v>265232</v>
      </c>
      <c r="U47" s="1117">
        <v>129.39512157690001</v>
      </c>
      <c r="V47" s="1116">
        <v>5282159</v>
      </c>
      <c r="W47" s="1117">
        <v>3192.2213725482002</v>
      </c>
      <c r="X47" s="1117">
        <v>10901.879098275</v>
      </c>
      <c r="Y47" s="1116" t="s">
        <v>567</v>
      </c>
      <c r="Z47" s="1116">
        <v>35281518</v>
      </c>
      <c r="AA47" s="1117">
        <v>35169.744486331001</v>
      </c>
      <c r="AB47" s="1116">
        <v>27335</v>
      </c>
      <c r="AC47" s="1117">
        <v>65.282027241600005</v>
      </c>
      <c r="AD47" s="1116">
        <v>3231858</v>
      </c>
      <c r="AE47" s="1117">
        <v>1082.549725696</v>
      </c>
      <c r="AF47" s="1116">
        <v>138384</v>
      </c>
      <c r="AG47" s="1117">
        <v>88.703496205999997</v>
      </c>
      <c r="AH47" s="1116">
        <v>3568882</v>
      </c>
      <c r="AI47" s="1117">
        <v>741.05904766000003</v>
      </c>
      <c r="AJ47" s="1116">
        <v>299906</v>
      </c>
      <c r="AK47" s="1117">
        <v>85.304881245999994</v>
      </c>
      <c r="AL47" s="1116">
        <v>42547883</v>
      </c>
      <c r="AM47" s="1117">
        <v>37232.643664380601</v>
      </c>
      <c r="AN47" s="1116">
        <v>543488</v>
      </c>
      <c r="AO47" s="1117">
        <v>369.67059490299999</v>
      </c>
      <c r="AP47" s="1116">
        <v>184600</v>
      </c>
      <c r="AQ47" s="1117">
        <v>67.568553334599997</v>
      </c>
      <c r="AR47" s="1116">
        <v>36189</v>
      </c>
      <c r="AS47" s="1117">
        <v>55.57441</v>
      </c>
      <c r="AT47" s="1116">
        <v>94211</v>
      </c>
      <c r="AU47" s="1117">
        <v>93.177525509999995</v>
      </c>
      <c r="AV47" s="1116">
        <v>191805</v>
      </c>
      <c r="AW47" s="1117">
        <v>123.993465181</v>
      </c>
      <c r="AX47" s="1116" t="s">
        <v>567</v>
      </c>
      <c r="AY47" s="1116">
        <v>322205</v>
      </c>
      <c r="AZ47" s="1117">
        <v>272.74540069099999</v>
      </c>
      <c r="BA47" s="1153">
        <v>48880335</v>
      </c>
      <c r="BB47" s="1117">
        <v>41134.849585857402</v>
      </c>
      <c r="BC47" s="1116">
        <v>2571521</v>
      </c>
      <c r="BD47" s="1116">
        <v>38496738</v>
      </c>
      <c r="BE47" s="1116">
        <v>7164627</v>
      </c>
      <c r="BF47" s="1116">
        <f t="shared" si="11"/>
        <v>48232886</v>
      </c>
      <c r="BG47" s="1116">
        <v>10725302</v>
      </c>
      <c r="BH47" s="1116">
        <v>14315964</v>
      </c>
      <c r="BI47" s="1117">
        <v>87971.820423255005</v>
      </c>
      <c r="BJ47" s="1116">
        <v>1876837</v>
      </c>
      <c r="BK47" s="1116">
        <v>643725445</v>
      </c>
      <c r="BL47" s="1117">
        <v>154857.31946673701</v>
      </c>
      <c r="BM47" s="1116">
        <v>235704713</v>
      </c>
      <c r="BN47" s="1116">
        <v>15963</v>
      </c>
      <c r="BO47" s="1116">
        <v>13676303</v>
      </c>
      <c r="BP47" s="1117">
        <v>65646.808581375997</v>
      </c>
      <c r="BQ47" s="1116">
        <v>23697723</v>
      </c>
      <c r="BR47" s="1116">
        <v>13021</v>
      </c>
      <c r="BS47" s="1116">
        <v>121134</v>
      </c>
      <c r="BT47" s="1327"/>
    </row>
    <row r="48" spans="1:73" s="184" customFormat="1" ht="11.25" customHeight="1">
      <c r="A48" s="1118" t="s">
        <v>568</v>
      </c>
      <c r="B48" s="1118">
        <v>1551916</v>
      </c>
      <c r="C48" s="1119">
        <v>146584.75882705199</v>
      </c>
      <c r="D48" s="1118">
        <v>7981</v>
      </c>
      <c r="E48" s="1119">
        <v>407.42057054999998</v>
      </c>
      <c r="F48" s="1118">
        <f t="shared" si="19"/>
        <v>1559897</v>
      </c>
      <c r="G48" s="1119">
        <f t="shared" ref="G48:G49" si="23">C48+E48</f>
        <v>146992.17939760198</v>
      </c>
      <c r="H48" s="1146">
        <v>20804427</v>
      </c>
      <c r="I48" s="1119">
        <v>66482.159511631005</v>
      </c>
      <c r="J48" s="1118">
        <v>379828</v>
      </c>
      <c r="K48" s="1119">
        <v>315.295314469</v>
      </c>
      <c r="L48" s="1118">
        <v>9344</v>
      </c>
      <c r="M48" s="1119">
        <v>17.515681415</v>
      </c>
      <c r="N48" s="1118">
        <v>2892894</v>
      </c>
      <c r="O48" s="1119">
        <v>1544.9606310700001</v>
      </c>
      <c r="P48" s="1118">
        <v>298384</v>
      </c>
      <c r="Q48" s="1119">
        <v>221.96398890200001</v>
      </c>
      <c r="R48" s="1118">
        <v>1380825</v>
      </c>
      <c r="S48" s="1119">
        <v>872.46414211000001</v>
      </c>
      <c r="T48" s="1118">
        <v>258542</v>
      </c>
      <c r="U48" s="1119">
        <v>127.416812642</v>
      </c>
      <c r="V48" s="1118">
        <v>5219817</v>
      </c>
      <c r="W48" s="1119">
        <v>3099.6165706080001</v>
      </c>
      <c r="X48" s="1119">
        <v>11042.344115533</v>
      </c>
      <c r="Y48" s="1118" t="s">
        <v>568</v>
      </c>
      <c r="Z48" s="1118">
        <v>34930174</v>
      </c>
      <c r="AA48" s="1119">
        <v>34604.735000015004</v>
      </c>
      <c r="AB48" s="1118">
        <v>25248</v>
      </c>
      <c r="AC48" s="1119">
        <v>64.046994241999997</v>
      </c>
      <c r="AD48" s="1118">
        <v>3116923</v>
      </c>
      <c r="AE48" s="1119">
        <v>1039.926718381</v>
      </c>
      <c r="AF48" s="1118">
        <v>124943</v>
      </c>
      <c r="AG48" s="1119">
        <v>79.676479121</v>
      </c>
      <c r="AH48" s="1118">
        <v>3465419</v>
      </c>
      <c r="AI48" s="1119">
        <v>677.84959575699997</v>
      </c>
      <c r="AJ48" s="1118">
        <v>312149</v>
      </c>
      <c r="AK48" s="1119">
        <v>99.970536215999999</v>
      </c>
      <c r="AL48" s="1118">
        <v>41974856</v>
      </c>
      <c r="AM48" s="1119">
        <v>36566.205323732</v>
      </c>
      <c r="AN48" s="1118">
        <v>534219</v>
      </c>
      <c r="AO48" s="1119">
        <v>366.412324055</v>
      </c>
      <c r="AP48" s="1118">
        <v>170201</v>
      </c>
      <c r="AQ48" s="1119">
        <v>61.746814849000003</v>
      </c>
      <c r="AR48" s="1118">
        <v>39619</v>
      </c>
      <c r="AS48" s="1119">
        <v>60.472973000000003</v>
      </c>
      <c r="AT48" s="1118">
        <v>113307</v>
      </c>
      <c r="AU48" s="1119">
        <v>131.125285424</v>
      </c>
      <c r="AV48" s="1118">
        <v>189197</v>
      </c>
      <c r="AW48" s="1119">
        <v>121.69662990099999</v>
      </c>
      <c r="AX48" s="1118" t="s">
        <v>568</v>
      </c>
      <c r="AY48" s="1118">
        <v>342123</v>
      </c>
      <c r="AZ48" s="1119">
        <v>313.29488832499999</v>
      </c>
      <c r="BA48" s="1146">
        <v>48241216</v>
      </c>
      <c r="BB48" s="1119">
        <v>40407.275921569002</v>
      </c>
      <c r="BC48" s="1118">
        <v>2612063</v>
      </c>
      <c r="BD48" s="1118">
        <v>39193282</v>
      </c>
      <c r="BE48" s="1118">
        <v>7365236</v>
      </c>
      <c r="BF48" s="1118">
        <f t="shared" si="11"/>
        <v>49170581</v>
      </c>
      <c r="BG48" s="1118">
        <v>10777632</v>
      </c>
      <c r="BH48" s="1118">
        <v>13939858</v>
      </c>
      <c r="BI48" s="1119">
        <v>88569.994198739005</v>
      </c>
      <c r="BJ48" s="1118">
        <v>1896636</v>
      </c>
      <c r="BK48" s="1118">
        <v>652101737</v>
      </c>
      <c r="BL48" s="1119">
        <v>156787.74285406599</v>
      </c>
      <c r="BM48" s="1118">
        <v>237312515</v>
      </c>
      <c r="BN48" s="1118">
        <v>15957</v>
      </c>
      <c r="BO48" s="1118">
        <v>16028632</v>
      </c>
      <c r="BP48" s="1119">
        <v>67031.555693931004</v>
      </c>
      <c r="BQ48" s="1118">
        <v>23885686</v>
      </c>
      <c r="BR48" s="1118">
        <v>13003</v>
      </c>
      <c r="BS48" s="1118">
        <v>123251</v>
      </c>
      <c r="BT48" s="1327"/>
    </row>
    <row r="49" spans="1:74" s="184" customFormat="1" ht="11.25" customHeight="1">
      <c r="A49" s="1116" t="s">
        <v>561</v>
      </c>
      <c r="B49" s="1116">
        <v>1700018</v>
      </c>
      <c r="C49" s="1117">
        <v>169361.615527683</v>
      </c>
      <c r="D49" s="1116">
        <v>7909</v>
      </c>
      <c r="E49" s="1117">
        <v>400.06020109999997</v>
      </c>
      <c r="F49" s="1153">
        <f t="shared" si="19"/>
        <v>1707927</v>
      </c>
      <c r="G49" s="1117">
        <f t="shared" si="23"/>
        <v>169761.67572878298</v>
      </c>
      <c r="H49" s="1153">
        <v>17450117</v>
      </c>
      <c r="I49" s="1117">
        <v>75175.774627047998</v>
      </c>
      <c r="J49" s="1116">
        <v>411774</v>
      </c>
      <c r="K49" s="1117">
        <v>352.25078053599998</v>
      </c>
      <c r="L49" s="1116">
        <v>9881</v>
      </c>
      <c r="M49" s="1117">
        <v>19.664529341000001</v>
      </c>
      <c r="N49" s="1116">
        <v>3123897</v>
      </c>
      <c r="O49" s="1117">
        <v>1726.461457609</v>
      </c>
      <c r="P49" s="1116">
        <v>309769</v>
      </c>
      <c r="Q49" s="1117">
        <v>247.21729769199999</v>
      </c>
      <c r="R49" s="1116">
        <v>1509374</v>
      </c>
      <c r="S49" s="1117">
        <v>1040.3283317119999</v>
      </c>
      <c r="T49" s="1116">
        <v>273311</v>
      </c>
      <c r="U49" s="1117">
        <v>146.17928572</v>
      </c>
      <c r="V49" s="1116">
        <v>5638006</v>
      </c>
      <c r="W49" s="1117">
        <v>3532.1016826099999</v>
      </c>
      <c r="X49" s="1117">
        <v>11388.681704131001</v>
      </c>
      <c r="Y49" s="1116" t="s">
        <v>561</v>
      </c>
      <c r="Z49" s="1116">
        <v>37291400</v>
      </c>
      <c r="AA49" s="1117">
        <v>38422.895182146</v>
      </c>
      <c r="AB49" s="1116">
        <v>30720</v>
      </c>
      <c r="AC49" s="1117">
        <v>85.467642897000005</v>
      </c>
      <c r="AD49" s="1116">
        <v>3377097</v>
      </c>
      <c r="AE49" s="1117">
        <v>1173.559112182</v>
      </c>
      <c r="AF49" s="1116">
        <v>131380</v>
      </c>
      <c r="AG49" s="1117">
        <v>88.950890060999996</v>
      </c>
      <c r="AH49" s="1116">
        <v>3598063</v>
      </c>
      <c r="AI49" s="1117">
        <v>760.50684917399997</v>
      </c>
      <c r="AJ49" s="1116">
        <v>413883</v>
      </c>
      <c r="AK49" s="1117">
        <v>171.42786662899999</v>
      </c>
      <c r="AL49" s="1116">
        <v>44842543</v>
      </c>
      <c r="AM49" s="1117">
        <v>40702.807543089002</v>
      </c>
      <c r="AN49" s="1116">
        <v>562651</v>
      </c>
      <c r="AO49" s="1117">
        <v>380.560338785</v>
      </c>
      <c r="AP49" s="1116">
        <v>183321</v>
      </c>
      <c r="AQ49" s="1117">
        <v>75.803964808000003</v>
      </c>
      <c r="AR49" s="1116">
        <v>42390</v>
      </c>
      <c r="AS49" s="1117">
        <v>66.645790000000005</v>
      </c>
      <c r="AT49" s="1116">
        <v>149108</v>
      </c>
      <c r="AU49" s="1117">
        <v>149.91616861700001</v>
      </c>
      <c r="AV49" s="1116">
        <v>214433</v>
      </c>
      <c r="AW49" s="1117">
        <v>147.86639612100001</v>
      </c>
      <c r="AX49" s="1116" t="s">
        <v>561</v>
      </c>
      <c r="AY49" s="1116">
        <v>405931</v>
      </c>
      <c r="AZ49" s="1117">
        <v>364.428354738</v>
      </c>
      <c r="BA49" s="1153">
        <v>51632452</v>
      </c>
      <c r="BB49" s="1117">
        <v>45055.701884030001</v>
      </c>
      <c r="BC49" s="1116">
        <v>2674512</v>
      </c>
      <c r="BD49" s="1116">
        <v>39574049</v>
      </c>
      <c r="BE49" s="1116">
        <v>7544985</v>
      </c>
      <c r="BF49" s="1116">
        <f t="shared" si="11"/>
        <v>49793546</v>
      </c>
      <c r="BG49" s="1116">
        <v>11241657</v>
      </c>
      <c r="BH49" s="1116">
        <v>15570815</v>
      </c>
      <c r="BI49" s="1117">
        <v>98917.722013167004</v>
      </c>
      <c r="BJ49" s="1116">
        <v>1828870</v>
      </c>
      <c r="BK49" s="1116">
        <v>670050218</v>
      </c>
      <c r="BL49" s="1117">
        <v>164739.359350796</v>
      </c>
      <c r="BM49" s="1116">
        <v>238676153</v>
      </c>
      <c r="BN49" s="1116">
        <v>16019</v>
      </c>
      <c r="BO49" s="1116">
        <v>14406492</v>
      </c>
      <c r="BP49" s="1117">
        <v>75876.757687566002</v>
      </c>
      <c r="BQ49" s="1116">
        <v>24077039</v>
      </c>
      <c r="BR49" s="1116">
        <v>12859</v>
      </c>
      <c r="BS49" s="1116">
        <v>125641</v>
      </c>
      <c r="BT49" s="1327"/>
    </row>
    <row r="50" spans="1:74" s="184" customFormat="1" ht="11.25" customHeight="1" thickBot="1">
      <c r="A50" s="1801" t="s">
        <v>569</v>
      </c>
      <c r="B50" s="1801">
        <v>1782308</v>
      </c>
      <c r="C50" s="1802">
        <v>175781.73256490199</v>
      </c>
      <c r="D50" s="1801">
        <v>8010</v>
      </c>
      <c r="E50" s="1802">
        <v>540.86600092599997</v>
      </c>
      <c r="F50" s="1801">
        <f t="shared" si="19"/>
        <v>1790318</v>
      </c>
      <c r="G50" s="1802">
        <f t="shared" ref="G50" si="24">C50+E50</f>
        <v>176322.598565828</v>
      </c>
      <c r="H50" s="1803">
        <v>29839489</v>
      </c>
      <c r="I50" s="1802">
        <v>77394.584595598004</v>
      </c>
      <c r="J50" s="1801">
        <v>414212</v>
      </c>
      <c r="K50" s="1802">
        <v>339.66773769999998</v>
      </c>
      <c r="L50" s="1801">
        <v>8623</v>
      </c>
      <c r="M50" s="1802">
        <v>18.341230639999999</v>
      </c>
      <c r="N50" s="1801">
        <v>2972314</v>
      </c>
      <c r="O50" s="1802">
        <v>1684.496177</v>
      </c>
      <c r="P50" s="1801">
        <v>276218</v>
      </c>
      <c r="Q50" s="1802">
        <v>208.3357785</v>
      </c>
      <c r="R50" s="1801">
        <v>1482469</v>
      </c>
      <c r="S50" s="1802">
        <v>1021.723892</v>
      </c>
      <c r="T50" s="1801">
        <v>257348</v>
      </c>
      <c r="U50" s="1802">
        <v>124.2730601</v>
      </c>
      <c r="V50" s="1801">
        <v>5411184</v>
      </c>
      <c r="W50" s="1802">
        <v>3396.8378760000001</v>
      </c>
      <c r="X50" s="1802">
        <v>11488.19743</v>
      </c>
      <c r="Y50" s="1801" t="s">
        <v>569</v>
      </c>
      <c r="Z50" s="1801">
        <v>34981152</v>
      </c>
      <c r="AA50" s="1802">
        <v>37119.134639999997</v>
      </c>
      <c r="AB50" s="1801">
        <v>20287</v>
      </c>
      <c r="AC50" s="1802">
        <v>52.868198030000002</v>
      </c>
      <c r="AD50" s="1801">
        <v>3163300</v>
      </c>
      <c r="AE50" s="1802">
        <v>1108.9625860000001</v>
      </c>
      <c r="AF50" s="1801">
        <v>116131</v>
      </c>
      <c r="AG50" s="1802">
        <v>82.873753440000002</v>
      </c>
      <c r="AH50" s="1801">
        <v>3814078</v>
      </c>
      <c r="AI50" s="1802">
        <v>818.41131110000003</v>
      </c>
      <c r="AJ50" s="1801">
        <v>363091</v>
      </c>
      <c r="AK50" s="1802">
        <v>135.37291160000001</v>
      </c>
      <c r="AL50" s="1801">
        <v>42458039</v>
      </c>
      <c r="AM50" s="1802">
        <v>39317.623399999997</v>
      </c>
      <c r="AN50" s="1801">
        <v>585157</v>
      </c>
      <c r="AO50" s="1802">
        <v>423.47096929999998</v>
      </c>
      <c r="AP50" s="1801">
        <v>176184</v>
      </c>
      <c r="AQ50" s="1802">
        <v>59.055934530000002</v>
      </c>
      <c r="AR50" s="1801">
        <v>46897</v>
      </c>
      <c r="AS50" s="1802">
        <v>75.572730000000007</v>
      </c>
      <c r="AT50" s="1801">
        <v>166339</v>
      </c>
      <c r="AU50" s="1802">
        <v>164.5601408</v>
      </c>
      <c r="AV50" s="1801">
        <v>218790</v>
      </c>
      <c r="AW50" s="1802">
        <v>157.06514079999999</v>
      </c>
      <c r="AX50" s="1801" t="s">
        <v>569</v>
      </c>
      <c r="AY50" s="1801">
        <v>432026</v>
      </c>
      <c r="AZ50" s="1802">
        <v>397.19801159999997</v>
      </c>
      <c r="BA50" s="1803">
        <v>49062590</v>
      </c>
      <c r="BB50" s="1802">
        <v>43594.186199999996</v>
      </c>
      <c r="BC50" s="1801">
        <v>2706098</v>
      </c>
      <c r="BD50" s="1801">
        <v>40093882</v>
      </c>
      <c r="BE50" s="1801">
        <v>7547244</v>
      </c>
      <c r="BF50" s="1801">
        <f t="shared" si="11"/>
        <v>50347224</v>
      </c>
      <c r="BG50" s="1801">
        <v>11507303</v>
      </c>
      <c r="BH50" s="1801">
        <v>17168234</v>
      </c>
      <c r="BI50" s="1802">
        <v>104749.557414544</v>
      </c>
      <c r="BJ50" s="1801">
        <v>1841979</v>
      </c>
      <c r="BK50" s="1801">
        <v>721866474</v>
      </c>
      <c r="BL50" s="1802">
        <v>171664.11689614801</v>
      </c>
      <c r="BM50" s="1801">
        <v>239302991</v>
      </c>
      <c r="BN50" s="1801">
        <v>15912</v>
      </c>
      <c r="BO50" s="1801">
        <v>16257689</v>
      </c>
      <c r="BP50" s="1802">
        <v>66265.454218568004</v>
      </c>
      <c r="BQ50" s="1801">
        <v>24277971</v>
      </c>
      <c r="BR50" s="1801">
        <v>12946</v>
      </c>
      <c r="BS50" s="1801">
        <v>125569</v>
      </c>
      <c r="BT50" s="1327"/>
    </row>
    <row r="51" spans="1:74">
      <c r="A51" s="1300" t="s">
        <v>2247</v>
      </c>
      <c r="B51" s="1300"/>
      <c r="C51" s="1300"/>
      <c r="D51" s="1300"/>
      <c r="E51" s="1300"/>
      <c r="F51" s="1302"/>
      <c r="G51" s="1302"/>
      <c r="H51" s="1302"/>
      <c r="I51" s="1302"/>
      <c r="J51" s="774"/>
      <c r="L51" s="12" t="s">
        <v>2246</v>
      </c>
      <c r="M51" s="31"/>
      <c r="N51" s="31"/>
      <c r="O51" s="31"/>
      <c r="P51" s="31"/>
      <c r="Q51" s="31"/>
      <c r="AA51" s="1147"/>
      <c r="AE51" s="1147"/>
      <c r="AI51" s="1147"/>
      <c r="AY51" s="1374"/>
      <c r="BA51" s="1"/>
      <c r="BC51" s="1"/>
      <c r="BD51" s="1169"/>
      <c r="BE51" s="1169"/>
      <c r="BF51" s="1"/>
      <c r="BG51" s="1169"/>
      <c r="BH51" s="1169"/>
      <c r="BI51" s="1168"/>
      <c r="BJ51" s="1308"/>
      <c r="BK51" s="1157"/>
      <c r="BL51" s="1168"/>
      <c r="BM51" s="1308"/>
      <c r="BN51" s="1309"/>
      <c r="BO51" s="1308"/>
      <c r="BP51" s="1168"/>
      <c r="BQ51" s="1168"/>
      <c r="BS51" s="1308"/>
      <c r="BT51" s="1147"/>
      <c r="BU51" s="1327"/>
      <c r="BV51" s="184"/>
    </row>
    <row r="52" spans="1:74">
      <c r="A52" s="1301" t="s">
        <v>2242</v>
      </c>
      <c r="B52" s="1301"/>
      <c r="C52" s="1301"/>
      <c r="D52" s="1299"/>
      <c r="E52" s="1299"/>
      <c r="F52" s="1299"/>
      <c r="G52" s="1307"/>
      <c r="H52" s="1157"/>
      <c r="I52" s="1148"/>
      <c r="J52" s="1310"/>
      <c r="K52" s="1213"/>
      <c r="S52" s="1147"/>
      <c r="AA52" s="1147"/>
      <c r="AC52" s="1147"/>
      <c r="AE52" s="1147"/>
      <c r="AI52" s="1147"/>
      <c r="AJ52" s="1147"/>
      <c r="BB52" s="1169"/>
      <c r="BC52" s="1"/>
      <c r="BD52" s="1169"/>
      <c r="BE52" s="1169"/>
      <c r="BF52" s="1"/>
      <c r="BG52" s="1308"/>
      <c r="BH52" s="1157"/>
      <c r="BI52" s="1168"/>
      <c r="BJ52" s="1308"/>
      <c r="BK52" s="1157"/>
      <c r="BL52" s="1168"/>
      <c r="BM52" s="1308"/>
      <c r="BN52" s="1309"/>
      <c r="BO52" s="1168"/>
      <c r="BP52" s="1169"/>
      <c r="BQ52" s="1168"/>
      <c r="BR52" s="1147"/>
      <c r="BS52" s="1308"/>
      <c r="BT52" s="1147"/>
      <c r="BU52" s="1327"/>
      <c r="BV52" s="184"/>
    </row>
    <row r="53" spans="1:74">
      <c r="A53" s="1298"/>
      <c r="B53" s="1218"/>
      <c r="C53" s="1213"/>
      <c r="D53" s="1213"/>
      <c r="E53" s="1120"/>
      <c r="F53" s="1213"/>
      <c r="G53" s="1213"/>
      <c r="H53" s="1213"/>
      <c r="I53" s="1148"/>
      <c r="J53" s="1147"/>
      <c r="K53" s="1213"/>
      <c r="L53" s="1120"/>
      <c r="M53" s="1120"/>
      <c r="N53" s="1120"/>
      <c r="O53" s="1213"/>
      <c r="P53" s="1120"/>
      <c r="Q53" s="236"/>
      <c r="R53" s="236"/>
      <c r="S53" s="1147"/>
      <c r="T53" s="236"/>
      <c r="U53" s="236"/>
      <c r="V53" s="236"/>
      <c r="W53" s="236"/>
      <c r="X53" s="236"/>
      <c r="Y53" s="236"/>
      <c r="Z53" s="236"/>
      <c r="AA53" s="1147"/>
      <c r="AB53" s="236"/>
      <c r="AC53" s="1147"/>
      <c r="AD53" s="236"/>
      <c r="AE53" s="1147"/>
      <c r="AF53" s="236"/>
      <c r="AG53" s="236"/>
      <c r="AH53" s="236"/>
      <c r="AI53" s="1147"/>
      <c r="AJ53" s="1147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B53" s="1169"/>
      <c r="BC53" s="1"/>
      <c r="BD53" s="1169"/>
      <c r="BE53" s="1169"/>
      <c r="BF53" s="1"/>
      <c r="BG53" s="1"/>
      <c r="BH53" s="1168"/>
      <c r="BI53" s="1168"/>
      <c r="BJ53" s="1308"/>
      <c r="BK53" s="1157"/>
      <c r="BL53" s="1168"/>
      <c r="BM53" s="1309"/>
      <c r="BO53" s="1168"/>
      <c r="BP53" s="1168"/>
      <c r="BQ53" s="1168"/>
      <c r="BR53" s="1147"/>
      <c r="BS53" s="1308"/>
      <c r="BT53" s="1147"/>
      <c r="BU53" s="1327"/>
      <c r="BV53" s="184"/>
    </row>
    <row r="54" spans="1:74">
      <c r="G54" s="1147"/>
      <c r="BC54" s="1"/>
      <c r="BD54" s="1310"/>
      <c r="BE54" s="1310"/>
      <c r="BF54" s="1"/>
      <c r="BG54" s="1"/>
      <c r="BH54" s="1310"/>
      <c r="BI54" s="1310"/>
      <c r="BJ54" s="1310"/>
      <c r="BK54" s="1310"/>
      <c r="BL54" s="1310"/>
      <c r="BM54" s="1310"/>
      <c r="BO54" s="1310"/>
      <c r="BP54" s="1310"/>
      <c r="BQ54" s="1168"/>
      <c r="BR54" s="1147"/>
      <c r="BS54" s="1310"/>
      <c r="BT54" s="1147"/>
      <c r="BU54" s="1327"/>
      <c r="BV54" s="184"/>
    </row>
    <row r="55" spans="1:74">
      <c r="I55" s="1315"/>
      <c r="J55" s="1310"/>
      <c r="K55" s="1310"/>
      <c r="L55" s="1310"/>
      <c r="M55" s="1310"/>
      <c r="N55" s="1310"/>
      <c r="O55" s="1310"/>
      <c r="P55" s="1310"/>
      <c r="Q55" s="1310"/>
      <c r="R55" s="1310"/>
      <c r="S55" s="1310"/>
      <c r="T55" s="1310"/>
      <c r="U55" s="1310"/>
      <c r="V55" s="1310"/>
      <c r="W55" s="1310"/>
      <c r="X55" s="1310"/>
      <c r="Y55" s="1310"/>
      <c r="Z55" s="1310"/>
      <c r="AA55" s="1310"/>
      <c r="AB55" s="1310"/>
      <c r="AC55" s="1310"/>
      <c r="AD55" s="1310"/>
      <c r="AE55" s="1310"/>
      <c r="AF55" s="1310"/>
      <c r="AG55" s="1310"/>
      <c r="AH55" s="1310"/>
      <c r="AI55" s="1310"/>
      <c r="AJ55" s="1310"/>
      <c r="AK55" s="1310"/>
      <c r="AL55" s="1310"/>
      <c r="AM55" s="1310"/>
      <c r="AN55" s="1310"/>
      <c r="AO55" s="1310"/>
      <c r="AP55" s="1310"/>
      <c r="AQ55" s="1310"/>
      <c r="AR55" s="1310"/>
      <c r="AS55" s="1310"/>
      <c r="AT55" s="1310"/>
      <c r="AU55" s="1310"/>
      <c r="AV55" s="1310"/>
      <c r="AW55" s="1310"/>
      <c r="AX55" s="1310"/>
      <c r="AY55" s="1310"/>
      <c r="AZ55" s="1310"/>
      <c r="BA55" s="1310"/>
      <c r="BB55" s="1310"/>
      <c r="BC55" s="1310"/>
      <c r="BD55" s="1310"/>
      <c r="BE55" s="1310"/>
      <c r="BF55" s="1"/>
      <c r="BG55" s="1"/>
      <c r="BH55" s="1310"/>
      <c r="BI55" s="1310"/>
      <c r="BJ55" s="1310"/>
      <c r="BK55" s="1310"/>
      <c r="BL55" s="1310"/>
      <c r="BM55" s="1310"/>
      <c r="BO55" s="1310"/>
      <c r="BP55" s="1310"/>
      <c r="BQ55" s="1168"/>
      <c r="BR55" s="1147"/>
      <c r="BS55" s="1310"/>
      <c r="BT55" s="1147"/>
      <c r="BU55" s="1327"/>
      <c r="BV55" s="184"/>
    </row>
    <row r="56" spans="1:74">
      <c r="B56" s="1169"/>
      <c r="C56" s="1310"/>
      <c r="D56" s="1310"/>
      <c r="E56" s="1310"/>
      <c r="F56" s="1310"/>
      <c r="G56" s="1310"/>
      <c r="H56" s="481"/>
      <c r="I56" s="481"/>
      <c r="J56" s="1147"/>
      <c r="K56" s="1213"/>
      <c r="AA56" s="1310"/>
      <c r="AC56" s="1147"/>
      <c r="AE56" s="1147"/>
      <c r="AG56" s="1310"/>
      <c r="AI56" s="1147"/>
      <c r="AK56" s="1310"/>
      <c r="AM56" s="1310"/>
      <c r="BC56" s="1235"/>
      <c r="BF56" s="1"/>
      <c r="BG56" s="1"/>
      <c r="BI56" s="1147"/>
      <c r="BO56" s="1147"/>
      <c r="BP56" s="1147"/>
      <c r="BR56" s="1147"/>
      <c r="BU56" s="1327"/>
      <c r="BV56" s="184"/>
    </row>
    <row r="57" spans="1:74">
      <c r="C57" s="1310"/>
      <c r="D57" s="1310"/>
      <c r="E57" s="1316"/>
      <c r="F57" s="1310"/>
      <c r="G57" s="1310"/>
      <c r="H57" s="1463"/>
      <c r="I57" s="1463"/>
      <c r="J57" s="1316"/>
      <c r="K57" s="1279"/>
      <c r="L57" s="1279"/>
      <c r="M57" s="1279"/>
      <c r="N57" s="1279"/>
      <c r="O57" s="1279"/>
      <c r="P57" s="1157"/>
      <c r="Q57" s="1279"/>
      <c r="R57" s="1279"/>
      <c r="S57" s="1279"/>
      <c r="T57" s="1279"/>
      <c r="U57" s="1279"/>
      <c r="V57" s="1279"/>
      <c r="W57" s="1279"/>
      <c r="X57" s="1279"/>
      <c r="Y57" s="1279"/>
      <c r="Z57" s="1279"/>
      <c r="AA57" s="1279"/>
      <c r="AB57" s="1279"/>
      <c r="AC57" s="1279"/>
      <c r="AD57" s="1279"/>
      <c r="AE57" s="1279"/>
      <c r="AF57" s="1279"/>
      <c r="AG57" s="1279"/>
      <c r="AH57" s="1279"/>
      <c r="AI57" s="1279"/>
      <c r="AJ57" s="1279"/>
      <c r="AK57" s="1279"/>
      <c r="AL57" s="1279"/>
      <c r="AM57" s="1279"/>
      <c r="AN57" s="1279"/>
      <c r="AO57" s="1279"/>
      <c r="AP57" s="1279"/>
      <c r="AQ57" s="1279"/>
      <c r="AR57" s="1279"/>
      <c r="AS57" s="1279"/>
      <c r="BC57" s="1235"/>
      <c r="BF57" s="1"/>
      <c r="BG57" s="1169"/>
      <c r="BO57" s="1147"/>
      <c r="BP57" s="1147"/>
      <c r="BR57" s="1147"/>
      <c r="BU57" s="1327"/>
      <c r="BV57" s="184"/>
    </row>
    <row r="58" spans="1:74">
      <c r="C58" s="1310"/>
      <c r="D58" s="1316"/>
      <c r="E58" s="1316"/>
      <c r="F58" s="1316"/>
      <c r="G58" s="1317"/>
      <c r="H58" s="1279"/>
      <c r="I58" s="1316"/>
      <c r="J58" s="1316"/>
      <c r="K58" s="1279"/>
      <c r="L58" s="1279"/>
      <c r="M58" s="1279"/>
      <c r="N58" s="1279"/>
      <c r="O58" s="1279"/>
      <c r="P58" s="1279"/>
      <c r="Q58" s="1279"/>
      <c r="R58" s="1279"/>
      <c r="S58" s="1279"/>
      <c r="T58" s="1279"/>
      <c r="U58" s="1279"/>
      <c r="V58" s="1279"/>
      <c r="W58" s="1279"/>
      <c r="X58" s="1279"/>
      <c r="Y58" s="1279"/>
      <c r="Z58" s="1279"/>
      <c r="AA58" s="1279"/>
      <c r="AB58" s="1279"/>
      <c r="AC58" s="1279"/>
      <c r="AD58" s="1279"/>
      <c r="AE58" s="1279"/>
      <c r="AF58" s="1279"/>
      <c r="AG58" s="1279"/>
      <c r="AH58" s="1279"/>
      <c r="AI58" s="1279"/>
      <c r="AJ58" s="1279"/>
      <c r="AK58" s="1279"/>
      <c r="AL58" s="1279"/>
      <c r="AM58" s="1279"/>
      <c r="AN58" s="1279"/>
      <c r="AO58" s="1279"/>
      <c r="AP58" s="1279"/>
      <c r="AQ58" s="1279"/>
      <c r="AR58" s="1279"/>
      <c r="AS58" s="1279"/>
      <c r="BC58" s="1235"/>
      <c r="BF58" s="1"/>
      <c r="BG58" s="1169"/>
      <c r="BO58" s="1147"/>
      <c r="BR58" s="1147"/>
      <c r="BU58" s="1327"/>
      <c r="BV58" s="184"/>
    </row>
    <row r="59" spans="1:74">
      <c r="B59" s="1147"/>
      <c r="C59" s="1168"/>
      <c r="D59" s="1169"/>
      <c r="E59" s="1147"/>
      <c r="F59" s="1168"/>
      <c r="G59" s="1169"/>
      <c r="H59" s="1"/>
      <c r="I59" s="1148"/>
      <c r="J59" s="1147"/>
      <c r="BC59" s="1235"/>
      <c r="BF59" s="1"/>
      <c r="BG59" s="1169"/>
      <c r="BR59" s="1147"/>
      <c r="BU59" s="1327"/>
      <c r="BV59" s="184"/>
    </row>
    <row r="60" spans="1:74">
      <c r="B60" s="1147"/>
      <c r="C60" s="1168"/>
      <c r="D60" s="1168"/>
      <c r="E60" s="1168"/>
      <c r="F60" s="1168"/>
      <c r="G60" s="1168"/>
      <c r="H60" s="1168"/>
      <c r="I60" s="1168"/>
      <c r="J60" s="1168"/>
      <c r="K60" s="1168"/>
      <c r="L60" s="1168"/>
      <c r="M60" s="1168"/>
      <c r="N60" s="1168"/>
      <c r="O60" s="1168"/>
      <c r="P60" s="1168"/>
      <c r="Q60" s="1168"/>
      <c r="R60" s="1168"/>
      <c r="S60" s="1168"/>
      <c r="T60" s="1168"/>
      <c r="U60" s="1168"/>
      <c r="V60" s="1168"/>
      <c r="W60" s="1168"/>
      <c r="X60" s="1168"/>
      <c r="Y60" s="1168"/>
      <c r="Z60" s="1168"/>
      <c r="AA60" s="1168"/>
      <c r="AB60" s="1168"/>
      <c r="AC60" s="1168"/>
      <c r="AD60" s="1168"/>
      <c r="AE60" s="1168"/>
      <c r="AF60" s="1168"/>
      <c r="AG60" s="1168"/>
      <c r="AH60" s="1168"/>
      <c r="AI60" s="1168"/>
      <c r="AJ60" s="1168"/>
      <c r="AK60" s="1168"/>
      <c r="AL60" s="1168"/>
      <c r="AM60" s="1168"/>
      <c r="AN60" s="1168"/>
      <c r="AO60" s="1168"/>
      <c r="AP60" s="1168"/>
      <c r="AQ60" s="1168"/>
      <c r="AR60" s="1168"/>
      <c r="AS60" s="1168"/>
      <c r="BC60" s="1235"/>
      <c r="BF60" s="1"/>
      <c r="BG60" s="1169"/>
      <c r="BU60" s="1327"/>
      <c r="BV60" s="184"/>
    </row>
    <row r="61" spans="1:74">
      <c r="B61" s="1147"/>
      <c r="C61" s="1168"/>
      <c r="D61" s="1168"/>
      <c r="E61" s="1168"/>
      <c r="F61" s="1168"/>
      <c r="G61" s="1168"/>
      <c r="H61" s="1168"/>
      <c r="I61" s="1168"/>
      <c r="J61" s="1168"/>
      <c r="K61" s="1168"/>
      <c r="L61" s="1168"/>
      <c r="M61" s="1168"/>
      <c r="N61" s="1168"/>
      <c r="O61" s="1168"/>
      <c r="P61" s="1168"/>
      <c r="Q61" s="1168"/>
      <c r="R61" s="1168"/>
      <c r="S61" s="1168"/>
      <c r="T61" s="1168"/>
      <c r="U61" s="1168"/>
      <c r="V61" s="1168"/>
      <c r="W61" s="1168"/>
      <c r="X61" s="1168"/>
      <c r="Y61" s="1168"/>
      <c r="Z61" s="1168"/>
      <c r="AA61" s="1168"/>
      <c r="AB61" s="1168"/>
      <c r="AC61" s="1168"/>
      <c r="AD61" s="1168"/>
      <c r="AE61" s="1168"/>
      <c r="AF61" s="1168"/>
      <c r="AG61" s="1168"/>
      <c r="AH61" s="1168"/>
      <c r="AI61" s="1168"/>
      <c r="AJ61" s="1168"/>
      <c r="AK61" s="1168"/>
      <c r="AL61" s="1168"/>
      <c r="AM61" s="1168"/>
      <c r="AN61" s="1168"/>
      <c r="AO61" s="1168"/>
      <c r="AP61" s="1168"/>
      <c r="AQ61" s="1168"/>
      <c r="AR61" s="1168"/>
      <c r="AS61" s="1168"/>
      <c r="BC61" s="1235"/>
      <c r="BF61" s="1"/>
      <c r="BG61" s="1169"/>
      <c r="BU61" s="1327"/>
      <c r="BV61" s="184"/>
    </row>
    <row r="62" spans="1:74">
      <c r="C62" s="1169"/>
      <c r="D62" s="1169"/>
      <c r="F62" s="1169"/>
      <c r="G62" s="1169"/>
      <c r="H62" s="1"/>
      <c r="I62" s="1"/>
      <c r="BC62" s="1235"/>
      <c r="BF62" s="1"/>
      <c r="BG62" s="1169"/>
      <c r="BU62" s="1327"/>
      <c r="BV62" s="184"/>
    </row>
    <row r="63" spans="1:74">
      <c r="C63" s="1169"/>
      <c r="D63" s="1169"/>
      <c r="F63" s="1169"/>
      <c r="G63" s="1169"/>
      <c r="H63" s="1"/>
      <c r="I63" s="1"/>
      <c r="BF63" s="1"/>
      <c r="BG63" s="236"/>
      <c r="BU63" s="1327"/>
      <c r="BV63" s="184"/>
    </row>
    <row r="65" spans="62:110">
      <c r="BJ65" s="1169"/>
      <c r="BK65" s="1169"/>
      <c r="BL65" s="1169"/>
      <c r="BM65" s="1169"/>
      <c r="BN65" s="1169"/>
      <c r="BO65" s="1169"/>
      <c r="BP65" s="1169"/>
      <c r="BQ65" s="1169"/>
      <c r="BR65" s="1169"/>
      <c r="BS65" s="1169"/>
      <c r="BT65" s="1169"/>
      <c r="BU65" s="1169"/>
      <c r="BV65" s="1169"/>
      <c r="BW65" s="1169"/>
      <c r="BX65" s="1169"/>
      <c r="BY65" s="1169"/>
      <c r="BZ65" s="1169"/>
      <c r="CA65" s="1169"/>
      <c r="CB65" s="1169"/>
      <c r="CC65" s="1169"/>
      <c r="CD65" s="1169"/>
      <c r="CE65" s="1169"/>
      <c r="CF65" s="1169"/>
      <c r="CG65" s="1169"/>
      <c r="CH65" s="1169"/>
      <c r="CI65" s="1169"/>
      <c r="CJ65" s="1169"/>
      <c r="CK65" s="1169"/>
      <c r="CL65" s="1169"/>
      <c r="CM65" s="1169"/>
      <c r="CN65" s="1169"/>
      <c r="CO65" s="1169"/>
      <c r="CP65" s="1169"/>
      <c r="CQ65" s="1169"/>
      <c r="CR65" s="1169"/>
      <c r="CS65" s="1169"/>
      <c r="CT65" s="1169"/>
      <c r="CU65" s="1169"/>
      <c r="CV65" s="1169"/>
      <c r="CW65" s="1169"/>
      <c r="CX65" s="1169"/>
      <c r="CY65" s="1169"/>
      <c r="CZ65" s="1169"/>
      <c r="DA65" s="1169"/>
      <c r="DB65" s="1169"/>
      <c r="DC65" s="1169"/>
      <c r="DD65" s="1169"/>
      <c r="DE65" s="1169"/>
      <c r="DF65" s="1169"/>
    </row>
    <row r="68" spans="62:110">
      <c r="BJ68" s="1169"/>
      <c r="BK68" s="1169"/>
      <c r="BL68" s="1169"/>
      <c r="BM68" s="1169"/>
      <c r="BN68" s="1169"/>
      <c r="BO68" s="1169"/>
    </row>
  </sheetData>
  <customSheetViews>
    <customSheetView guid="{A374FC54-96E3-45F0-9C12-8450400C12DF}" scale="120">
      <pane xSplit="2" ySplit="1" topLeftCell="BH34" activePane="bottomRight" state="frozen"/>
      <selection pane="bottomRight" activeCell="AC49" sqref="AC49"/>
      <pageMargins left="0.511811023622047" right="0.511811023622047" top="0.511811023622047" bottom="0.511811023622047" header="0.31496062992126" footer="0.31496062992126"/>
      <pageSetup paperSize="132" firstPageNumber="22" orientation="portrait" useFirstPageNumber="1" r:id="rId1"/>
      <headerFooter alignWithMargins="0">
        <oddFooter>&amp;C&amp;"Times New Roman,Regular"&amp;8&amp;P</oddFooter>
      </headerFooter>
    </customSheetView>
  </customSheetViews>
  <mergeCells count="98">
    <mergeCell ref="F1:Q1"/>
    <mergeCell ref="U1:X1"/>
    <mergeCell ref="AF1:AQ1"/>
    <mergeCell ref="AS1:AW1"/>
    <mergeCell ref="BK5:BL6"/>
    <mergeCell ref="BG5:BG6"/>
    <mergeCell ref="AD6:AE6"/>
    <mergeCell ref="AJ6:AK6"/>
    <mergeCell ref="AB6:AC6"/>
    <mergeCell ref="BJ3:BM4"/>
    <mergeCell ref="AX3:AX8"/>
    <mergeCell ref="AY3:BB3"/>
    <mergeCell ref="BC3:BF4"/>
    <mergeCell ref="BG3:BI4"/>
    <mergeCell ref="AT8:AU8"/>
    <mergeCell ref="AV8:AW8"/>
    <mergeCell ref="BN3:BQ4"/>
    <mergeCell ref="BR3:BR6"/>
    <mergeCell ref="BS3:BS6"/>
    <mergeCell ref="J4:X4"/>
    <mergeCell ref="Z4:AM4"/>
    <mergeCell ref="AN4:AQ5"/>
    <mergeCell ref="AR4:AW5"/>
    <mergeCell ref="AY4:AZ5"/>
    <mergeCell ref="AT6:AU6"/>
    <mergeCell ref="AH6:AI6"/>
    <mergeCell ref="AV6:AW6"/>
    <mergeCell ref="BQ5:BQ6"/>
    <mergeCell ref="BF5:BF6"/>
    <mergeCell ref="BA4:BB6"/>
    <mergeCell ref="AP6:AQ6"/>
    <mergeCell ref="AU3:AW3"/>
    <mergeCell ref="A3:A8"/>
    <mergeCell ref="B3:G4"/>
    <mergeCell ref="H3:I6"/>
    <mergeCell ref="J3:X3"/>
    <mergeCell ref="Y3:Y8"/>
    <mergeCell ref="R5:U5"/>
    <mergeCell ref="V5:W6"/>
    <mergeCell ref="X5:X6"/>
    <mergeCell ref="B5:C6"/>
    <mergeCell ref="D5:E6"/>
    <mergeCell ref="F5:G6"/>
    <mergeCell ref="T8:U8"/>
    <mergeCell ref="V8:W8"/>
    <mergeCell ref="BE1:BN1"/>
    <mergeCell ref="BP1:BS1"/>
    <mergeCell ref="U2:X2"/>
    <mergeCell ref="AS2:AW2"/>
    <mergeCell ref="BQ2:BS2"/>
    <mergeCell ref="Z5:AC5"/>
    <mergeCell ref="J6:K6"/>
    <mergeCell ref="L6:M6"/>
    <mergeCell ref="N6:O6"/>
    <mergeCell ref="P6:Q6"/>
    <mergeCell ref="R6:S6"/>
    <mergeCell ref="T6:U6"/>
    <mergeCell ref="Z6:AA6"/>
    <mergeCell ref="J5:M5"/>
    <mergeCell ref="N5:Q5"/>
    <mergeCell ref="BE5:BE6"/>
    <mergeCell ref="BH5:BI6"/>
    <mergeCell ref="BN5:BN6"/>
    <mergeCell ref="BO5:BP6"/>
    <mergeCell ref="AN6:AO6"/>
    <mergeCell ref="AY6:AZ6"/>
    <mergeCell ref="BM5:BM6"/>
    <mergeCell ref="BJ5:BJ6"/>
    <mergeCell ref="AR6:AS6"/>
    <mergeCell ref="AD5:AG5"/>
    <mergeCell ref="AH5:AK5"/>
    <mergeCell ref="AL5:AM6"/>
    <mergeCell ref="BC5:BC6"/>
    <mergeCell ref="BD5:BD6"/>
    <mergeCell ref="AF6:AG6"/>
    <mergeCell ref="BK8:BL8"/>
    <mergeCell ref="BO8:BP8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F8:AG8"/>
    <mergeCell ref="AD8:AE8"/>
    <mergeCell ref="AB8:AC8"/>
    <mergeCell ref="AJ8:AK8"/>
    <mergeCell ref="AL8:AM8"/>
    <mergeCell ref="Z8:AA8"/>
    <mergeCell ref="AY8:AZ8"/>
    <mergeCell ref="BA8:BB8"/>
    <mergeCell ref="AN8:AO8"/>
    <mergeCell ref="AP8:AQ8"/>
    <mergeCell ref="AR8:AS8"/>
    <mergeCell ref="AH8:AI8"/>
  </mergeCells>
  <pageMargins left="0.511811023622047" right="0.511811023622047" top="0.511811023622047" bottom="0.511811023622047" header="0.31496062992126" footer="0.31496062992126"/>
  <pageSetup paperSize="448" firstPageNumber="22" orientation="portrait" useFirstPageNumber="1" r:id="rId2"/>
  <headerFooter alignWithMargins="0">
    <oddFooter>&amp;C&amp;"Times New Roman,Regular"&amp;8&amp;P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1:V178"/>
  <sheetViews>
    <sheetView zoomScale="140" zoomScaleNormal="140" workbookViewId="0">
      <pane xSplit="1" ySplit="5" topLeftCell="I44" activePane="bottomRight" state="frozen"/>
      <selection activeCell="F85" sqref="F85"/>
      <selection pane="topRight" activeCell="F85" sqref="F85"/>
      <selection pane="bottomLeft" activeCell="F85" sqref="F85"/>
      <selection pane="bottomRight" activeCell="P61" sqref="P61"/>
    </sheetView>
  </sheetViews>
  <sheetFormatPr defaultColWidth="9.140625" defaultRowHeight="11.25"/>
  <cols>
    <col min="1" max="1" width="10.28515625" style="939" customWidth="1"/>
    <col min="2" max="2" width="10.85546875" style="939" customWidth="1"/>
    <col min="3" max="3" width="11.140625" style="939" customWidth="1"/>
    <col min="4" max="4" width="11" style="939" customWidth="1"/>
    <col min="5" max="5" width="11.28515625" style="939" customWidth="1"/>
    <col min="6" max="6" width="11" style="939" customWidth="1"/>
    <col min="7" max="7" width="12.42578125" style="939" customWidth="1"/>
    <col min="8" max="8" width="8.5703125" style="939" customWidth="1"/>
    <col min="9" max="9" width="9.5703125" style="939" customWidth="1"/>
    <col min="10" max="10" width="10.140625" style="939" customWidth="1"/>
    <col min="11" max="11" width="10.7109375" style="939" customWidth="1"/>
    <col min="12" max="13" width="9.85546875" style="939" customWidth="1"/>
    <col min="14" max="14" width="15.85546875" style="939" customWidth="1"/>
    <col min="15" max="15" width="8.85546875" style="939" customWidth="1"/>
    <col min="16" max="16" width="7.7109375" style="939" customWidth="1"/>
    <col min="17" max="17" width="8.5703125" style="939" customWidth="1"/>
    <col min="18" max="18" width="8.7109375" style="939" customWidth="1"/>
    <col min="19" max="19" width="9.140625" style="939"/>
    <col min="20" max="20" width="9.28515625" style="939" customWidth="1"/>
    <col min="21" max="21" width="13.7109375" style="939" customWidth="1"/>
    <col min="22" max="22" width="12.28515625" style="939" customWidth="1"/>
    <col min="23" max="16384" width="9.140625" style="939"/>
  </cols>
  <sheetData>
    <row r="1" spans="1:22" s="166" customFormat="1" ht="15" customHeight="1">
      <c r="A1" s="1813"/>
      <c r="B1" s="1813"/>
      <c r="C1" s="1813"/>
      <c r="D1" s="1813"/>
      <c r="E1" s="1813"/>
      <c r="F1" s="2186" t="s">
        <v>123</v>
      </c>
      <c r="G1" s="2186"/>
      <c r="H1" s="2185" t="s">
        <v>122</v>
      </c>
      <c r="I1" s="2185"/>
      <c r="J1" s="165"/>
      <c r="K1" s="165"/>
      <c r="L1" s="2186" t="s">
        <v>433</v>
      </c>
      <c r="M1" s="2186"/>
      <c r="N1" s="2186"/>
      <c r="O1" s="2189" t="s">
        <v>230</v>
      </c>
      <c r="P1" s="2189"/>
      <c r="Q1" s="2189"/>
      <c r="R1" s="2189"/>
      <c r="S1" s="2189"/>
      <c r="T1" s="2186" t="s">
        <v>434</v>
      </c>
      <c r="U1" s="2186"/>
      <c r="V1" s="2186"/>
    </row>
    <row r="2" spans="1:22" s="169" customFormat="1" ht="11.25" customHeight="1">
      <c r="A2" s="167"/>
      <c r="B2" s="167"/>
      <c r="C2" s="167"/>
      <c r="D2" s="168"/>
      <c r="F2" s="1586"/>
      <c r="H2" s="168"/>
      <c r="I2" s="168"/>
      <c r="J2" s="168"/>
      <c r="K2" s="168"/>
      <c r="L2" s="2187" t="s">
        <v>24</v>
      </c>
      <c r="M2" s="2187"/>
      <c r="N2" s="2187"/>
      <c r="O2" s="168"/>
      <c r="P2" s="168"/>
      <c r="Q2" s="170"/>
      <c r="R2" s="170"/>
      <c r="S2" s="170"/>
      <c r="T2" s="170"/>
      <c r="U2" s="2187" t="s">
        <v>24</v>
      </c>
      <c r="V2" s="2187"/>
    </row>
    <row r="3" spans="1:22" s="169" customFormat="1" ht="12.75" customHeight="1">
      <c r="A3" s="2180" t="s">
        <v>487</v>
      </c>
      <c r="B3" s="2191" t="s">
        <v>492</v>
      </c>
      <c r="C3" s="2192"/>
      <c r="D3" s="2193"/>
      <c r="E3" s="2190" t="s">
        <v>332</v>
      </c>
      <c r="F3" s="2190"/>
      <c r="G3" s="2190"/>
      <c r="H3" s="2190" t="s">
        <v>911</v>
      </c>
      <c r="I3" s="2190"/>
      <c r="J3" s="2190"/>
      <c r="K3" s="2188" t="s">
        <v>912</v>
      </c>
      <c r="L3" s="2188"/>
      <c r="M3" s="2188"/>
      <c r="N3" s="2194" t="s">
        <v>935</v>
      </c>
      <c r="O3" s="2030" t="s">
        <v>487</v>
      </c>
      <c r="P3" s="2196" t="s">
        <v>915</v>
      </c>
      <c r="Q3" s="2191" t="s">
        <v>914</v>
      </c>
      <c r="R3" s="2192"/>
      <c r="S3" s="2192"/>
      <c r="T3" s="2192"/>
      <c r="U3" s="2193"/>
      <c r="V3" s="2175" t="s">
        <v>1286</v>
      </c>
    </row>
    <row r="4" spans="1:22" s="171" customFormat="1" ht="29.25" customHeight="1">
      <c r="A4" s="2181"/>
      <c r="B4" s="1809" t="s">
        <v>932</v>
      </c>
      <c r="C4" s="1809" t="s">
        <v>933</v>
      </c>
      <c r="D4" s="1809" t="s">
        <v>934</v>
      </c>
      <c r="E4" s="1809" t="s">
        <v>493</v>
      </c>
      <c r="F4" s="1809" t="s">
        <v>494</v>
      </c>
      <c r="G4" s="1809" t="s">
        <v>639</v>
      </c>
      <c r="H4" s="1809" t="s">
        <v>493</v>
      </c>
      <c r="I4" s="1809" t="s">
        <v>494</v>
      </c>
      <c r="J4" s="1809" t="s">
        <v>640</v>
      </c>
      <c r="K4" s="1809" t="s">
        <v>495</v>
      </c>
      <c r="L4" s="1809" t="s">
        <v>484</v>
      </c>
      <c r="M4" s="1809" t="s">
        <v>644</v>
      </c>
      <c r="N4" s="2195"/>
      <c r="O4" s="2183"/>
      <c r="P4" s="2197"/>
      <c r="Q4" s="1810" t="s">
        <v>916</v>
      </c>
      <c r="R4" s="1810" t="s">
        <v>768</v>
      </c>
      <c r="S4" s="1810" t="s">
        <v>769</v>
      </c>
      <c r="T4" s="1810" t="s">
        <v>770</v>
      </c>
      <c r="U4" s="1810" t="s">
        <v>646</v>
      </c>
      <c r="V4" s="2176"/>
    </row>
    <row r="5" spans="1:22" s="222" customFormat="1" ht="17.25" customHeight="1">
      <c r="A5" s="2182"/>
      <c r="B5" s="339">
        <v>1</v>
      </c>
      <c r="C5" s="339">
        <v>2</v>
      </c>
      <c r="D5" s="339" t="s">
        <v>643</v>
      </c>
      <c r="E5" s="339">
        <v>4</v>
      </c>
      <c r="F5" s="339">
        <v>5</v>
      </c>
      <c r="G5" s="339" t="s">
        <v>642</v>
      </c>
      <c r="H5" s="339">
        <v>7</v>
      </c>
      <c r="I5" s="339">
        <v>8</v>
      </c>
      <c r="J5" s="339" t="s">
        <v>641</v>
      </c>
      <c r="K5" s="339">
        <v>10</v>
      </c>
      <c r="L5" s="339">
        <v>11</v>
      </c>
      <c r="M5" s="339" t="s">
        <v>645</v>
      </c>
      <c r="N5" s="339" t="s">
        <v>229</v>
      </c>
      <c r="O5" s="2184"/>
      <c r="P5" s="937">
        <v>14</v>
      </c>
      <c r="Q5" s="937">
        <v>15</v>
      </c>
      <c r="R5" s="937">
        <v>16</v>
      </c>
      <c r="S5" s="937">
        <v>17</v>
      </c>
      <c r="T5" s="937">
        <v>18</v>
      </c>
      <c r="U5" s="938" t="s">
        <v>913</v>
      </c>
      <c r="V5" s="2177"/>
    </row>
    <row r="6" spans="1:22" s="189" customFormat="1" ht="10.5" customHeight="1">
      <c r="A6" s="1700" t="s">
        <v>81</v>
      </c>
      <c r="B6" s="255">
        <v>112345.1</v>
      </c>
      <c r="C6" s="230">
        <v>147983</v>
      </c>
      <c r="D6" s="230">
        <v>-35637.9</v>
      </c>
      <c r="E6" s="255">
        <v>15453.4</v>
      </c>
      <c r="F6" s="255">
        <v>25710.799999999999</v>
      </c>
      <c r="G6" s="255">
        <v>-10257.400000000001</v>
      </c>
      <c r="H6" s="255">
        <v>551.70000000000005</v>
      </c>
      <c r="I6" s="230">
        <v>10566.400000000001</v>
      </c>
      <c r="J6" s="255">
        <v>-10014.700000000001</v>
      </c>
      <c r="K6" s="255">
        <v>864.8</v>
      </c>
      <c r="L6" s="255">
        <v>78001.299999999988</v>
      </c>
      <c r="M6" s="255">
        <v>78866.100000000006</v>
      </c>
      <c r="N6" s="229">
        <v>22956.1</v>
      </c>
      <c r="O6" s="1700" t="s">
        <v>81</v>
      </c>
      <c r="P6" s="255">
        <v>3373.5999999999995</v>
      </c>
      <c r="Q6" s="255">
        <v>6316.4000000000005</v>
      </c>
      <c r="R6" s="255">
        <v>-2029.5</v>
      </c>
      <c r="S6" s="255">
        <v>-820.69999999999936</v>
      </c>
      <c r="T6" s="255">
        <v>-24814.3</v>
      </c>
      <c r="U6" s="229">
        <f t="shared" ref="U6" si="0">Q6+R6+S6+T6</f>
        <v>-21348.1</v>
      </c>
      <c r="V6" s="230">
        <f t="shared" ref="V6" si="1">-(N6+P6+U6)</f>
        <v>-4981.5999999999985</v>
      </c>
    </row>
    <row r="7" spans="1:22" s="190" customFormat="1" ht="10.5" customHeight="1">
      <c r="A7" s="323" t="s">
        <v>190</v>
      </c>
      <c r="B7" s="289">
        <v>164159.20000000001</v>
      </c>
      <c r="C7" s="289">
        <v>216341.09999999998</v>
      </c>
      <c r="D7" s="289">
        <v>-52181.899999999994</v>
      </c>
      <c r="E7" s="289">
        <v>18292.900000000001</v>
      </c>
      <c r="F7" s="289">
        <v>35500.6</v>
      </c>
      <c r="G7" s="289">
        <v>-17207.7</v>
      </c>
      <c r="H7" s="289">
        <v>871.7</v>
      </c>
      <c r="I7" s="289">
        <v>11267.1</v>
      </c>
      <c r="J7" s="289">
        <v>-10395.4</v>
      </c>
      <c r="K7" s="289">
        <v>1047.0999999999999</v>
      </c>
      <c r="L7" s="289">
        <v>84013.2</v>
      </c>
      <c r="M7" s="289">
        <v>85060.299999999988</v>
      </c>
      <c r="N7" s="289">
        <v>5275.3000000000011</v>
      </c>
      <c r="O7" s="323" t="s">
        <v>190</v>
      </c>
      <c r="P7" s="289">
        <v>4138.1000000000004</v>
      </c>
      <c r="Q7" s="289">
        <v>5585.6</v>
      </c>
      <c r="R7" s="289">
        <v>-6109.2000000000007</v>
      </c>
      <c r="S7" s="289">
        <v>-9589.7999999999993</v>
      </c>
      <c r="T7" s="289">
        <v>5351</v>
      </c>
      <c r="U7" s="289">
        <v>-4762.3999999999996</v>
      </c>
      <c r="V7" s="289">
        <v>-4651.0000000000018</v>
      </c>
    </row>
    <row r="8" spans="1:22" s="162" customFormat="1" ht="10.5" customHeight="1">
      <c r="A8" s="1700" t="s">
        <v>731</v>
      </c>
      <c r="B8" s="230">
        <v>193375.5</v>
      </c>
      <c r="C8" s="230">
        <v>253042.2</v>
      </c>
      <c r="D8" s="230">
        <v>-59666.7</v>
      </c>
      <c r="E8" s="230">
        <v>19370.400000000001</v>
      </c>
      <c r="F8" s="230">
        <v>41880.299999999996</v>
      </c>
      <c r="G8" s="230">
        <v>-22509.899999999998</v>
      </c>
      <c r="H8" s="230">
        <v>1523.3000000000002</v>
      </c>
      <c r="I8" s="230">
        <v>13242.2</v>
      </c>
      <c r="J8" s="230">
        <v>-11718.9</v>
      </c>
      <c r="K8" s="230">
        <v>829.19999999999993</v>
      </c>
      <c r="L8" s="230">
        <v>101982.6</v>
      </c>
      <c r="M8" s="230">
        <v>102811.8</v>
      </c>
      <c r="N8" s="230">
        <v>8916.2999999999993</v>
      </c>
      <c r="O8" s="1700" t="s">
        <v>731</v>
      </c>
      <c r="P8" s="230">
        <v>3678.5</v>
      </c>
      <c r="Q8" s="230">
        <v>9088.2000000000007</v>
      </c>
      <c r="R8" s="230">
        <v>4142.6000000000004</v>
      </c>
      <c r="S8" s="230">
        <v>-17391</v>
      </c>
      <c r="T8" s="230">
        <v>-2324.4999999999991</v>
      </c>
      <c r="U8" s="230">
        <v>-6484.699999999998</v>
      </c>
      <c r="V8" s="230">
        <v>-6110.1000000000022</v>
      </c>
    </row>
    <row r="9" spans="1:22" s="162" customFormat="1" ht="10.5" customHeight="1">
      <c r="A9" s="323" t="s">
        <v>1035</v>
      </c>
      <c r="B9" s="289">
        <v>211643</v>
      </c>
      <c r="C9" s="289">
        <v>272427.10000000003</v>
      </c>
      <c r="D9" s="289">
        <v>-60784.099999999991</v>
      </c>
      <c r="E9" s="289">
        <v>22601.1</v>
      </c>
      <c r="F9" s="289">
        <v>48387.100000000006</v>
      </c>
      <c r="G9" s="289">
        <v>-25786.000000000004</v>
      </c>
      <c r="H9" s="289">
        <v>965.00000000000011</v>
      </c>
      <c r="I9" s="289">
        <v>19441.600000000002</v>
      </c>
      <c r="J9" s="289">
        <v>-18476.600000000002</v>
      </c>
      <c r="K9" s="289">
        <v>516.6</v>
      </c>
      <c r="L9" s="289">
        <v>119520.40000000001</v>
      </c>
      <c r="M9" s="289">
        <v>120037</v>
      </c>
      <c r="N9" s="289">
        <v>14990.300000000003</v>
      </c>
      <c r="O9" s="323" t="s">
        <v>1035</v>
      </c>
      <c r="P9" s="289">
        <v>4690.7999999999993</v>
      </c>
      <c r="Q9" s="289">
        <v>-13776.300000000001</v>
      </c>
      <c r="R9" s="289">
        <v>742.90000000000009</v>
      </c>
      <c r="S9" s="289">
        <v>-15951.5</v>
      </c>
      <c r="T9" s="289">
        <v>41316</v>
      </c>
      <c r="U9" s="289">
        <v>12331.100000000002</v>
      </c>
      <c r="V9" s="289">
        <v>-7350.0000000000018</v>
      </c>
    </row>
    <row r="10" spans="1:22" s="162" customFormat="1" ht="10.5" customHeight="1">
      <c r="A10" s="1700" t="s">
        <v>1019</v>
      </c>
      <c r="B10" s="230">
        <v>230946.3</v>
      </c>
      <c r="C10" s="230">
        <v>286835.69999999995</v>
      </c>
      <c r="D10" s="230">
        <v>-55889.4</v>
      </c>
      <c r="E10" s="230">
        <v>24212.899999999998</v>
      </c>
      <c r="F10" s="230">
        <v>56129.399999999994</v>
      </c>
      <c r="G10" s="230">
        <v>-31916.5</v>
      </c>
      <c r="H10" s="230">
        <v>1011.5000000000001</v>
      </c>
      <c r="I10" s="230">
        <v>21168.1</v>
      </c>
      <c r="J10" s="230">
        <v>-20156.599999999999</v>
      </c>
      <c r="K10" s="230">
        <v>615.20000000000005</v>
      </c>
      <c r="L10" s="230">
        <v>115425</v>
      </c>
      <c r="M10" s="230">
        <v>116040.2</v>
      </c>
      <c r="N10" s="230">
        <v>8077.7000000000044</v>
      </c>
      <c r="O10" s="1700" t="s">
        <v>1019</v>
      </c>
      <c r="P10" s="230">
        <v>5009.5</v>
      </c>
      <c r="Q10" s="230">
        <v>-11562.9</v>
      </c>
      <c r="R10" s="230">
        <v>-3019.8999999999996</v>
      </c>
      <c r="S10" s="230">
        <v>-17019.400000000001</v>
      </c>
      <c r="T10" s="230">
        <v>45942.100000000006</v>
      </c>
      <c r="U10" s="230">
        <v>14339.899999999998</v>
      </c>
      <c r="V10" s="230">
        <v>1252.6999999999916</v>
      </c>
    </row>
    <row r="11" spans="1:22" s="162" customFormat="1" ht="10.5" customHeight="1">
      <c r="A11" s="323" t="s">
        <v>1070</v>
      </c>
      <c r="B11" s="289">
        <v>238483.7</v>
      </c>
      <c r="C11" s="289">
        <v>284654.7</v>
      </c>
      <c r="D11" s="289">
        <v>-46170.999999999993</v>
      </c>
      <c r="E11" s="289">
        <v>23956.9</v>
      </c>
      <c r="F11" s="289">
        <v>64556.600000000006</v>
      </c>
      <c r="G11" s="289">
        <v>-40599.699999999997</v>
      </c>
      <c r="H11" s="289">
        <v>582.6</v>
      </c>
      <c r="I11" s="289">
        <v>22769.799999999996</v>
      </c>
      <c r="J11" s="289">
        <v>-22187.200000000001</v>
      </c>
      <c r="K11" s="289">
        <v>594.6</v>
      </c>
      <c r="L11" s="289">
        <v>122888.8</v>
      </c>
      <c r="M11" s="289">
        <v>123483.4</v>
      </c>
      <c r="N11" s="289">
        <v>14525.500000000015</v>
      </c>
      <c r="O11" s="323" t="s">
        <v>1070</v>
      </c>
      <c r="P11" s="289">
        <v>4024.8999999999996</v>
      </c>
      <c r="Q11" s="289">
        <v>-14216.999999999998</v>
      </c>
      <c r="R11" s="289">
        <v>-4157.5</v>
      </c>
      <c r="S11" s="289">
        <v>-3579.9999999999991</v>
      </c>
      <c r="T11" s="289">
        <v>33041</v>
      </c>
      <c r="U11" s="289">
        <v>11086.5</v>
      </c>
      <c r="V11" s="289">
        <v>-7463.9000000000133</v>
      </c>
    </row>
    <row r="12" spans="1:22" s="162" customFormat="1" ht="10.5" customHeight="1">
      <c r="A12" s="1700" t="s">
        <v>1193</v>
      </c>
      <c r="B12" s="230">
        <v>261822.6</v>
      </c>
      <c r="C12" s="230">
        <v>303951.89999999997</v>
      </c>
      <c r="D12" s="230">
        <v>-42129.299999999996</v>
      </c>
      <c r="E12" s="230">
        <v>27156.699999999997</v>
      </c>
      <c r="F12" s="230">
        <v>57509.7</v>
      </c>
      <c r="G12" s="230">
        <v>-30353</v>
      </c>
      <c r="H12" s="230">
        <v>1200.1000000000001</v>
      </c>
      <c r="I12" s="230">
        <v>20802</v>
      </c>
      <c r="J12" s="230">
        <v>-19601.899999999998</v>
      </c>
      <c r="K12" s="230">
        <v>532.1</v>
      </c>
      <c r="L12" s="230">
        <v>119572.5</v>
      </c>
      <c r="M12" s="230">
        <v>120104.59999999999</v>
      </c>
      <c r="N12" s="230">
        <v>28020.399999999994</v>
      </c>
      <c r="O12" s="1700" t="s">
        <v>1193</v>
      </c>
      <c r="P12" s="230">
        <v>3748.4</v>
      </c>
      <c r="Q12" s="230">
        <v>-15496</v>
      </c>
      <c r="R12" s="230">
        <v>3977.3</v>
      </c>
      <c r="S12" s="230">
        <v>-13250.5</v>
      </c>
      <c r="T12" s="230">
        <v>42962.3</v>
      </c>
      <c r="U12" s="230">
        <v>18193.099999999999</v>
      </c>
      <c r="V12" s="230">
        <v>-13575.699999999997</v>
      </c>
    </row>
    <row r="13" spans="1:22" s="164" customFormat="1" ht="10.5" customHeight="1">
      <c r="A13" s="1822" t="s">
        <v>1225</v>
      </c>
      <c r="B13" s="337">
        <v>269251.7</v>
      </c>
      <c r="C13" s="337">
        <v>334930</v>
      </c>
      <c r="D13" s="337">
        <v>-65678.300000000017</v>
      </c>
      <c r="E13" s="337">
        <v>28718.6</v>
      </c>
      <c r="F13" s="337">
        <v>64385.600000000006</v>
      </c>
      <c r="G13" s="337">
        <v>-35667.000000000007</v>
      </c>
      <c r="H13" s="337">
        <v>812.4</v>
      </c>
      <c r="I13" s="337">
        <v>21662.2</v>
      </c>
      <c r="J13" s="337">
        <v>-20849.8</v>
      </c>
      <c r="K13" s="337">
        <v>343.8</v>
      </c>
      <c r="L13" s="337">
        <v>105172.20000000001</v>
      </c>
      <c r="M13" s="337">
        <v>105516</v>
      </c>
      <c r="N13" s="337">
        <v>-16679.10000000002</v>
      </c>
      <c r="O13" s="1822" t="s">
        <v>1225</v>
      </c>
      <c r="P13" s="337">
        <v>2486.3999999999996</v>
      </c>
      <c r="Q13" s="337">
        <v>-18863.099999999999</v>
      </c>
      <c r="R13" s="337">
        <v>-1288.7</v>
      </c>
      <c r="S13" s="337">
        <v>-27292</v>
      </c>
      <c r="T13" s="337">
        <v>26394.400000000001</v>
      </c>
      <c r="U13" s="337">
        <v>-21049.4</v>
      </c>
      <c r="V13" s="337">
        <v>-6856.6999999999807</v>
      </c>
    </row>
    <row r="14" spans="1:22" s="164" customFormat="1" ht="10.5" customHeight="1">
      <c r="A14" s="1639" t="s">
        <v>1350</v>
      </c>
      <c r="B14" s="344">
        <f t="shared" ref="B14:N14" si="2">SUM(B15:B18)</f>
        <v>297456.2</v>
      </c>
      <c r="C14" s="344">
        <f t="shared" si="2"/>
        <v>447422.4</v>
      </c>
      <c r="D14" s="344">
        <f t="shared" si="2"/>
        <v>-149966.20000000001</v>
      </c>
      <c r="E14" s="344">
        <f t="shared" si="2"/>
        <v>37062.899999999994</v>
      </c>
      <c r="F14" s="344">
        <f t="shared" si="2"/>
        <v>76200.299999999988</v>
      </c>
      <c r="G14" s="344">
        <f t="shared" si="2"/>
        <v>-39137.399999999994</v>
      </c>
      <c r="H14" s="344">
        <f t="shared" si="2"/>
        <v>1035.0999999999999</v>
      </c>
      <c r="I14" s="344">
        <f t="shared" si="2"/>
        <v>18647.8</v>
      </c>
      <c r="J14" s="344">
        <f t="shared" si="2"/>
        <v>-17612.7</v>
      </c>
      <c r="K14" s="344">
        <f t="shared" si="2"/>
        <v>397.6</v>
      </c>
      <c r="L14" s="344">
        <f t="shared" si="2"/>
        <v>126970.9</v>
      </c>
      <c r="M14" s="344">
        <f t="shared" si="2"/>
        <v>127368.5</v>
      </c>
      <c r="N14" s="344">
        <f t="shared" si="2"/>
        <v>-79347.799999999988</v>
      </c>
      <c r="O14" s="1639" t="s">
        <v>1350</v>
      </c>
      <c r="P14" s="344">
        <f t="shared" ref="P14:V14" si="3">SUM(P15:P18)</f>
        <v>2398.6999999999998</v>
      </c>
      <c r="Q14" s="344">
        <f t="shared" si="3"/>
        <v>-14874.099999999999</v>
      </c>
      <c r="R14" s="344">
        <f t="shared" si="3"/>
        <v>664.4</v>
      </c>
      <c r="S14" s="344">
        <f t="shared" si="3"/>
        <v>-59732.399999999994</v>
      </c>
      <c r="T14" s="344">
        <f t="shared" si="3"/>
        <v>-6402.3</v>
      </c>
      <c r="U14" s="344">
        <f t="shared" si="3"/>
        <v>-80344.399999999994</v>
      </c>
      <c r="V14" s="344">
        <f t="shared" si="3"/>
        <v>-3395.299999999992</v>
      </c>
    </row>
    <row r="15" spans="1:22" s="164" customFormat="1" ht="10.5" customHeight="1">
      <c r="A15" s="323" t="s">
        <v>1342</v>
      </c>
      <c r="B15" s="289">
        <v>68969.8</v>
      </c>
      <c r="C15" s="289">
        <v>98425.8</v>
      </c>
      <c r="D15" s="289">
        <f t="shared" ref="D15:D23" si="4">B15-C15</f>
        <v>-29456</v>
      </c>
      <c r="E15" s="289">
        <v>7797.9</v>
      </c>
      <c r="F15" s="289">
        <v>16636.8</v>
      </c>
      <c r="G15" s="289">
        <f t="shared" ref="G15:G23" si="5">E15-F15</f>
        <v>-8838.9</v>
      </c>
      <c r="H15" s="289">
        <v>224.6</v>
      </c>
      <c r="I15" s="289">
        <v>4263.6000000000004</v>
      </c>
      <c r="J15" s="289">
        <f t="shared" ref="J15:J23" si="6">H15-I15</f>
        <v>-4039.0000000000005</v>
      </c>
      <c r="K15" s="289">
        <v>97.2</v>
      </c>
      <c r="L15" s="289">
        <v>27772.400000000001</v>
      </c>
      <c r="M15" s="289">
        <f t="shared" ref="M15:M23" si="7">K15+L15</f>
        <v>27869.600000000002</v>
      </c>
      <c r="N15" s="288">
        <f t="shared" ref="N15:N23" si="8">D15+G15+J15+M15</f>
        <v>-14464.3</v>
      </c>
      <c r="O15" s="323" t="s">
        <v>1342</v>
      </c>
      <c r="P15" s="289">
        <v>519.29999999999995</v>
      </c>
      <c r="Q15" s="289">
        <v>-1710.9</v>
      </c>
      <c r="R15" s="289">
        <v>573.1</v>
      </c>
      <c r="S15" s="289">
        <v>-8333.2999999999993</v>
      </c>
      <c r="T15" s="289">
        <v>-6625</v>
      </c>
      <c r="U15" s="288">
        <f t="shared" ref="U15:U23" si="9">Q15+R15+S15+T15</f>
        <v>-16096.099999999999</v>
      </c>
      <c r="V15" s="289">
        <f t="shared" ref="V15:V23" si="10">-(N15+P15-U15)</f>
        <v>-2151.0999999999985</v>
      </c>
    </row>
    <row r="16" spans="1:22" s="164" customFormat="1" ht="10.5" customHeight="1">
      <c r="A16" s="1700" t="s">
        <v>1339</v>
      </c>
      <c r="B16" s="230">
        <v>74553.600000000006</v>
      </c>
      <c r="C16" s="230">
        <v>115042.6</v>
      </c>
      <c r="D16" s="230">
        <f t="shared" si="4"/>
        <v>-40489</v>
      </c>
      <c r="E16" s="230">
        <v>8780.4</v>
      </c>
      <c r="F16" s="230">
        <v>18716.099999999999</v>
      </c>
      <c r="G16" s="230">
        <f t="shared" si="5"/>
        <v>-9935.6999999999989</v>
      </c>
      <c r="H16" s="230">
        <v>191.4</v>
      </c>
      <c r="I16" s="230">
        <v>5033.5</v>
      </c>
      <c r="J16" s="230">
        <f t="shared" si="6"/>
        <v>-4842.1000000000004</v>
      </c>
      <c r="K16" s="230">
        <v>219.1</v>
      </c>
      <c r="L16" s="230">
        <v>30119.4</v>
      </c>
      <c r="M16" s="230">
        <f t="shared" si="7"/>
        <v>30338.5</v>
      </c>
      <c r="N16" s="229">
        <f t="shared" si="8"/>
        <v>-24928.299999999996</v>
      </c>
      <c r="O16" s="1700" t="s">
        <v>1339</v>
      </c>
      <c r="P16" s="230">
        <v>798.6</v>
      </c>
      <c r="Q16" s="230">
        <v>-4203.1000000000004</v>
      </c>
      <c r="R16" s="230">
        <v>-1450.2</v>
      </c>
      <c r="S16" s="230">
        <v>-16810.8</v>
      </c>
      <c r="T16" s="230">
        <v>3232.9</v>
      </c>
      <c r="U16" s="229">
        <f t="shared" si="9"/>
        <v>-19231.199999999997</v>
      </c>
      <c r="V16" s="230">
        <f t="shared" si="10"/>
        <v>4898.5</v>
      </c>
    </row>
    <row r="17" spans="1:22" s="164" customFormat="1" ht="10.5" customHeight="1">
      <c r="A17" s="323" t="s">
        <v>1340</v>
      </c>
      <c r="B17" s="289">
        <v>78019.399999999994</v>
      </c>
      <c r="C17" s="289">
        <v>115941.7</v>
      </c>
      <c r="D17" s="289">
        <f t="shared" si="4"/>
        <v>-37922.300000000003</v>
      </c>
      <c r="E17" s="289">
        <v>9475.9</v>
      </c>
      <c r="F17" s="289">
        <v>18471.3</v>
      </c>
      <c r="G17" s="289">
        <f t="shared" si="5"/>
        <v>-8995.4</v>
      </c>
      <c r="H17" s="289">
        <v>251.7</v>
      </c>
      <c r="I17" s="289">
        <v>4551.7</v>
      </c>
      <c r="J17" s="289">
        <f t="shared" si="6"/>
        <v>-4300</v>
      </c>
      <c r="K17" s="289">
        <v>41.7</v>
      </c>
      <c r="L17" s="289">
        <v>32444.2</v>
      </c>
      <c r="M17" s="289">
        <f t="shared" si="7"/>
        <v>32485.9</v>
      </c>
      <c r="N17" s="288">
        <f t="shared" si="8"/>
        <v>-18731.800000000003</v>
      </c>
      <c r="O17" s="323" t="s">
        <v>1340</v>
      </c>
      <c r="P17" s="289">
        <v>554.6</v>
      </c>
      <c r="Q17" s="289">
        <v>-3082.8</v>
      </c>
      <c r="R17" s="289">
        <v>451</v>
      </c>
      <c r="S17" s="289">
        <v>-8851.2999999999993</v>
      </c>
      <c r="T17" s="289">
        <v>-8321.9</v>
      </c>
      <c r="U17" s="288">
        <f t="shared" si="9"/>
        <v>-19805</v>
      </c>
      <c r="V17" s="289">
        <f t="shared" si="10"/>
        <v>-1627.7999999999956</v>
      </c>
    </row>
    <row r="18" spans="1:22" s="164" customFormat="1" ht="10.5" customHeight="1">
      <c r="A18" s="1700" t="s">
        <v>1341</v>
      </c>
      <c r="B18" s="230">
        <v>75913.399999999994</v>
      </c>
      <c r="C18" s="230">
        <v>118012.3</v>
      </c>
      <c r="D18" s="230">
        <f t="shared" si="4"/>
        <v>-42098.900000000009</v>
      </c>
      <c r="E18" s="230">
        <v>11008.7</v>
      </c>
      <c r="F18" s="230">
        <v>22376.1</v>
      </c>
      <c r="G18" s="230">
        <f t="shared" si="5"/>
        <v>-11367.399999999998</v>
      </c>
      <c r="H18" s="230">
        <v>367.4</v>
      </c>
      <c r="I18" s="230">
        <v>4799</v>
      </c>
      <c r="J18" s="230">
        <f t="shared" si="6"/>
        <v>-4431.6000000000004</v>
      </c>
      <c r="K18" s="230">
        <v>39.6</v>
      </c>
      <c r="L18" s="230">
        <v>36634.9</v>
      </c>
      <c r="M18" s="230">
        <f t="shared" si="7"/>
        <v>36674.5</v>
      </c>
      <c r="N18" s="230">
        <f t="shared" si="8"/>
        <v>-21223.4</v>
      </c>
      <c r="O18" s="1700" t="s">
        <v>1341</v>
      </c>
      <c r="P18" s="230">
        <v>526.20000000000005</v>
      </c>
      <c r="Q18" s="230">
        <v>-5877.3</v>
      </c>
      <c r="R18" s="230">
        <v>1090.5</v>
      </c>
      <c r="S18" s="230">
        <v>-25737</v>
      </c>
      <c r="T18" s="230">
        <v>5311.7</v>
      </c>
      <c r="U18" s="229">
        <f t="shared" si="9"/>
        <v>-25212.1</v>
      </c>
      <c r="V18" s="230">
        <f t="shared" si="10"/>
        <v>-4514.8999999999978</v>
      </c>
    </row>
    <row r="19" spans="1:22" s="164" customFormat="1" ht="10.5" customHeight="1">
      <c r="A19" s="1822" t="s">
        <v>1466</v>
      </c>
      <c r="B19" s="909">
        <f t="shared" ref="B19:N19" si="11">SUM(B20:B23)</f>
        <v>335633.30000000005</v>
      </c>
      <c r="C19" s="909">
        <f t="shared" si="11"/>
        <v>465793.29999999993</v>
      </c>
      <c r="D19" s="910">
        <f t="shared" si="11"/>
        <v>-130160</v>
      </c>
      <c r="E19" s="910">
        <f t="shared" si="11"/>
        <v>50849.100000000006</v>
      </c>
      <c r="F19" s="910">
        <f t="shared" si="11"/>
        <v>79728</v>
      </c>
      <c r="G19" s="910">
        <f t="shared" si="11"/>
        <v>-28878.899999999994</v>
      </c>
      <c r="H19" s="910">
        <f t="shared" si="11"/>
        <v>3522.7999999999997</v>
      </c>
      <c r="I19" s="910">
        <f t="shared" si="11"/>
        <v>20633.8</v>
      </c>
      <c r="J19" s="910">
        <f t="shared" si="11"/>
        <v>-17111</v>
      </c>
      <c r="K19" s="910">
        <f t="shared" si="11"/>
        <v>195</v>
      </c>
      <c r="L19" s="910">
        <f t="shared" si="11"/>
        <v>142465.79999999999</v>
      </c>
      <c r="M19" s="910">
        <f t="shared" si="11"/>
        <v>142660.79999999999</v>
      </c>
      <c r="N19" s="910">
        <f t="shared" si="11"/>
        <v>-33489.099999999984</v>
      </c>
      <c r="O19" s="1822" t="s">
        <v>1466</v>
      </c>
      <c r="P19" s="909">
        <f t="shared" ref="P19:V19" si="12">SUM(P20:P23)</f>
        <v>1955.5</v>
      </c>
      <c r="Q19" s="909">
        <f t="shared" si="12"/>
        <v>-22072.3</v>
      </c>
      <c r="R19" s="909">
        <f t="shared" si="12"/>
        <v>1609.1999999999998</v>
      </c>
      <c r="S19" s="909">
        <f t="shared" si="12"/>
        <v>-20294.7</v>
      </c>
      <c r="T19" s="909">
        <f t="shared" si="12"/>
        <v>-831.5</v>
      </c>
      <c r="U19" s="909">
        <f t="shared" si="12"/>
        <v>-41589.300000000003</v>
      </c>
      <c r="V19" s="909">
        <f t="shared" si="12"/>
        <v>-10055.700000000017</v>
      </c>
    </row>
    <row r="20" spans="1:22" s="164" customFormat="1" ht="10.5" customHeight="1">
      <c r="A20" s="1700" t="s">
        <v>1342</v>
      </c>
      <c r="B20" s="230">
        <v>81626.899999999994</v>
      </c>
      <c r="C20" s="230">
        <v>113892.6</v>
      </c>
      <c r="D20" s="230">
        <f t="shared" si="4"/>
        <v>-32265.700000000012</v>
      </c>
      <c r="E20" s="230">
        <v>12108.4</v>
      </c>
      <c r="F20" s="230">
        <v>18476.599999999999</v>
      </c>
      <c r="G20" s="230">
        <f t="shared" si="5"/>
        <v>-6368.1999999999989</v>
      </c>
      <c r="H20" s="230">
        <v>308.89999999999998</v>
      </c>
      <c r="I20" s="230">
        <v>4783.1000000000004</v>
      </c>
      <c r="J20" s="230">
        <f t="shared" si="6"/>
        <v>-4474.2000000000007</v>
      </c>
      <c r="K20" s="230">
        <v>75.7</v>
      </c>
      <c r="L20" s="230">
        <v>33108.800000000003</v>
      </c>
      <c r="M20" s="230">
        <f t="shared" si="7"/>
        <v>33184.5</v>
      </c>
      <c r="N20" s="230">
        <f t="shared" si="8"/>
        <v>-9923.6000000000058</v>
      </c>
      <c r="O20" s="1700" t="s">
        <v>1342</v>
      </c>
      <c r="P20" s="230">
        <v>370.5</v>
      </c>
      <c r="Q20" s="230">
        <v>-5019.8</v>
      </c>
      <c r="R20" s="230">
        <v>1079.5999999999999</v>
      </c>
      <c r="S20" s="230">
        <v>7321.5</v>
      </c>
      <c r="T20" s="230">
        <v>-7263.3</v>
      </c>
      <c r="U20" s="230">
        <f t="shared" si="9"/>
        <v>-3882.0000000000005</v>
      </c>
      <c r="V20" s="230">
        <f t="shared" si="10"/>
        <v>5671.1000000000058</v>
      </c>
    </row>
    <row r="21" spans="1:22" s="164" customFormat="1" ht="10.5" customHeight="1">
      <c r="A21" s="323" t="s">
        <v>1339</v>
      </c>
      <c r="B21" s="289">
        <v>87356.3</v>
      </c>
      <c r="C21" s="289">
        <v>119277.2</v>
      </c>
      <c r="D21" s="289">
        <f t="shared" si="4"/>
        <v>-31920.899999999994</v>
      </c>
      <c r="E21" s="289">
        <v>12886</v>
      </c>
      <c r="F21" s="289">
        <v>20968.599999999999</v>
      </c>
      <c r="G21" s="289">
        <f t="shared" si="5"/>
        <v>-8082.5999999999985</v>
      </c>
      <c r="H21" s="289">
        <v>2338.6999999999998</v>
      </c>
      <c r="I21" s="289">
        <v>3597.2</v>
      </c>
      <c r="J21" s="289">
        <f t="shared" si="6"/>
        <v>-1258.5</v>
      </c>
      <c r="K21" s="289">
        <v>56.8</v>
      </c>
      <c r="L21" s="289">
        <v>31942.799999999999</v>
      </c>
      <c r="M21" s="289">
        <f t="shared" si="7"/>
        <v>31999.599999999999</v>
      </c>
      <c r="N21" s="289">
        <f t="shared" si="8"/>
        <v>-9262.3999999999942</v>
      </c>
      <c r="O21" s="323" t="s">
        <v>1339</v>
      </c>
      <c r="P21" s="289">
        <v>753.9</v>
      </c>
      <c r="Q21" s="289">
        <v>-6088.9</v>
      </c>
      <c r="R21" s="289">
        <v>-2822.8</v>
      </c>
      <c r="S21" s="289">
        <v>-6719.7</v>
      </c>
      <c r="T21" s="289">
        <v>1157.3</v>
      </c>
      <c r="U21" s="289">
        <f t="shared" si="9"/>
        <v>-14474.100000000002</v>
      </c>
      <c r="V21" s="289">
        <f t="shared" si="10"/>
        <v>-5965.6000000000076</v>
      </c>
    </row>
    <row r="22" spans="1:22" s="164" customFormat="1" ht="10.5" customHeight="1">
      <c r="A22" s="1700" t="s">
        <v>1340</v>
      </c>
      <c r="B22" s="230">
        <v>86382</v>
      </c>
      <c r="C22" s="230">
        <v>122256.9</v>
      </c>
      <c r="D22" s="230">
        <f t="shared" si="4"/>
        <v>-35874.899999999994</v>
      </c>
      <c r="E22" s="230">
        <v>12386.2</v>
      </c>
      <c r="F22" s="230">
        <v>19794.2</v>
      </c>
      <c r="G22" s="230">
        <f t="shared" si="5"/>
        <v>-7408</v>
      </c>
      <c r="H22" s="230">
        <v>400</v>
      </c>
      <c r="I22" s="230">
        <v>6293.6</v>
      </c>
      <c r="J22" s="230">
        <f t="shared" si="6"/>
        <v>-5893.6</v>
      </c>
      <c r="K22" s="230">
        <v>37.299999999999997</v>
      </c>
      <c r="L22" s="230">
        <v>37661.9</v>
      </c>
      <c r="M22" s="230">
        <f t="shared" si="7"/>
        <v>37699.200000000004</v>
      </c>
      <c r="N22" s="230">
        <f t="shared" si="8"/>
        <v>-11477.299999999988</v>
      </c>
      <c r="O22" s="1700" t="s">
        <v>1340</v>
      </c>
      <c r="P22" s="230">
        <v>496.1</v>
      </c>
      <c r="Q22" s="230">
        <v>-7370</v>
      </c>
      <c r="R22" s="230">
        <v>2136.3000000000002</v>
      </c>
      <c r="S22" s="230">
        <v>-7373.4</v>
      </c>
      <c r="T22" s="230">
        <v>-4293.2</v>
      </c>
      <c r="U22" s="230">
        <f t="shared" si="9"/>
        <v>-16900.3</v>
      </c>
      <c r="V22" s="230">
        <f t="shared" si="10"/>
        <v>-5919.1000000000113</v>
      </c>
    </row>
    <row r="23" spans="1:22" s="164" customFormat="1" ht="10.5" customHeight="1">
      <c r="A23" s="323" t="s">
        <v>1341</v>
      </c>
      <c r="B23" s="289">
        <v>80268.100000000006</v>
      </c>
      <c r="C23" s="289">
        <v>110366.6</v>
      </c>
      <c r="D23" s="289">
        <f t="shared" si="4"/>
        <v>-30098.5</v>
      </c>
      <c r="E23" s="289">
        <v>13468.5</v>
      </c>
      <c r="F23" s="289">
        <v>20488.599999999999</v>
      </c>
      <c r="G23" s="289">
        <f t="shared" si="5"/>
        <v>-7020.0999999999985</v>
      </c>
      <c r="H23" s="289">
        <v>475.2</v>
      </c>
      <c r="I23" s="289">
        <v>5959.9</v>
      </c>
      <c r="J23" s="289">
        <f t="shared" si="6"/>
        <v>-5484.7</v>
      </c>
      <c r="K23" s="289">
        <v>25.2</v>
      </c>
      <c r="L23" s="289">
        <v>39752.300000000003</v>
      </c>
      <c r="M23" s="289">
        <f t="shared" si="7"/>
        <v>39777.5</v>
      </c>
      <c r="N23" s="289">
        <f t="shared" si="8"/>
        <v>-2825.7999999999956</v>
      </c>
      <c r="O23" s="323" t="s">
        <v>1341</v>
      </c>
      <c r="P23" s="289">
        <v>335</v>
      </c>
      <c r="Q23" s="289">
        <v>-3593.6</v>
      </c>
      <c r="R23" s="289">
        <v>1216.0999999999999</v>
      </c>
      <c r="S23" s="289">
        <v>-13523.1</v>
      </c>
      <c r="T23" s="289">
        <v>9567.7000000000007</v>
      </c>
      <c r="U23" s="289">
        <f t="shared" si="9"/>
        <v>-6332.9</v>
      </c>
      <c r="V23" s="289">
        <f t="shared" si="10"/>
        <v>-3842.100000000004</v>
      </c>
    </row>
    <row r="24" spans="1:22" s="164" customFormat="1" ht="10.5" customHeight="1">
      <c r="A24" s="1639" t="s">
        <v>1550</v>
      </c>
      <c r="B24" s="927">
        <f t="shared" ref="B24:N24" si="13">SUM(B25:B28)</f>
        <v>280337.59999999998</v>
      </c>
      <c r="C24" s="1015">
        <f t="shared" si="13"/>
        <v>429749</v>
      </c>
      <c r="D24" s="927">
        <f t="shared" si="13"/>
        <v>-149411.4</v>
      </c>
      <c r="E24" s="927">
        <f t="shared" si="13"/>
        <v>50747.8</v>
      </c>
      <c r="F24" s="927">
        <f t="shared" si="13"/>
        <v>72093.8</v>
      </c>
      <c r="G24" s="1015">
        <f t="shared" si="13"/>
        <v>-21346</v>
      </c>
      <c r="H24" s="927">
        <f t="shared" si="13"/>
        <v>1853.9</v>
      </c>
      <c r="I24" s="1015">
        <f t="shared" si="13"/>
        <v>23355</v>
      </c>
      <c r="J24" s="927">
        <f t="shared" si="13"/>
        <v>-21501.1</v>
      </c>
      <c r="K24" s="927">
        <f t="shared" si="13"/>
        <v>163.69999999999999</v>
      </c>
      <c r="L24" s="927">
        <f t="shared" si="13"/>
        <v>158938.59999999998</v>
      </c>
      <c r="M24" s="927">
        <f t="shared" si="13"/>
        <v>159102.29999999999</v>
      </c>
      <c r="N24" s="927">
        <f t="shared" si="13"/>
        <v>-33156.19999999999</v>
      </c>
      <c r="O24" s="1639" t="s">
        <v>1550</v>
      </c>
      <c r="P24" s="927">
        <f t="shared" ref="P24:V24" si="14">SUM(P25:P28)</f>
        <v>2174.1999999999998</v>
      </c>
      <c r="Q24" s="927">
        <f t="shared" si="14"/>
        <v>-10783.7</v>
      </c>
      <c r="R24" s="927">
        <f t="shared" si="14"/>
        <v>-124.90000000000002</v>
      </c>
      <c r="S24" s="927">
        <f t="shared" si="14"/>
        <v>-55974.5</v>
      </c>
      <c r="T24" s="927">
        <f t="shared" si="14"/>
        <v>27451.9</v>
      </c>
      <c r="U24" s="927">
        <f t="shared" si="14"/>
        <v>-39431.200000000004</v>
      </c>
      <c r="V24" s="927">
        <f t="shared" si="14"/>
        <v>-8449.2000000000135</v>
      </c>
    </row>
    <row r="25" spans="1:22" s="164" customFormat="1" ht="10.5" customHeight="1">
      <c r="A25" s="323" t="s">
        <v>1342</v>
      </c>
      <c r="B25" s="289">
        <v>80122.8</v>
      </c>
      <c r="C25" s="289">
        <v>112017.5</v>
      </c>
      <c r="D25" s="289">
        <f t="shared" ref="D25:D33" si="15">B25-C25</f>
        <v>-31894.699999999997</v>
      </c>
      <c r="E25" s="289">
        <v>12475.8</v>
      </c>
      <c r="F25" s="289">
        <v>19747.7</v>
      </c>
      <c r="G25" s="289">
        <f t="shared" ref="G25:G33" si="16">E25-F25</f>
        <v>-7271.9000000000015</v>
      </c>
      <c r="H25" s="289">
        <v>325.10000000000002</v>
      </c>
      <c r="I25" s="289">
        <v>5008.1000000000004</v>
      </c>
      <c r="J25" s="289">
        <f t="shared" ref="J25:J33" si="17">H25-I25</f>
        <v>-4683</v>
      </c>
      <c r="K25" s="289">
        <v>18.100000000000001</v>
      </c>
      <c r="L25" s="289">
        <v>38971</v>
      </c>
      <c r="M25" s="289">
        <f t="shared" ref="M25:M33" si="18">K25+L25</f>
        <v>38989.1</v>
      </c>
      <c r="N25" s="289">
        <f t="shared" ref="N25:N33" si="19">D25+G25+J25+M25</f>
        <v>-4860.5</v>
      </c>
      <c r="O25" s="323" t="s">
        <v>1342</v>
      </c>
      <c r="P25" s="289">
        <v>240.2</v>
      </c>
      <c r="Q25" s="289">
        <v>-1436.7</v>
      </c>
      <c r="R25" s="289">
        <v>-232.3</v>
      </c>
      <c r="S25" s="289">
        <v>3195.7</v>
      </c>
      <c r="T25" s="289">
        <v>-6543.7</v>
      </c>
      <c r="U25" s="289">
        <f t="shared" ref="U25:U33" si="20">Q25+R25+S25+T25</f>
        <v>-5017</v>
      </c>
      <c r="V25" s="289">
        <f t="shared" ref="V25:V38" si="21">-(N25+P25-U25)</f>
        <v>-396.69999999999982</v>
      </c>
    </row>
    <row r="26" spans="1:22" s="164" customFormat="1" ht="10.5" customHeight="1">
      <c r="A26" s="1700" t="s">
        <v>1339</v>
      </c>
      <c r="B26" s="230">
        <v>80430.7</v>
      </c>
      <c r="C26" s="230">
        <v>117085.5</v>
      </c>
      <c r="D26" s="230">
        <f t="shared" si="15"/>
        <v>-36654.800000000003</v>
      </c>
      <c r="E26" s="230">
        <v>14153.6</v>
      </c>
      <c r="F26" s="230">
        <v>20691.2</v>
      </c>
      <c r="G26" s="230">
        <f t="shared" si="16"/>
        <v>-6537.6</v>
      </c>
      <c r="H26" s="230">
        <v>338.9</v>
      </c>
      <c r="I26" s="230">
        <v>5792.4</v>
      </c>
      <c r="J26" s="230">
        <f t="shared" si="17"/>
        <v>-5453.5</v>
      </c>
      <c r="K26" s="230">
        <v>64.400000000000006</v>
      </c>
      <c r="L26" s="230">
        <v>42870.7</v>
      </c>
      <c r="M26" s="230">
        <f t="shared" si="18"/>
        <v>42935.1</v>
      </c>
      <c r="N26" s="230">
        <f t="shared" si="19"/>
        <v>-5710.8000000000029</v>
      </c>
      <c r="O26" s="1700" t="s">
        <v>1339</v>
      </c>
      <c r="P26" s="230">
        <v>855.6</v>
      </c>
      <c r="Q26" s="230">
        <v>-3499.8</v>
      </c>
      <c r="R26" s="230">
        <v>133.6</v>
      </c>
      <c r="S26" s="230">
        <v>-13884</v>
      </c>
      <c r="T26" s="230">
        <v>5713.4</v>
      </c>
      <c r="U26" s="230">
        <f t="shared" si="20"/>
        <v>-11536.800000000001</v>
      </c>
      <c r="V26" s="230">
        <f t="shared" si="21"/>
        <v>-6681.5999999999985</v>
      </c>
    </row>
    <row r="27" spans="1:22" s="164" customFormat="1" ht="10.5" customHeight="1">
      <c r="A27" s="323" t="s">
        <v>1340</v>
      </c>
      <c r="B27" s="289">
        <v>80628.5</v>
      </c>
      <c r="C27" s="289">
        <v>112645.4</v>
      </c>
      <c r="D27" s="289">
        <f t="shared" si="15"/>
        <v>-32016.899999999994</v>
      </c>
      <c r="E27" s="289">
        <v>13774.2</v>
      </c>
      <c r="F27" s="289">
        <v>19495.599999999999</v>
      </c>
      <c r="G27" s="289">
        <f t="shared" si="16"/>
        <v>-5721.3999999999978</v>
      </c>
      <c r="H27" s="289">
        <v>337.1</v>
      </c>
      <c r="I27" s="289">
        <v>7100.8</v>
      </c>
      <c r="J27" s="289">
        <f t="shared" si="17"/>
        <v>-6763.7</v>
      </c>
      <c r="K27" s="289">
        <v>22.9</v>
      </c>
      <c r="L27" s="289">
        <v>37934.6</v>
      </c>
      <c r="M27" s="289">
        <f t="shared" si="18"/>
        <v>37957.5</v>
      </c>
      <c r="N27" s="289">
        <f t="shared" si="19"/>
        <v>-6544.4999999999854</v>
      </c>
      <c r="O27" s="323" t="s">
        <v>1340</v>
      </c>
      <c r="P27" s="289">
        <v>303.7</v>
      </c>
      <c r="Q27" s="289">
        <v>-3798.6</v>
      </c>
      <c r="R27" s="289">
        <v>34.6</v>
      </c>
      <c r="S27" s="289">
        <v>-9743.7999999999993</v>
      </c>
      <c r="T27" s="289">
        <v>1881.7</v>
      </c>
      <c r="U27" s="289">
        <f t="shared" si="20"/>
        <v>-11626.099999999999</v>
      </c>
      <c r="V27" s="289">
        <f t="shared" si="21"/>
        <v>-5385.3000000000129</v>
      </c>
    </row>
    <row r="28" spans="1:22" s="164" customFormat="1" ht="10.5" customHeight="1">
      <c r="A28" s="1700" t="s">
        <v>1341</v>
      </c>
      <c r="B28" s="230">
        <v>39155.599999999999</v>
      </c>
      <c r="C28" s="230">
        <v>88000.6</v>
      </c>
      <c r="D28" s="230">
        <f t="shared" si="15"/>
        <v>-48845.000000000007</v>
      </c>
      <c r="E28" s="230">
        <v>10344.200000000001</v>
      </c>
      <c r="F28" s="230">
        <v>12159.3</v>
      </c>
      <c r="G28" s="230">
        <f t="shared" si="16"/>
        <v>-1815.0999999999985</v>
      </c>
      <c r="H28" s="230">
        <v>852.8</v>
      </c>
      <c r="I28" s="230">
        <v>5453.7</v>
      </c>
      <c r="J28" s="230">
        <f t="shared" si="17"/>
        <v>-4600.8999999999996</v>
      </c>
      <c r="K28" s="230">
        <v>58.3</v>
      </c>
      <c r="L28" s="230">
        <v>39162.300000000003</v>
      </c>
      <c r="M28" s="230">
        <f t="shared" si="18"/>
        <v>39220.600000000006</v>
      </c>
      <c r="N28" s="230">
        <f t="shared" si="19"/>
        <v>-16040.400000000001</v>
      </c>
      <c r="O28" s="1700" t="s">
        <v>1341</v>
      </c>
      <c r="P28" s="230">
        <v>774.7</v>
      </c>
      <c r="Q28" s="230">
        <v>-2048.6</v>
      </c>
      <c r="R28" s="230">
        <v>-60.8</v>
      </c>
      <c r="S28" s="230">
        <v>-35542.400000000001</v>
      </c>
      <c r="T28" s="230">
        <v>26400.5</v>
      </c>
      <c r="U28" s="230">
        <f t="shared" si="20"/>
        <v>-11251.300000000003</v>
      </c>
      <c r="V28" s="230">
        <f t="shared" si="21"/>
        <v>4014.3999999999978</v>
      </c>
    </row>
    <row r="29" spans="1:22" s="164" customFormat="1" ht="10.5" customHeight="1">
      <c r="A29" s="1822" t="s">
        <v>1606</v>
      </c>
      <c r="B29" s="910">
        <f>SUM(B30:B33)</f>
        <v>312956.5</v>
      </c>
      <c r="C29" s="909">
        <f t="shared" ref="C29:N29" si="22">SUM(C30:C33)</f>
        <v>514608.8</v>
      </c>
      <c r="D29" s="910">
        <f t="shared" si="22"/>
        <v>-201652.3</v>
      </c>
      <c r="E29" s="910">
        <f t="shared" si="22"/>
        <v>63459.3</v>
      </c>
      <c r="F29" s="910">
        <f t="shared" si="22"/>
        <v>87684</v>
      </c>
      <c r="G29" s="910">
        <f t="shared" si="22"/>
        <v>-24224.699999999997</v>
      </c>
      <c r="H29" s="910">
        <f t="shared" si="22"/>
        <v>2059.5</v>
      </c>
      <c r="I29" s="910">
        <f t="shared" si="22"/>
        <v>24609.199999999997</v>
      </c>
      <c r="J29" s="910">
        <f t="shared" si="22"/>
        <v>-22549.7</v>
      </c>
      <c r="K29" s="910">
        <f t="shared" si="22"/>
        <v>278.10000000000002</v>
      </c>
      <c r="L29" s="910">
        <f t="shared" si="22"/>
        <v>214737</v>
      </c>
      <c r="M29" s="910">
        <f t="shared" si="22"/>
        <v>215015.1</v>
      </c>
      <c r="N29" s="910">
        <f t="shared" si="22"/>
        <v>-33411.599999999977</v>
      </c>
      <c r="O29" s="1823" t="s">
        <v>1606</v>
      </c>
      <c r="P29" s="909">
        <f t="shared" ref="P29:V29" si="23">SUM(P30:P33)</f>
        <v>1872.6999999999998</v>
      </c>
      <c r="Q29" s="909">
        <f t="shared" si="23"/>
        <v>-11488.099999999999</v>
      </c>
      <c r="R29" s="909">
        <f t="shared" si="23"/>
        <v>2917.3</v>
      </c>
      <c r="S29" s="909">
        <f t="shared" si="23"/>
        <v>-107518.20000000001</v>
      </c>
      <c r="T29" s="909">
        <f t="shared" si="23"/>
        <v>84686.399999999994</v>
      </c>
      <c r="U29" s="909">
        <f t="shared" si="23"/>
        <v>-31402.6</v>
      </c>
      <c r="V29" s="909">
        <f t="shared" si="23"/>
        <v>136.29999999997744</v>
      </c>
    </row>
    <row r="30" spans="1:22" s="164" customFormat="1" ht="10.5" customHeight="1">
      <c r="A30" s="1700" t="s">
        <v>1342</v>
      </c>
      <c r="B30" s="230">
        <v>80550.8</v>
      </c>
      <c r="C30" s="230">
        <v>99540.1</v>
      </c>
      <c r="D30" s="230">
        <f t="shared" si="15"/>
        <v>-18989.300000000003</v>
      </c>
      <c r="E30" s="230">
        <v>13721.9</v>
      </c>
      <c r="F30" s="230">
        <v>17991.400000000001</v>
      </c>
      <c r="G30" s="230">
        <f t="shared" si="16"/>
        <v>-4269.5000000000018</v>
      </c>
      <c r="H30" s="230">
        <v>331.1</v>
      </c>
      <c r="I30" s="230">
        <v>6015.3</v>
      </c>
      <c r="J30" s="230">
        <f t="shared" si="17"/>
        <v>-5684.2</v>
      </c>
      <c r="K30" s="230">
        <v>84.2</v>
      </c>
      <c r="L30" s="230">
        <v>57806.3</v>
      </c>
      <c r="M30" s="230">
        <f t="shared" si="18"/>
        <v>57890.5</v>
      </c>
      <c r="N30" s="230">
        <f t="shared" si="19"/>
        <v>28947.499999999996</v>
      </c>
      <c r="O30" s="1700" t="s">
        <v>1342</v>
      </c>
      <c r="P30" s="230">
        <v>427</v>
      </c>
      <c r="Q30" s="230">
        <v>-1927.4</v>
      </c>
      <c r="R30" s="230">
        <v>1444.8</v>
      </c>
      <c r="S30" s="230">
        <v>1940.9</v>
      </c>
      <c r="T30" s="230">
        <v>25437.5</v>
      </c>
      <c r="U30" s="230">
        <f t="shared" si="20"/>
        <v>26895.8</v>
      </c>
      <c r="V30" s="230">
        <f t="shared" si="21"/>
        <v>-2478.6999999999971</v>
      </c>
    </row>
    <row r="31" spans="1:22" s="164" customFormat="1" ht="10.5" customHeight="1">
      <c r="A31" s="323" t="s">
        <v>1339</v>
      </c>
      <c r="B31" s="289">
        <v>75099.199999999997</v>
      </c>
      <c r="C31" s="289">
        <v>114396.9</v>
      </c>
      <c r="D31" s="289">
        <f t="shared" si="15"/>
        <v>-39297.699999999997</v>
      </c>
      <c r="E31" s="289">
        <v>16939.2</v>
      </c>
      <c r="F31" s="289">
        <v>21315.599999999999</v>
      </c>
      <c r="G31" s="289">
        <f t="shared" si="16"/>
        <v>-4376.3999999999978</v>
      </c>
      <c r="H31" s="289">
        <v>326.3</v>
      </c>
      <c r="I31" s="289">
        <v>7389.7</v>
      </c>
      <c r="J31" s="289">
        <f t="shared" si="17"/>
        <v>-7063.4</v>
      </c>
      <c r="K31" s="289">
        <v>80.7</v>
      </c>
      <c r="L31" s="289">
        <v>54379.8</v>
      </c>
      <c r="M31" s="289">
        <f t="shared" si="18"/>
        <v>54460.5</v>
      </c>
      <c r="N31" s="289">
        <f t="shared" si="19"/>
        <v>3723.0000000000073</v>
      </c>
      <c r="O31" s="323" t="s">
        <v>1339</v>
      </c>
      <c r="P31" s="289">
        <v>306.5</v>
      </c>
      <c r="Q31" s="289">
        <v>-5128.8999999999996</v>
      </c>
      <c r="R31" s="289">
        <v>193.8</v>
      </c>
      <c r="S31" s="289">
        <v>-24670.7</v>
      </c>
      <c r="T31" s="289">
        <v>30175.1</v>
      </c>
      <c r="U31" s="289">
        <f t="shared" si="20"/>
        <v>569.29999999999927</v>
      </c>
      <c r="V31" s="289">
        <f t="shared" si="21"/>
        <v>-3460.200000000008</v>
      </c>
    </row>
    <row r="32" spans="1:22" s="164" customFormat="1" ht="10.5" customHeight="1">
      <c r="A32" s="1700" t="s">
        <v>1340</v>
      </c>
      <c r="B32" s="230">
        <v>77985.600000000006</v>
      </c>
      <c r="C32" s="230">
        <v>148745.5</v>
      </c>
      <c r="D32" s="230">
        <f t="shared" si="15"/>
        <v>-70759.899999999994</v>
      </c>
      <c r="E32" s="230">
        <v>15844</v>
      </c>
      <c r="F32" s="230">
        <v>23201</v>
      </c>
      <c r="G32" s="230">
        <f t="shared" si="16"/>
        <v>-7357</v>
      </c>
      <c r="H32" s="230">
        <v>653.70000000000005</v>
      </c>
      <c r="I32" s="230">
        <v>5000.6000000000004</v>
      </c>
      <c r="J32" s="230">
        <f t="shared" si="17"/>
        <v>-4346.9000000000005</v>
      </c>
      <c r="K32" s="230">
        <v>24.6</v>
      </c>
      <c r="L32" s="230">
        <v>48993.599999999999</v>
      </c>
      <c r="M32" s="230">
        <f t="shared" si="18"/>
        <v>49018.2</v>
      </c>
      <c r="N32" s="230">
        <f t="shared" si="19"/>
        <v>-33445.599999999991</v>
      </c>
      <c r="O32" s="1700" t="s">
        <v>1340</v>
      </c>
      <c r="P32" s="230">
        <v>327.3</v>
      </c>
      <c r="Q32" s="230">
        <v>-2625.9</v>
      </c>
      <c r="R32" s="230">
        <v>676.4</v>
      </c>
      <c r="S32" s="230">
        <v>-33571</v>
      </c>
      <c r="T32" s="230">
        <v>4726.8999999999996</v>
      </c>
      <c r="U32" s="230">
        <f t="shared" si="20"/>
        <v>-30793.599999999999</v>
      </c>
      <c r="V32" s="230">
        <f t="shared" si="21"/>
        <v>2324.6999999999898</v>
      </c>
    </row>
    <row r="33" spans="1:22" s="164" customFormat="1" ht="10.5" customHeight="1">
      <c r="A33" s="323" t="s">
        <v>1341</v>
      </c>
      <c r="B33" s="289">
        <v>79320.899999999994</v>
      </c>
      <c r="C33" s="289">
        <v>151926.29999999999</v>
      </c>
      <c r="D33" s="289">
        <f t="shared" si="15"/>
        <v>-72605.399999999994</v>
      </c>
      <c r="E33" s="289">
        <v>16954.2</v>
      </c>
      <c r="F33" s="289">
        <v>25176</v>
      </c>
      <c r="G33" s="289">
        <f t="shared" si="16"/>
        <v>-8221.7999999999993</v>
      </c>
      <c r="H33" s="289">
        <v>748.4</v>
      </c>
      <c r="I33" s="289">
        <v>6203.6</v>
      </c>
      <c r="J33" s="289">
        <f t="shared" si="17"/>
        <v>-5455.2000000000007</v>
      </c>
      <c r="K33" s="289">
        <v>88.6</v>
      </c>
      <c r="L33" s="289">
        <v>53557.3</v>
      </c>
      <c r="M33" s="289">
        <f t="shared" si="18"/>
        <v>53645.9</v>
      </c>
      <c r="N33" s="289">
        <f t="shared" si="19"/>
        <v>-32636.499999999993</v>
      </c>
      <c r="O33" s="323" t="s">
        <v>1341</v>
      </c>
      <c r="P33" s="289">
        <v>811.9</v>
      </c>
      <c r="Q33" s="289">
        <v>-1805.9</v>
      </c>
      <c r="R33" s="289">
        <v>602.29999999999995</v>
      </c>
      <c r="S33" s="289">
        <v>-51217.4</v>
      </c>
      <c r="T33" s="289">
        <v>24346.9</v>
      </c>
      <c r="U33" s="289">
        <f t="shared" si="20"/>
        <v>-28074.1</v>
      </c>
      <c r="V33" s="289">
        <f t="shared" si="21"/>
        <v>3750.4999999999927</v>
      </c>
    </row>
    <row r="34" spans="1:22" s="164" customFormat="1" ht="10.5" customHeight="1">
      <c r="A34" s="1639" t="s">
        <v>1927</v>
      </c>
      <c r="B34" s="1015">
        <f>SUM(B35:B38)</f>
        <v>425479.5</v>
      </c>
      <c r="C34" s="927">
        <f t="shared" ref="C34:N34" si="24">SUM(C35:C38)</f>
        <v>712444.7</v>
      </c>
      <c r="D34" s="1015">
        <f t="shared" si="24"/>
        <v>-286965.19999999995</v>
      </c>
      <c r="E34" s="1015">
        <f t="shared" si="24"/>
        <v>86166</v>
      </c>
      <c r="F34" s="1015">
        <f t="shared" si="24"/>
        <v>117554.3</v>
      </c>
      <c r="G34" s="1015">
        <f t="shared" si="24"/>
        <v>-31388.300000000007</v>
      </c>
      <c r="H34" s="1015">
        <f t="shared" si="24"/>
        <v>3226.7999999999997</v>
      </c>
      <c r="I34" s="1015">
        <f t="shared" si="24"/>
        <v>26478.7</v>
      </c>
      <c r="J34" s="1015">
        <f t="shared" si="24"/>
        <v>-23251.9</v>
      </c>
      <c r="K34" s="1015">
        <f t="shared" si="24"/>
        <v>148.9</v>
      </c>
      <c r="L34" s="1015">
        <f t="shared" si="24"/>
        <v>186953.8</v>
      </c>
      <c r="M34" s="1015">
        <f t="shared" si="24"/>
        <v>187102.7</v>
      </c>
      <c r="N34" s="1015">
        <f t="shared" si="24"/>
        <v>-154502.70000000001</v>
      </c>
      <c r="O34" s="1639" t="s">
        <v>1927</v>
      </c>
      <c r="P34" s="927">
        <f t="shared" ref="P34:V34" si="25">SUM(P35:P38)</f>
        <v>1669.8</v>
      </c>
      <c r="Q34" s="927">
        <f t="shared" si="25"/>
        <v>-15705.4</v>
      </c>
      <c r="R34" s="927">
        <f t="shared" si="25"/>
        <v>3088.3</v>
      </c>
      <c r="S34" s="927">
        <f t="shared" si="25"/>
        <v>-128038.5</v>
      </c>
      <c r="T34" s="927">
        <f t="shared" si="25"/>
        <v>-31690.5</v>
      </c>
      <c r="U34" s="927">
        <f t="shared" si="25"/>
        <v>-172346.1</v>
      </c>
      <c r="V34" s="927">
        <f t="shared" si="25"/>
        <v>-19513.200000000008</v>
      </c>
    </row>
    <row r="35" spans="1:22" s="164" customFormat="1" ht="10.5" customHeight="1">
      <c r="A35" s="323" t="s">
        <v>1342</v>
      </c>
      <c r="B35" s="289">
        <v>89664.6</v>
      </c>
      <c r="C35" s="289">
        <v>147272.4</v>
      </c>
      <c r="D35" s="289">
        <f t="shared" ref="D35:D53" si="26">B35-C35</f>
        <v>-57607.799999999988</v>
      </c>
      <c r="E35" s="289">
        <v>18439.400000000001</v>
      </c>
      <c r="F35" s="289">
        <v>23105.200000000001</v>
      </c>
      <c r="G35" s="289">
        <f t="shared" ref="G35:G38" si="27">E35-F35</f>
        <v>-4665.7999999999993</v>
      </c>
      <c r="H35" s="289">
        <v>846.7</v>
      </c>
      <c r="I35" s="289">
        <v>6387.1</v>
      </c>
      <c r="J35" s="289">
        <f t="shared" ref="J35:J38" si="28">H35-I35</f>
        <v>-5540.4000000000005</v>
      </c>
      <c r="K35" s="289">
        <v>59.4</v>
      </c>
      <c r="L35" s="289">
        <v>47187.6</v>
      </c>
      <c r="M35" s="289">
        <f t="shared" ref="M35:M38" si="29">K35+L35</f>
        <v>47247</v>
      </c>
      <c r="N35" s="289">
        <f t="shared" ref="N35:N38" si="30">D35+G35+J35+M35</f>
        <v>-20566.999999999985</v>
      </c>
      <c r="O35" s="323" t="s">
        <v>1342</v>
      </c>
      <c r="P35" s="289">
        <v>581.1</v>
      </c>
      <c r="Q35" s="289">
        <v>-3184.2</v>
      </c>
      <c r="R35" s="289">
        <v>817</v>
      </c>
      <c r="S35" s="289">
        <v>-24155</v>
      </c>
      <c r="T35" s="289">
        <v>-267.39999999999998</v>
      </c>
      <c r="U35" s="289">
        <f t="shared" ref="U35:U38" si="31">Q35+R35+S35+T35</f>
        <v>-26789.600000000002</v>
      </c>
      <c r="V35" s="289">
        <f t="shared" si="21"/>
        <v>-6803.7000000000153</v>
      </c>
    </row>
    <row r="36" spans="1:22" s="164" customFormat="1" ht="10.5" customHeight="1">
      <c r="A36" s="1700" t="s">
        <v>1339</v>
      </c>
      <c r="B36" s="230">
        <v>109026.4</v>
      </c>
      <c r="C36" s="230">
        <v>185613.8</v>
      </c>
      <c r="D36" s="230">
        <f t="shared" si="26"/>
        <v>-76587.399999999994</v>
      </c>
      <c r="E36" s="230">
        <v>22341.8</v>
      </c>
      <c r="F36" s="230">
        <v>30961.9</v>
      </c>
      <c r="G36" s="230">
        <f t="shared" si="27"/>
        <v>-8620.1000000000022</v>
      </c>
      <c r="H36" s="230">
        <v>603.79999999999995</v>
      </c>
      <c r="I36" s="230">
        <v>5996.4</v>
      </c>
      <c r="J36" s="230">
        <f t="shared" si="28"/>
        <v>-5392.5999999999995</v>
      </c>
      <c r="K36" s="230">
        <v>45.7</v>
      </c>
      <c r="L36" s="230">
        <v>42860.4</v>
      </c>
      <c r="M36" s="230">
        <f t="shared" si="29"/>
        <v>42906.1</v>
      </c>
      <c r="N36" s="230">
        <f t="shared" si="30"/>
        <v>-47694.000000000007</v>
      </c>
      <c r="O36" s="1700" t="s">
        <v>1339</v>
      </c>
      <c r="P36" s="230">
        <v>606.4</v>
      </c>
      <c r="Q36" s="230">
        <v>-6373.6</v>
      </c>
      <c r="R36" s="230">
        <v>570.1</v>
      </c>
      <c r="S36" s="230">
        <v>-40831.5</v>
      </c>
      <c r="T36" s="230">
        <v>-148</v>
      </c>
      <c r="U36" s="230">
        <f t="shared" si="31"/>
        <v>-46783</v>
      </c>
      <c r="V36" s="230">
        <f t="shared" si="21"/>
        <v>304.60000000000582</v>
      </c>
    </row>
    <row r="37" spans="1:22" s="164" customFormat="1" ht="10.5" customHeight="1">
      <c r="A37" s="323" t="s">
        <v>1340</v>
      </c>
      <c r="B37" s="289">
        <v>113777</v>
      </c>
      <c r="C37" s="289">
        <v>193965.9</v>
      </c>
      <c r="D37" s="289">
        <f t="shared" si="26"/>
        <v>-80188.899999999994</v>
      </c>
      <c r="E37" s="289">
        <v>21237.8</v>
      </c>
      <c r="F37" s="289">
        <v>29981.4</v>
      </c>
      <c r="G37" s="289">
        <f t="shared" si="27"/>
        <v>-8743.6000000000022</v>
      </c>
      <c r="H37" s="289">
        <v>909.2</v>
      </c>
      <c r="I37" s="289">
        <v>7264.9</v>
      </c>
      <c r="J37" s="289">
        <f t="shared" si="28"/>
        <v>-6355.7</v>
      </c>
      <c r="K37" s="289">
        <v>24</v>
      </c>
      <c r="L37" s="289">
        <v>44590.5</v>
      </c>
      <c r="M37" s="289">
        <f t="shared" si="29"/>
        <v>44614.5</v>
      </c>
      <c r="N37" s="289">
        <f t="shared" si="30"/>
        <v>-50673.7</v>
      </c>
      <c r="O37" s="323" t="s">
        <v>1340</v>
      </c>
      <c r="P37" s="289">
        <v>239.3</v>
      </c>
      <c r="Q37" s="289">
        <v>-4441.8999999999996</v>
      </c>
      <c r="R37" s="289">
        <v>590.70000000000005</v>
      </c>
      <c r="S37" s="289">
        <v>-33771.199999999997</v>
      </c>
      <c r="T37" s="289">
        <v>-16767.2</v>
      </c>
      <c r="U37" s="289">
        <f t="shared" si="31"/>
        <v>-54389.599999999991</v>
      </c>
      <c r="V37" s="289">
        <f t="shared" si="21"/>
        <v>-3955.1999999999971</v>
      </c>
    </row>
    <row r="38" spans="1:22" s="164" customFormat="1" ht="10.5" customHeight="1">
      <c r="A38" s="1700" t="s">
        <v>1341</v>
      </c>
      <c r="B38" s="230">
        <v>113011.5</v>
      </c>
      <c r="C38" s="230">
        <v>185592.6</v>
      </c>
      <c r="D38" s="230">
        <f t="shared" si="26"/>
        <v>-72581.100000000006</v>
      </c>
      <c r="E38" s="230">
        <v>24147</v>
      </c>
      <c r="F38" s="230">
        <v>33505.800000000003</v>
      </c>
      <c r="G38" s="230">
        <f t="shared" si="27"/>
        <v>-9358.8000000000029</v>
      </c>
      <c r="H38" s="230">
        <v>867.1</v>
      </c>
      <c r="I38" s="230">
        <v>6830.3</v>
      </c>
      <c r="J38" s="230">
        <f t="shared" si="28"/>
        <v>-5963.2</v>
      </c>
      <c r="K38" s="230">
        <v>19.8</v>
      </c>
      <c r="L38" s="230">
        <v>52315.3</v>
      </c>
      <c r="M38" s="230">
        <f t="shared" si="29"/>
        <v>52335.100000000006</v>
      </c>
      <c r="N38" s="230">
        <f t="shared" si="30"/>
        <v>-35568</v>
      </c>
      <c r="O38" s="1700" t="s">
        <v>1341</v>
      </c>
      <c r="P38" s="230">
        <v>243</v>
      </c>
      <c r="Q38" s="230">
        <v>-1705.7</v>
      </c>
      <c r="R38" s="230">
        <v>1110.5</v>
      </c>
      <c r="S38" s="230">
        <v>-29280.799999999999</v>
      </c>
      <c r="T38" s="230">
        <v>-14507.9</v>
      </c>
      <c r="U38" s="230">
        <f t="shared" si="31"/>
        <v>-44383.9</v>
      </c>
      <c r="V38" s="230">
        <f t="shared" si="21"/>
        <v>-9058.9000000000015</v>
      </c>
    </row>
    <row r="39" spans="1:22" s="164" customFormat="1" ht="10.5" customHeight="1">
      <c r="A39" s="1822" t="s">
        <v>2183</v>
      </c>
      <c r="B39" s="910">
        <f>SUM(B40:B43)</f>
        <v>430804.8</v>
      </c>
      <c r="C39" s="909">
        <f t="shared" ref="C39:N39" si="32">SUM(C40:C43)</f>
        <v>701529.2</v>
      </c>
      <c r="D39" s="910">
        <f t="shared" si="32"/>
        <v>-270724.39999999997</v>
      </c>
      <c r="E39" s="910">
        <f t="shared" si="32"/>
        <v>69705</v>
      </c>
      <c r="F39" s="910">
        <f t="shared" si="32"/>
        <v>95520.7</v>
      </c>
      <c r="G39" s="910">
        <f t="shared" si="32"/>
        <v>-25815.699999999997</v>
      </c>
      <c r="H39" s="910">
        <f t="shared" si="32"/>
        <v>4556.5</v>
      </c>
      <c r="I39" s="910">
        <f t="shared" si="32"/>
        <v>37921</v>
      </c>
      <c r="J39" s="910">
        <f t="shared" si="32"/>
        <v>-33364.5</v>
      </c>
      <c r="K39" s="910">
        <f t="shared" si="32"/>
        <v>934.4</v>
      </c>
      <c r="L39" s="910">
        <f t="shared" si="32"/>
        <v>220411.5</v>
      </c>
      <c r="M39" s="910">
        <f t="shared" si="32"/>
        <v>221345.9</v>
      </c>
      <c r="N39" s="910">
        <f t="shared" si="32"/>
        <v>-108558.69999999998</v>
      </c>
      <c r="O39" s="1822" t="s">
        <v>2183</v>
      </c>
      <c r="P39" s="909">
        <f t="shared" ref="P39:V39" si="33">SUM(P40:P43)</f>
        <v>5028.2</v>
      </c>
      <c r="Q39" s="909">
        <f t="shared" si="33"/>
        <v>-15783.8</v>
      </c>
      <c r="R39" s="909">
        <f t="shared" si="33"/>
        <v>2588.1999999999998</v>
      </c>
      <c r="S39" s="909">
        <f t="shared" si="33"/>
        <v>-53242.5</v>
      </c>
      <c r="T39" s="909">
        <f t="shared" si="33"/>
        <v>-81950.299999999988</v>
      </c>
      <c r="U39" s="909">
        <f t="shared" si="33"/>
        <v>-148388.40000000002</v>
      </c>
      <c r="V39" s="909">
        <f t="shared" si="33"/>
        <v>-44857.900000000038</v>
      </c>
    </row>
    <row r="40" spans="1:22" s="1434" customFormat="1" ht="10.5" customHeight="1">
      <c r="A40" s="1700" t="s">
        <v>1342</v>
      </c>
      <c r="B40" s="230">
        <v>106024.1</v>
      </c>
      <c r="C40" s="230">
        <v>184235.1</v>
      </c>
      <c r="D40" s="230">
        <f t="shared" si="26"/>
        <v>-78211</v>
      </c>
      <c r="E40" s="230">
        <v>18099.3</v>
      </c>
      <c r="F40" s="230">
        <v>24790.6</v>
      </c>
      <c r="G40" s="230">
        <f t="shared" ref="G40:G43" si="34">E40-F40</f>
        <v>-6691.2999999999993</v>
      </c>
      <c r="H40" s="230">
        <v>1004.8</v>
      </c>
      <c r="I40" s="230">
        <v>7625.3</v>
      </c>
      <c r="J40" s="230">
        <f t="shared" ref="J40:J43" si="35">H40-I40</f>
        <v>-6620.5</v>
      </c>
      <c r="K40" s="230">
        <v>145.4</v>
      </c>
      <c r="L40" s="230">
        <v>54880.800000000003</v>
      </c>
      <c r="M40" s="230">
        <f t="shared" ref="M40:M43" si="36">K40+L40</f>
        <v>55026.200000000004</v>
      </c>
      <c r="N40" s="230">
        <f t="shared" ref="N40:N43" si="37">D40+G40+J40+M40</f>
        <v>-36496.6</v>
      </c>
      <c r="O40" s="1700" t="s">
        <v>1342</v>
      </c>
      <c r="P40" s="230">
        <v>344.4</v>
      </c>
      <c r="Q40" s="230">
        <v>-4664.8</v>
      </c>
      <c r="R40" s="230">
        <v>556.9</v>
      </c>
      <c r="S40" s="230">
        <v>3612.5</v>
      </c>
      <c r="T40" s="230">
        <v>-43937.3</v>
      </c>
      <c r="U40" s="230">
        <f t="shared" ref="U40:U43" si="38">Q40+R40+S40+T40</f>
        <v>-44432.700000000004</v>
      </c>
      <c r="V40" s="230">
        <f t="shared" ref="V40:V43" si="39">-(N40+P40-U40)</f>
        <v>-8280.5000000000073</v>
      </c>
    </row>
    <row r="41" spans="1:22" s="164" customFormat="1" ht="10.5" customHeight="1">
      <c r="A41" s="323" t="s">
        <v>1339</v>
      </c>
      <c r="B41" s="289">
        <v>111127.8</v>
      </c>
      <c r="C41" s="289">
        <v>185540.5</v>
      </c>
      <c r="D41" s="289">
        <f t="shared" si="26"/>
        <v>-74412.7</v>
      </c>
      <c r="E41" s="289">
        <v>18472.3</v>
      </c>
      <c r="F41" s="289">
        <v>23245.3</v>
      </c>
      <c r="G41" s="289">
        <f t="shared" si="34"/>
        <v>-4773</v>
      </c>
      <c r="H41" s="289">
        <v>1155.9000000000001</v>
      </c>
      <c r="I41" s="289">
        <v>7758.2</v>
      </c>
      <c r="J41" s="289">
        <f t="shared" si="35"/>
        <v>-6602.2999999999993</v>
      </c>
      <c r="K41" s="289">
        <v>229.1</v>
      </c>
      <c r="L41" s="289">
        <v>48728.9</v>
      </c>
      <c r="M41" s="289">
        <f t="shared" si="36"/>
        <v>48958</v>
      </c>
      <c r="N41" s="289">
        <f t="shared" si="37"/>
        <v>-36830</v>
      </c>
      <c r="O41" s="323" t="s">
        <v>1339</v>
      </c>
      <c r="P41" s="289">
        <v>1347.6</v>
      </c>
      <c r="Q41" s="289">
        <v>-3596.8</v>
      </c>
      <c r="R41" s="289">
        <v>686.7</v>
      </c>
      <c r="S41" s="289">
        <v>-17646</v>
      </c>
      <c r="T41" s="289">
        <v>-26620.2</v>
      </c>
      <c r="U41" s="289">
        <f t="shared" si="38"/>
        <v>-47176.3</v>
      </c>
      <c r="V41" s="289">
        <f t="shared" si="39"/>
        <v>-11693.900000000001</v>
      </c>
    </row>
    <row r="42" spans="1:22" s="164" customFormat="1" ht="10.5" customHeight="1">
      <c r="A42" s="1700" t="s">
        <v>1340</v>
      </c>
      <c r="B42" s="230">
        <v>107051.6</v>
      </c>
      <c r="C42" s="230">
        <v>165165.29999999999</v>
      </c>
      <c r="D42" s="230">
        <f t="shared" si="26"/>
        <v>-58113.699999999983</v>
      </c>
      <c r="E42" s="230">
        <v>16162.1</v>
      </c>
      <c r="F42" s="230">
        <v>21245.599999999999</v>
      </c>
      <c r="G42" s="230">
        <f t="shared" si="34"/>
        <v>-5083.4999999999982</v>
      </c>
      <c r="H42" s="230">
        <v>1128.0999999999999</v>
      </c>
      <c r="I42" s="230">
        <v>9032.7000000000007</v>
      </c>
      <c r="J42" s="230">
        <f t="shared" si="35"/>
        <v>-7904.6</v>
      </c>
      <c r="K42" s="230">
        <v>232.9</v>
      </c>
      <c r="L42" s="230">
        <v>56976.4</v>
      </c>
      <c r="M42" s="230">
        <f t="shared" si="36"/>
        <v>57209.3</v>
      </c>
      <c r="N42" s="230">
        <f t="shared" si="37"/>
        <v>-13892.499999999985</v>
      </c>
      <c r="O42" s="1700" t="s">
        <v>1340</v>
      </c>
      <c r="P42" s="230">
        <v>1229.2</v>
      </c>
      <c r="Q42" s="230">
        <v>-3165.5</v>
      </c>
      <c r="R42" s="230">
        <v>796.7</v>
      </c>
      <c r="S42" s="230">
        <v>98.4</v>
      </c>
      <c r="T42" s="230">
        <v>-20936.400000000001</v>
      </c>
      <c r="U42" s="230">
        <f t="shared" si="38"/>
        <v>-23206.800000000003</v>
      </c>
      <c r="V42" s="230">
        <f t="shared" si="39"/>
        <v>-10543.500000000018</v>
      </c>
    </row>
    <row r="43" spans="1:22" s="164" customFormat="1" ht="10.5" customHeight="1">
      <c r="A43" s="323" t="s">
        <v>1341</v>
      </c>
      <c r="B43" s="289">
        <v>106601.3</v>
      </c>
      <c r="C43" s="289">
        <v>166588.29999999999</v>
      </c>
      <c r="D43" s="289">
        <f t="shared" si="26"/>
        <v>-59986.999999999985</v>
      </c>
      <c r="E43" s="289">
        <v>16971.3</v>
      </c>
      <c r="F43" s="289">
        <v>26239.200000000001</v>
      </c>
      <c r="G43" s="289">
        <f t="shared" si="34"/>
        <v>-9267.9000000000015</v>
      </c>
      <c r="H43" s="289">
        <v>1267.7</v>
      </c>
      <c r="I43" s="289">
        <v>13504.8</v>
      </c>
      <c r="J43" s="289">
        <f t="shared" si="35"/>
        <v>-12237.099999999999</v>
      </c>
      <c r="K43" s="289">
        <v>327</v>
      </c>
      <c r="L43" s="289">
        <v>59825.4</v>
      </c>
      <c r="M43" s="289">
        <f t="shared" si="36"/>
        <v>60152.4</v>
      </c>
      <c r="N43" s="289">
        <f t="shared" si="37"/>
        <v>-21339.599999999999</v>
      </c>
      <c r="O43" s="323" t="s">
        <v>1341</v>
      </c>
      <c r="P43" s="289">
        <v>2107</v>
      </c>
      <c r="Q43" s="289">
        <v>-4356.7</v>
      </c>
      <c r="R43" s="289">
        <v>547.9</v>
      </c>
      <c r="S43" s="289">
        <v>-39307.4</v>
      </c>
      <c r="T43" s="289">
        <v>9543.6</v>
      </c>
      <c r="U43" s="289">
        <f t="shared" si="38"/>
        <v>-33572.600000000006</v>
      </c>
      <c r="V43" s="289">
        <f t="shared" si="39"/>
        <v>-14340.000000000007</v>
      </c>
    </row>
    <row r="44" spans="1:22" s="164" customFormat="1" ht="10.5" customHeight="1">
      <c r="A44" s="1639" t="s">
        <v>2345</v>
      </c>
      <c r="B44" s="1015">
        <f>SUM(B45:B48)</f>
        <v>453354.80000000005</v>
      </c>
      <c r="C44" s="927">
        <f t="shared" ref="C44:N44" si="40">SUM(C45:C48)</f>
        <v>702677.4</v>
      </c>
      <c r="D44" s="1015">
        <f t="shared" si="40"/>
        <v>-249322.60000000003</v>
      </c>
      <c r="E44" s="1015">
        <f t="shared" si="40"/>
        <v>69982.200000000012</v>
      </c>
      <c r="F44" s="1015">
        <f t="shared" si="40"/>
        <v>113600.00000000001</v>
      </c>
      <c r="G44" s="1015">
        <f t="shared" si="40"/>
        <v>-43617.8</v>
      </c>
      <c r="H44" s="1015">
        <f t="shared" si="40"/>
        <v>5882.6</v>
      </c>
      <c r="I44" s="1015">
        <f t="shared" si="40"/>
        <v>53883.7</v>
      </c>
      <c r="J44" s="1015">
        <f t="shared" si="40"/>
        <v>-48001.100000000006</v>
      </c>
      <c r="K44" s="1015">
        <f t="shared" si="40"/>
        <v>811.2</v>
      </c>
      <c r="L44" s="1015">
        <f t="shared" si="40"/>
        <v>270249.2</v>
      </c>
      <c r="M44" s="1015">
        <f t="shared" si="40"/>
        <v>271060.40000000002</v>
      </c>
      <c r="N44" s="1015">
        <f t="shared" si="40"/>
        <v>-69881.100000000035</v>
      </c>
      <c r="O44" s="1639" t="s">
        <v>2345</v>
      </c>
      <c r="P44" s="927">
        <f t="shared" ref="P44:V44" si="41">SUM(P45:P48)</f>
        <v>6276.9</v>
      </c>
      <c r="Q44" s="927">
        <f t="shared" si="41"/>
        <v>-16288.1</v>
      </c>
      <c r="R44" s="927">
        <f t="shared" si="41"/>
        <v>1886.7</v>
      </c>
      <c r="S44" s="927">
        <f t="shared" si="41"/>
        <v>-55811.899999999994</v>
      </c>
      <c r="T44" s="927">
        <f t="shared" si="41"/>
        <v>-29937.9</v>
      </c>
      <c r="U44" s="927">
        <f t="shared" si="41"/>
        <v>-100151.19999999998</v>
      </c>
      <c r="V44" s="927">
        <f t="shared" si="41"/>
        <v>-36546.999999999971</v>
      </c>
    </row>
    <row r="45" spans="1:22" s="164" customFormat="1" ht="10.5" customHeight="1">
      <c r="A45" s="1701" t="s">
        <v>1342</v>
      </c>
      <c r="B45" s="289">
        <v>109930.5</v>
      </c>
      <c r="C45" s="289">
        <v>164757.1</v>
      </c>
      <c r="D45" s="289">
        <f t="shared" si="26"/>
        <v>-54826.600000000006</v>
      </c>
      <c r="E45" s="289">
        <v>15940.8</v>
      </c>
      <c r="F45" s="289">
        <v>25681.5</v>
      </c>
      <c r="G45" s="289">
        <f t="shared" ref="G45:G48" si="42">E45-F45</f>
        <v>-9740.7000000000007</v>
      </c>
      <c r="H45" s="289">
        <v>1391.9</v>
      </c>
      <c r="I45" s="289">
        <v>11344.6</v>
      </c>
      <c r="J45" s="289">
        <f t="shared" ref="J45:J48" si="43">H45-I45</f>
        <v>-9952.7000000000007</v>
      </c>
      <c r="K45" s="289">
        <v>95.1</v>
      </c>
      <c r="L45" s="289">
        <v>54737.3</v>
      </c>
      <c r="M45" s="289">
        <f t="shared" ref="M45:M48" si="44">K45+L45</f>
        <v>54832.4</v>
      </c>
      <c r="N45" s="289">
        <f t="shared" ref="N45:N48" si="45">D45+G45+J45+M45</f>
        <v>-19687.599999999999</v>
      </c>
      <c r="O45" s="323" t="s">
        <v>1342</v>
      </c>
      <c r="P45" s="289">
        <v>459.8</v>
      </c>
      <c r="Q45" s="289">
        <v>-3863.9</v>
      </c>
      <c r="R45" s="289">
        <v>393.1</v>
      </c>
      <c r="S45" s="289">
        <v>23350.400000000001</v>
      </c>
      <c r="T45" s="289">
        <v>-38430.5</v>
      </c>
      <c r="U45" s="289">
        <f t="shared" ref="U45:U48" si="46">Q45+R45+S45+T45</f>
        <v>-18550.899999999998</v>
      </c>
      <c r="V45" s="289">
        <f t="shared" ref="V45:V48" si="47">-(N45+P45-U45)</f>
        <v>676.90000000000146</v>
      </c>
    </row>
    <row r="46" spans="1:22" s="164" customFormat="1" ht="10.5" customHeight="1">
      <c r="A46" s="1812" t="s">
        <v>1339</v>
      </c>
      <c r="B46" s="230">
        <v>111230.39999999999</v>
      </c>
      <c r="C46" s="230">
        <v>179490</v>
      </c>
      <c r="D46" s="230">
        <f t="shared" si="26"/>
        <v>-68259.600000000006</v>
      </c>
      <c r="E46" s="230">
        <v>18470</v>
      </c>
      <c r="F46" s="230">
        <v>26594.799999999999</v>
      </c>
      <c r="G46" s="230">
        <f t="shared" si="42"/>
        <v>-8124.7999999999993</v>
      </c>
      <c r="H46" s="230">
        <v>1346.7</v>
      </c>
      <c r="I46" s="230">
        <v>13143.4</v>
      </c>
      <c r="J46" s="230">
        <f t="shared" si="43"/>
        <v>-11796.699999999999</v>
      </c>
      <c r="K46" s="230">
        <v>152.80000000000001</v>
      </c>
      <c r="L46" s="230">
        <v>66149.100000000006</v>
      </c>
      <c r="M46" s="230">
        <f t="shared" si="44"/>
        <v>66301.900000000009</v>
      </c>
      <c r="N46" s="230">
        <f t="shared" si="45"/>
        <v>-21879.199999999997</v>
      </c>
      <c r="O46" s="1700" t="s">
        <v>1339</v>
      </c>
      <c r="P46" s="230">
        <v>1298.5</v>
      </c>
      <c r="Q46" s="230">
        <v>-4317.6000000000004</v>
      </c>
      <c r="R46" s="230">
        <v>599.4</v>
      </c>
      <c r="S46" s="230">
        <v>-33193.699999999997</v>
      </c>
      <c r="T46" s="230">
        <v>6949.5</v>
      </c>
      <c r="U46" s="230">
        <f t="shared" si="46"/>
        <v>-29962.399999999994</v>
      </c>
      <c r="V46" s="230">
        <f t="shared" si="47"/>
        <v>-9381.6999999999971</v>
      </c>
    </row>
    <row r="47" spans="1:22" s="164" customFormat="1" ht="10.5" customHeight="1">
      <c r="A47" s="1701" t="s">
        <v>1340</v>
      </c>
      <c r="B47" s="289">
        <v>119122.3</v>
      </c>
      <c r="C47" s="289">
        <v>169390.2</v>
      </c>
      <c r="D47" s="289">
        <f t="shared" si="26"/>
        <v>-50267.900000000009</v>
      </c>
      <c r="E47" s="289">
        <v>16770.3</v>
      </c>
      <c r="F47" s="289">
        <v>28179.4</v>
      </c>
      <c r="G47" s="289">
        <f t="shared" si="42"/>
        <v>-11409.100000000002</v>
      </c>
      <c r="H47" s="289">
        <v>1787.6</v>
      </c>
      <c r="I47" s="289">
        <v>14591.1</v>
      </c>
      <c r="J47" s="289">
        <f t="shared" si="43"/>
        <v>-12803.5</v>
      </c>
      <c r="K47" s="289">
        <v>198.9</v>
      </c>
      <c r="L47" s="289">
        <v>69915</v>
      </c>
      <c r="M47" s="289">
        <f t="shared" si="44"/>
        <v>70113.899999999994</v>
      </c>
      <c r="N47" s="289">
        <f t="shared" si="45"/>
        <v>-4366.6000000000204</v>
      </c>
      <c r="O47" s="287" t="s">
        <v>1340</v>
      </c>
      <c r="P47" s="289">
        <v>1400.2</v>
      </c>
      <c r="Q47" s="289">
        <v>-4737.6000000000004</v>
      </c>
      <c r="R47" s="289">
        <v>232.9</v>
      </c>
      <c r="S47" s="289">
        <v>14170.2</v>
      </c>
      <c r="T47" s="289">
        <v>-19439.5</v>
      </c>
      <c r="U47" s="289">
        <f t="shared" si="46"/>
        <v>-9774</v>
      </c>
      <c r="V47" s="289">
        <f t="shared" si="47"/>
        <v>-6807.5999999999794</v>
      </c>
    </row>
    <row r="48" spans="1:22" s="164" customFormat="1" ht="10.5" customHeight="1">
      <c r="A48" s="1812" t="s">
        <v>1341</v>
      </c>
      <c r="B48" s="230">
        <v>113071.6</v>
      </c>
      <c r="C48" s="230">
        <v>189040.1</v>
      </c>
      <c r="D48" s="230">
        <f t="shared" si="26"/>
        <v>-75968.5</v>
      </c>
      <c r="E48" s="230">
        <v>18801.099999999999</v>
      </c>
      <c r="F48" s="230">
        <v>33144.300000000003</v>
      </c>
      <c r="G48" s="230">
        <f t="shared" si="42"/>
        <v>-14343.200000000004</v>
      </c>
      <c r="H48" s="230">
        <v>1356.4</v>
      </c>
      <c r="I48" s="230">
        <v>14804.6</v>
      </c>
      <c r="J48" s="230">
        <f t="shared" si="43"/>
        <v>-13448.2</v>
      </c>
      <c r="K48" s="230">
        <v>364.4</v>
      </c>
      <c r="L48" s="230">
        <v>79447.8</v>
      </c>
      <c r="M48" s="230">
        <f t="shared" si="44"/>
        <v>79812.2</v>
      </c>
      <c r="N48" s="230">
        <f t="shared" si="45"/>
        <v>-23947.700000000012</v>
      </c>
      <c r="O48" s="228" t="s">
        <v>1341</v>
      </c>
      <c r="P48" s="230">
        <v>3118.4</v>
      </c>
      <c r="Q48" s="230">
        <v>-3369</v>
      </c>
      <c r="R48" s="230">
        <v>661.3</v>
      </c>
      <c r="S48" s="230">
        <v>-60138.8</v>
      </c>
      <c r="T48" s="230">
        <v>20982.6</v>
      </c>
      <c r="U48" s="230">
        <f t="shared" si="46"/>
        <v>-41863.9</v>
      </c>
      <c r="V48" s="230">
        <f t="shared" si="47"/>
        <v>-21034.599999999991</v>
      </c>
    </row>
    <row r="49" spans="1:22" s="162" customFormat="1" ht="10.5" customHeight="1">
      <c r="A49" s="1702" t="s">
        <v>2680</v>
      </c>
      <c r="B49" s="289"/>
      <c r="C49" s="289"/>
      <c r="D49" s="289"/>
      <c r="E49" s="289"/>
      <c r="F49" s="289"/>
      <c r="G49" s="289"/>
      <c r="H49" s="289"/>
      <c r="I49" s="289"/>
      <c r="J49" s="289"/>
      <c r="K49" s="289"/>
      <c r="L49" s="289"/>
      <c r="M49" s="289"/>
      <c r="N49" s="289"/>
      <c r="O49" s="1702" t="s">
        <v>2680</v>
      </c>
      <c r="P49" s="289"/>
      <c r="Q49" s="289"/>
      <c r="R49" s="289"/>
      <c r="S49" s="289"/>
      <c r="T49" s="289"/>
      <c r="U49" s="289"/>
      <c r="V49" s="289"/>
    </row>
    <row r="50" spans="1:22" s="162" customFormat="1" ht="10.5" customHeight="1">
      <c r="A50" s="228" t="s">
        <v>2950</v>
      </c>
      <c r="B50" s="230">
        <v>41059</v>
      </c>
      <c r="C50" s="230">
        <v>58284.9</v>
      </c>
      <c r="D50" s="230">
        <f t="shared" si="26"/>
        <v>-17225.900000000001</v>
      </c>
      <c r="E50" s="230">
        <v>5880</v>
      </c>
      <c r="F50" s="230">
        <v>9820.5</v>
      </c>
      <c r="G50" s="230">
        <f t="shared" ref="G50:G55" si="48">E50-F50</f>
        <v>-3940.5</v>
      </c>
      <c r="H50" s="230">
        <v>366.5</v>
      </c>
      <c r="I50" s="230">
        <v>4480.6000000000004</v>
      </c>
      <c r="J50" s="230">
        <f t="shared" ref="J50:J55" si="49">H50-I50</f>
        <v>-4114.1000000000004</v>
      </c>
      <c r="K50" s="230">
        <v>58.9</v>
      </c>
      <c r="L50" s="230">
        <v>23096.9</v>
      </c>
      <c r="M50" s="230">
        <f t="shared" ref="M50:M55" si="50">K50+L50</f>
        <v>23155.800000000003</v>
      </c>
      <c r="N50" s="230">
        <f t="shared" ref="N50:N53" si="51">D50+G50+J50+M50</f>
        <v>-2124.6999999999971</v>
      </c>
      <c r="O50" s="228" t="s">
        <v>2950</v>
      </c>
      <c r="P50" s="230">
        <v>782.3</v>
      </c>
      <c r="Q50" s="230">
        <v>-1667.4</v>
      </c>
      <c r="R50" s="230">
        <v>191.4</v>
      </c>
      <c r="S50" s="230">
        <v>8132</v>
      </c>
      <c r="T50" s="230">
        <v>-16714.400000000001</v>
      </c>
      <c r="U50" s="230">
        <f t="shared" ref="U50:U53" si="52">Q50+R50+S50+T50</f>
        <v>-10058.400000000001</v>
      </c>
      <c r="V50" s="230">
        <f t="shared" ref="V50" si="53">-(N50+P50-U50)</f>
        <v>-8716.0000000000036</v>
      </c>
    </row>
    <row r="51" spans="1:22" s="162" customFormat="1" ht="10.5" customHeight="1">
      <c r="A51" s="287" t="s">
        <v>2951</v>
      </c>
      <c r="B51" s="289">
        <v>43667.4</v>
      </c>
      <c r="C51" s="289">
        <v>58990.3</v>
      </c>
      <c r="D51" s="289">
        <f t="shared" si="26"/>
        <v>-15322.900000000001</v>
      </c>
      <c r="E51" s="289">
        <v>5685.3</v>
      </c>
      <c r="F51" s="289">
        <v>9162.2999999999993</v>
      </c>
      <c r="G51" s="289">
        <f t="shared" si="48"/>
        <v>-3476.9999999999991</v>
      </c>
      <c r="H51" s="289">
        <v>777.9</v>
      </c>
      <c r="I51" s="289">
        <v>4658.5</v>
      </c>
      <c r="J51" s="289">
        <f t="shared" si="49"/>
        <v>-3880.6</v>
      </c>
      <c r="K51" s="289">
        <v>0</v>
      </c>
      <c r="L51" s="289">
        <v>26781.5</v>
      </c>
      <c r="M51" s="289">
        <f t="shared" si="50"/>
        <v>26781.5</v>
      </c>
      <c r="N51" s="289">
        <f t="shared" si="51"/>
        <v>4101</v>
      </c>
      <c r="O51" s="287" t="s">
        <v>2951</v>
      </c>
      <c r="P51" s="289">
        <v>0</v>
      </c>
      <c r="Q51" s="289">
        <v>-1681.1</v>
      </c>
      <c r="R51" s="289">
        <v>-188.4</v>
      </c>
      <c r="S51" s="289">
        <v>2141.1999999999998</v>
      </c>
      <c r="T51" s="289">
        <v>-1403</v>
      </c>
      <c r="U51" s="289">
        <f t="shared" si="52"/>
        <v>-1131.3000000000002</v>
      </c>
      <c r="V51" s="289">
        <v>-5232.3</v>
      </c>
    </row>
    <row r="52" spans="1:22" s="162" customFormat="1" ht="10.5" customHeight="1">
      <c r="A52" s="228" t="s">
        <v>2952</v>
      </c>
      <c r="B52" s="230">
        <v>40702.9</v>
      </c>
      <c r="C52" s="230">
        <v>63300.7</v>
      </c>
      <c r="D52" s="230">
        <f t="shared" si="26"/>
        <v>-22597.799999999996</v>
      </c>
      <c r="E52" s="230">
        <v>7295.4</v>
      </c>
      <c r="F52" s="230">
        <v>11212.1</v>
      </c>
      <c r="G52" s="230">
        <f t="shared" si="48"/>
        <v>-3916.7000000000007</v>
      </c>
      <c r="H52" s="230">
        <v>484.5</v>
      </c>
      <c r="I52" s="230">
        <v>5719.4</v>
      </c>
      <c r="J52" s="230">
        <f t="shared" si="49"/>
        <v>-5234.8999999999996</v>
      </c>
      <c r="K52" s="230">
        <v>260.8</v>
      </c>
      <c r="L52" s="230">
        <v>29384.7</v>
      </c>
      <c r="M52" s="230">
        <f t="shared" si="50"/>
        <v>29645.5</v>
      </c>
      <c r="N52" s="230">
        <f t="shared" si="51"/>
        <v>-2103.8999999999942</v>
      </c>
      <c r="O52" s="228" t="s">
        <v>2952</v>
      </c>
      <c r="P52" s="230">
        <v>1073.0999999999999</v>
      </c>
      <c r="Q52" s="230">
        <v>-1466.4</v>
      </c>
      <c r="R52" s="230">
        <v>-30</v>
      </c>
      <c r="S52" s="230">
        <v>3825.2</v>
      </c>
      <c r="T52" s="230">
        <v>-8789.5</v>
      </c>
      <c r="U52" s="230">
        <f t="shared" si="52"/>
        <v>-6460.7000000000007</v>
      </c>
      <c r="V52" s="230">
        <v>-5429.9</v>
      </c>
    </row>
    <row r="53" spans="1:22" s="162" customFormat="1" ht="10.5" customHeight="1">
      <c r="A53" s="287" t="s">
        <v>2953</v>
      </c>
      <c r="B53" s="289">
        <v>44709.5</v>
      </c>
      <c r="C53" s="289">
        <v>69158</v>
      </c>
      <c r="D53" s="289">
        <f t="shared" si="26"/>
        <v>-24448.5</v>
      </c>
      <c r="E53" s="289">
        <v>6701.1</v>
      </c>
      <c r="F53" s="289">
        <v>12350.3</v>
      </c>
      <c r="G53" s="289">
        <f t="shared" si="48"/>
        <v>-5649.1999999999989</v>
      </c>
      <c r="H53" s="289">
        <v>653</v>
      </c>
      <c r="I53" s="289">
        <v>5738.5</v>
      </c>
      <c r="J53" s="289">
        <f t="shared" si="49"/>
        <v>-5085.5</v>
      </c>
      <c r="K53" s="289">
        <v>6.8</v>
      </c>
      <c r="L53" s="289">
        <v>29074.2</v>
      </c>
      <c r="M53" s="289">
        <f t="shared" si="50"/>
        <v>29081</v>
      </c>
      <c r="N53" s="289">
        <f t="shared" si="51"/>
        <v>-6102.1999999999971</v>
      </c>
      <c r="O53" s="287" t="s">
        <v>2953</v>
      </c>
      <c r="P53" s="289">
        <v>90.8</v>
      </c>
      <c r="Q53" s="289">
        <v>-1164.2</v>
      </c>
      <c r="R53" s="289">
        <v>-16.100000000000001</v>
      </c>
      <c r="S53" s="289">
        <v>-8981.6</v>
      </c>
      <c r="T53" s="289">
        <v>939.8</v>
      </c>
      <c r="U53" s="289">
        <f t="shared" si="52"/>
        <v>-9222.1</v>
      </c>
      <c r="V53" s="289">
        <f t="shared" ref="V53" si="54">-(N53+P53-U53)</f>
        <v>-3210.7000000000035</v>
      </c>
    </row>
    <row r="54" spans="1:22" s="162" customFormat="1" ht="10.5" customHeight="1">
      <c r="A54" s="228" t="s">
        <v>2954</v>
      </c>
      <c r="B54" s="230">
        <v>45555</v>
      </c>
      <c r="C54" s="230">
        <v>60640.9</v>
      </c>
      <c r="D54" s="230">
        <f>B54-C54</f>
        <v>-15085.900000000001</v>
      </c>
      <c r="E54" s="230">
        <v>6821.4</v>
      </c>
      <c r="F54" s="230">
        <v>11912</v>
      </c>
      <c r="G54" s="230">
        <f t="shared" si="48"/>
        <v>-5090.6000000000004</v>
      </c>
      <c r="H54" s="230">
        <v>939.5</v>
      </c>
      <c r="I54" s="230">
        <v>3682</v>
      </c>
      <c r="J54" s="230">
        <f t="shared" si="49"/>
        <v>-2742.5</v>
      </c>
      <c r="K54" s="230">
        <v>3.9</v>
      </c>
      <c r="L54" s="230">
        <v>26846.2</v>
      </c>
      <c r="M54" s="230">
        <f t="shared" si="50"/>
        <v>26850.100000000002</v>
      </c>
      <c r="N54" s="230">
        <f>D54+G54+J54+M54</f>
        <v>3931.1000000000022</v>
      </c>
      <c r="O54" s="228" t="s">
        <v>2954</v>
      </c>
      <c r="P54" s="230">
        <v>51.8</v>
      </c>
      <c r="Q54" s="230">
        <v>-420</v>
      </c>
      <c r="R54" s="230">
        <v>-39.9</v>
      </c>
      <c r="S54" s="230">
        <v>13248.3</v>
      </c>
      <c r="T54" s="230">
        <v>-12720.5</v>
      </c>
      <c r="U54" s="230">
        <f>Q54+R54+S54+T54</f>
        <v>67.899999999999636</v>
      </c>
      <c r="V54" s="230">
        <f>-(N54+P54-U54)</f>
        <v>-3915.0000000000027</v>
      </c>
    </row>
    <row r="55" spans="1:22" s="162" customFormat="1" ht="10.5" customHeight="1" thickBot="1">
      <c r="A55" s="1840" t="s">
        <v>561</v>
      </c>
      <c r="B55" s="1468">
        <v>50981.8</v>
      </c>
      <c r="C55" s="1468">
        <v>72901.600000000006</v>
      </c>
      <c r="D55" s="1468">
        <f>B55-C55</f>
        <v>-21919.800000000003</v>
      </c>
      <c r="E55" s="1468">
        <v>9060.2000000000007</v>
      </c>
      <c r="F55" s="1468">
        <v>12102</v>
      </c>
      <c r="G55" s="1468">
        <f t="shared" si="48"/>
        <v>-3041.7999999999993</v>
      </c>
      <c r="H55" s="1468">
        <v>539.29999999999995</v>
      </c>
      <c r="I55" s="1468">
        <v>4776.8999999999996</v>
      </c>
      <c r="J55" s="1468">
        <f t="shared" si="49"/>
        <v>-4237.5999999999995</v>
      </c>
      <c r="K55" s="1468">
        <v>164.2</v>
      </c>
      <c r="L55" s="1468">
        <v>32246.6</v>
      </c>
      <c r="M55" s="1468">
        <f t="shared" si="50"/>
        <v>32410.799999999999</v>
      </c>
      <c r="N55" s="1468">
        <f>D55+G55+J55+M55</f>
        <v>3211.5999999999985</v>
      </c>
      <c r="O55" s="1840" t="s">
        <v>561</v>
      </c>
      <c r="P55" s="1468">
        <v>587</v>
      </c>
      <c r="Q55" s="1468">
        <v>-427.2</v>
      </c>
      <c r="R55" s="1468">
        <v>-14.1</v>
      </c>
      <c r="S55" s="1468">
        <v>-31927.3</v>
      </c>
      <c r="T55" s="1468">
        <v>34700.9</v>
      </c>
      <c r="U55" s="1468">
        <f>Q55+R55+S55+T55</f>
        <v>2332.3000000000029</v>
      </c>
      <c r="V55" s="1468">
        <f>-(N55+P55-U55)</f>
        <v>-1466.2999999999956</v>
      </c>
    </row>
    <row r="56" spans="1:22" s="164" customFormat="1" ht="14.25" customHeight="1">
      <c r="A56" s="173" t="s">
        <v>1398</v>
      </c>
      <c r="B56" s="2071" t="s">
        <v>1322</v>
      </c>
      <c r="C56" s="2071"/>
      <c r="D56" s="2071"/>
      <c r="E56" s="2071"/>
      <c r="F56" s="2071"/>
      <c r="G56" s="2071"/>
      <c r="H56" s="173" t="s">
        <v>30</v>
      </c>
      <c r="I56" s="2178" t="s">
        <v>2778</v>
      </c>
      <c r="J56" s="2178"/>
      <c r="K56" s="2178"/>
      <c r="L56" s="2178"/>
      <c r="M56" s="2178"/>
      <c r="N56" s="2178"/>
      <c r="O56" s="102" t="s">
        <v>729</v>
      </c>
      <c r="P56" s="174" t="s">
        <v>1399</v>
      </c>
      <c r="Q56" s="174"/>
      <c r="R56" s="174"/>
      <c r="S56" s="174"/>
      <c r="T56" s="174"/>
      <c r="U56" s="174"/>
      <c r="V56" s="174"/>
    </row>
    <row r="57" spans="1:22" s="164" customFormat="1" ht="11.25" customHeight="1">
      <c r="A57" s="1654" t="s">
        <v>16</v>
      </c>
      <c r="B57" s="2179" t="s">
        <v>2676</v>
      </c>
      <c r="C57" s="2179"/>
      <c r="D57" s="2179"/>
      <c r="E57" s="162"/>
      <c r="F57" s="174" t="s">
        <v>260</v>
      </c>
      <c r="G57" s="162"/>
      <c r="H57" s="162"/>
      <c r="I57" s="2178"/>
      <c r="J57" s="2178"/>
      <c r="K57" s="2178"/>
      <c r="L57" s="2178"/>
      <c r="M57" s="2178"/>
      <c r="N57" s="2178"/>
      <c r="O57" s="162"/>
      <c r="P57" s="174" t="s">
        <v>1400</v>
      </c>
      <c r="Q57" s="174"/>
      <c r="R57" s="174"/>
      <c r="S57" s="174"/>
      <c r="T57" s="174"/>
      <c r="U57" s="174"/>
      <c r="V57" s="174"/>
    </row>
    <row r="58" spans="1:22" s="164" customFormat="1" ht="14.25" customHeight="1">
      <c r="I58" s="2174" t="s">
        <v>2678</v>
      </c>
      <c r="J58" s="2174"/>
      <c r="K58" s="2174"/>
      <c r="L58" s="2174"/>
      <c r="M58" s="2174"/>
      <c r="N58" s="2174"/>
      <c r="P58" s="174" t="s">
        <v>260</v>
      </c>
    </row>
    <row r="59" spans="1:22" s="164" customFormat="1">
      <c r="I59" s="2173" t="s">
        <v>2677</v>
      </c>
      <c r="J59" s="2173"/>
      <c r="K59" s="2173"/>
      <c r="L59" s="2173"/>
      <c r="M59" s="2173"/>
      <c r="N59" s="227" t="s">
        <v>2381</v>
      </c>
      <c r="Q59" s="472"/>
    </row>
    <row r="60" spans="1:22" s="164" customFormat="1">
      <c r="G60" s="175"/>
    </row>
    <row r="61" spans="1:22" s="164" customFormat="1"/>
    <row r="62" spans="1:22" s="164" customFormat="1"/>
    <row r="63" spans="1:22" s="164" customFormat="1"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</row>
    <row r="64" spans="1:22" s="164" customFormat="1">
      <c r="V64" s="175"/>
    </row>
    <row r="65" spans="7:7" s="164" customFormat="1">
      <c r="G65" s="175"/>
    </row>
    <row r="66" spans="7:7" s="164" customFormat="1"/>
    <row r="67" spans="7:7" s="164" customFormat="1"/>
    <row r="68" spans="7:7" s="164" customFormat="1"/>
    <row r="69" spans="7:7" s="164" customFormat="1"/>
    <row r="70" spans="7:7" s="164" customFormat="1"/>
    <row r="71" spans="7:7" s="164" customFormat="1"/>
    <row r="72" spans="7:7" s="164" customFormat="1"/>
    <row r="73" spans="7:7" s="164" customFormat="1"/>
    <row r="74" spans="7:7" s="164" customFormat="1"/>
    <row r="75" spans="7:7" s="164" customFormat="1">
      <c r="G75" s="175"/>
    </row>
    <row r="76" spans="7:7" s="164" customFormat="1"/>
    <row r="77" spans="7:7" s="164" customFormat="1"/>
    <row r="78" spans="7:7" s="164" customFormat="1"/>
    <row r="79" spans="7:7" s="164" customFormat="1"/>
    <row r="80" spans="7:7" s="164" customFormat="1"/>
    <row r="81" s="164" customFormat="1"/>
    <row r="82" s="164" customFormat="1"/>
    <row r="83" s="164" customFormat="1"/>
    <row r="84" s="164" customFormat="1"/>
    <row r="85" s="164" customFormat="1"/>
    <row r="86" s="164" customFormat="1"/>
    <row r="87" s="164" customFormat="1"/>
    <row r="88" s="164" customFormat="1"/>
    <row r="89" s="164" customFormat="1"/>
    <row r="90" s="164" customFormat="1"/>
    <row r="91" s="164" customFormat="1"/>
    <row r="92" s="164" customFormat="1"/>
    <row r="93" s="164" customFormat="1"/>
    <row r="94" s="164" customFormat="1"/>
    <row r="95" s="164" customFormat="1"/>
    <row r="96" s="164" customFormat="1"/>
    <row r="97" s="164" customFormat="1"/>
    <row r="98" s="164" customFormat="1"/>
    <row r="99" s="164" customFormat="1"/>
    <row r="100" s="164" customFormat="1"/>
    <row r="101" s="164" customFormat="1"/>
    <row r="102" s="164" customFormat="1"/>
    <row r="103" s="164" customFormat="1"/>
    <row r="104" s="164" customFormat="1"/>
    <row r="105" s="164" customFormat="1"/>
    <row r="106" s="164" customFormat="1"/>
    <row r="107" s="164" customFormat="1"/>
    <row r="108" s="164" customFormat="1"/>
    <row r="109" s="164" customFormat="1"/>
    <row r="110" s="164" customFormat="1"/>
    <row r="111" s="164" customFormat="1"/>
    <row r="112" s="164" customFormat="1"/>
    <row r="113" s="164" customFormat="1"/>
    <row r="114" s="164" customFormat="1"/>
    <row r="115" s="164" customFormat="1"/>
    <row r="116" s="164" customFormat="1"/>
    <row r="117" s="164" customFormat="1"/>
    <row r="118" s="164" customFormat="1"/>
    <row r="119" s="164" customFormat="1"/>
    <row r="120" s="164" customFormat="1"/>
    <row r="121" s="164" customFormat="1"/>
    <row r="122" s="164" customFormat="1"/>
    <row r="123" s="164" customFormat="1"/>
    <row r="124" s="164" customFormat="1"/>
    <row r="125" s="164" customFormat="1"/>
    <row r="126" s="164" customFormat="1"/>
    <row r="127" s="164" customFormat="1"/>
    <row r="128" s="164" customFormat="1"/>
    <row r="129" s="164" customFormat="1"/>
    <row r="130" s="164" customFormat="1"/>
    <row r="131" s="164" customFormat="1"/>
    <row r="132" s="164" customFormat="1"/>
    <row r="133" s="164" customFormat="1"/>
    <row r="134" s="164" customFormat="1"/>
    <row r="135" s="164" customFormat="1"/>
    <row r="136" s="164" customFormat="1"/>
    <row r="137" s="164" customFormat="1"/>
    <row r="138" s="164" customFormat="1"/>
    <row r="139" s="164" customFormat="1"/>
    <row r="140" s="164" customFormat="1"/>
    <row r="141" s="164" customFormat="1"/>
    <row r="142" s="164" customFormat="1"/>
    <row r="143" s="164" customFormat="1"/>
    <row r="144" s="164" customFormat="1"/>
    <row r="145" s="164" customFormat="1"/>
    <row r="146" s="164" customFormat="1"/>
    <row r="147" s="164" customFormat="1"/>
    <row r="148" s="164" customFormat="1"/>
    <row r="149" s="164" customFormat="1"/>
    <row r="150" s="164" customFormat="1"/>
    <row r="151" s="164" customFormat="1"/>
    <row r="152" s="164" customFormat="1"/>
    <row r="153" s="164" customFormat="1"/>
    <row r="154" s="164" customFormat="1"/>
    <row r="155" s="164" customFormat="1"/>
    <row r="156" s="164" customFormat="1"/>
    <row r="157" s="164" customFormat="1"/>
    <row r="158" s="164" customFormat="1"/>
    <row r="159" s="164" customFormat="1"/>
    <row r="160" s="164" customFormat="1"/>
    <row r="161" spans="1:22" s="164" customFormat="1"/>
    <row r="162" spans="1:22" s="164" customFormat="1"/>
    <row r="163" spans="1:22" s="164" customFormat="1"/>
    <row r="164" spans="1:22" s="164" customFormat="1"/>
    <row r="165" spans="1:22" s="164" customFormat="1"/>
    <row r="166" spans="1:22" s="164" customFormat="1"/>
    <row r="167" spans="1:22">
      <c r="A167" s="164"/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</row>
    <row r="168" spans="1:22">
      <c r="A168" s="164"/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</row>
    <row r="169" spans="1:22">
      <c r="A169" s="164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</row>
    <row r="170" spans="1:22">
      <c r="A170" s="164"/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</row>
    <row r="171" spans="1:22">
      <c r="A171" s="164"/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</row>
    <row r="172" spans="1:22">
      <c r="A172" s="164"/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</row>
    <row r="173" spans="1:22">
      <c r="A173" s="164"/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</row>
    <row r="174" spans="1:22">
      <c r="A174" s="164"/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</row>
    <row r="175" spans="1:22">
      <c r="A175" s="164"/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</row>
    <row r="176" spans="1:22">
      <c r="A176" s="164"/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</row>
    <row r="177" spans="1:22">
      <c r="A177" s="164"/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</row>
    <row r="178" spans="1:22">
      <c r="A178" s="164"/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</row>
  </sheetData>
  <customSheetViews>
    <customSheetView guid="{A374FC54-96E3-45F0-9C12-8450400C12DF}" scale="160">
      <pane xSplit="1" ySplit="5" topLeftCell="Q47" activePane="bottomRight" state="frozen"/>
      <selection pane="bottomRight" activeCell="X54" sqref="X54"/>
      <pageMargins left="0.62992125984252001" right="0.511811023622047" top="0.511811023622047" bottom="0.511811023622047" header="0" footer="0.47244094488188998"/>
      <pageSetup paperSize="132" firstPageNumber="28" orientation="portrait" useFirstPageNumber="1" r:id="rId1"/>
      <headerFooter alignWithMargins="0">
        <oddFooter>&amp;C&amp;"Times New Roman,Regular"&amp;8&amp;P</oddFooter>
      </headerFooter>
    </customSheetView>
  </customSheetViews>
  <mergeCells count="22">
    <mergeCell ref="A3:A5"/>
    <mergeCell ref="O3:O5"/>
    <mergeCell ref="H1:I1"/>
    <mergeCell ref="L1:N1"/>
    <mergeCell ref="L2:N2"/>
    <mergeCell ref="F1:G1"/>
    <mergeCell ref="K3:M3"/>
    <mergeCell ref="O1:S1"/>
    <mergeCell ref="E3:G3"/>
    <mergeCell ref="Q3:U3"/>
    <mergeCell ref="B3:D3"/>
    <mergeCell ref="U2:V2"/>
    <mergeCell ref="T1:V1"/>
    <mergeCell ref="H3:J3"/>
    <mergeCell ref="N3:N4"/>
    <mergeCell ref="P3:P4"/>
    <mergeCell ref="I59:M59"/>
    <mergeCell ref="I58:N58"/>
    <mergeCell ref="V3:V5"/>
    <mergeCell ref="B56:G56"/>
    <mergeCell ref="I56:N57"/>
    <mergeCell ref="B57:D57"/>
  </mergeCells>
  <phoneticPr fontId="0" type="noConversion"/>
  <pageMargins left="0.62992125984252001" right="0.511811023622047" top="0.511811023622047" bottom="0.511811023622047" header="0" footer="0.47244094488188998"/>
  <pageSetup paperSize="448" scale="98" firstPageNumber="28" orientation="portrait" useFirstPageNumber="1" r:id="rId2"/>
  <headerFooter alignWithMargins="0">
    <oddFooter>&amp;C&amp;"Times New Roman,Regular"&amp;8&amp;P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1:K63"/>
  <sheetViews>
    <sheetView zoomScale="150" zoomScaleNormal="150" workbookViewId="0">
      <pane xSplit="1" ySplit="5" topLeftCell="B45" activePane="bottomRight" state="frozen"/>
      <selection activeCell="F85" sqref="F85"/>
      <selection pane="topRight" activeCell="F85" sqref="F85"/>
      <selection pane="bottomLeft" activeCell="F85" sqref="F85"/>
      <selection pane="bottomRight" activeCell="E50" sqref="E50"/>
    </sheetView>
  </sheetViews>
  <sheetFormatPr defaultRowHeight="12.75"/>
  <cols>
    <col min="1" max="1" width="7.85546875" style="1154" customWidth="1"/>
    <col min="2" max="2" width="8.28515625" style="1154" customWidth="1"/>
    <col min="3" max="3" width="9.42578125" style="1154" customWidth="1"/>
    <col min="4" max="4" width="9.140625" style="1154"/>
    <col min="5" max="6" width="8.28515625" style="1154" customWidth="1"/>
    <col min="7" max="7" width="9.140625" style="1154"/>
    <col min="8" max="8" width="8.5703125" style="1154" customWidth="1"/>
    <col min="9" max="9" width="9.85546875" style="1154" customWidth="1"/>
    <col min="10" max="16384" width="9.140625" style="1154"/>
  </cols>
  <sheetData>
    <row r="1" spans="1:9" ht="15.75" customHeight="1">
      <c r="A1" s="2200" t="s">
        <v>1287</v>
      </c>
      <c r="B1" s="2200"/>
      <c r="C1" s="2200"/>
      <c r="D1" s="2200"/>
      <c r="E1" s="2200"/>
      <c r="F1" s="2200"/>
      <c r="G1" s="2200"/>
      <c r="H1" s="147"/>
      <c r="I1" s="148" t="s">
        <v>316</v>
      </c>
    </row>
    <row r="2" spans="1:9" ht="15" customHeight="1">
      <c r="A2" s="2200"/>
      <c r="B2" s="2200"/>
      <c r="C2" s="2200"/>
      <c r="D2" s="2200"/>
      <c r="E2" s="2200"/>
      <c r="F2" s="2200"/>
      <c r="G2" s="2200"/>
      <c r="H2" s="147"/>
    </row>
    <row r="3" spans="1:9" ht="10.5" customHeight="1">
      <c r="A3" s="1050"/>
      <c r="B3" s="1051"/>
      <c r="C3" s="1051"/>
      <c r="D3" s="1051"/>
      <c r="F3" s="969"/>
      <c r="H3" s="2201" t="s">
        <v>0</v>
      </c>
      <c r="I3" s="2201"/>
    </row>
    <row r="4" spans="1:9" s="149" customFormat="1" ht="12.95" customHeight="1">
      <c r="A4" s="2202" t="s">
        <v>487</v>
      </c>
      <c r="B4" s="2204" t="s">
        <v>335</v>
      </c>
      <c r="C4" s="2205"/>
      <c r="D4" s="2205"/>
      <c r="E4" s="2206"/>
      <c r="F4" s="2204" t="s">
        <v>336</v>
      </c>
      <c r="G4" s="2205"/>
      <c r="H4" s="2205"/>
      <c r="I4" s="2206"/>
    </row>
    <row r="5" spans="1:9" ht="36">
      <c r="A5" s="2203"/>
      <c r="B5" s="970" t="s">
        <v>783</v>
      </c>
      <c r="C5" s="970" t="s">
        <v>803</v>
      </c>
      <c r="D5" s="970" t="s">
        <v>805</v>
      </c>
      <c r="E5" s="827" t="s">
        <v>337</v>
      </c>
      <c r="F5" s="970" t="s">
        <v>784</v>
      </c>
      <c r="G5" s="970" t="s">
        <v>806</v>
      </c>
      <c r="H5" s="970" t="s">
        <v>804</v>
      </c>
      <c r="I5" s="827" t="s">
        <v>338</v>
      </c>
    </row>
    <row r="6" spans="1:9" s="52" customFormat="1" ht="11.25" customHeight="1">
      <c r="A6" s="316" t="s">
        <v>81</v>
      </c>
      <c r="B6" s="881">
        <v>515.14</v>
      </c>
      <c r="C6" s="881">
        <v>331.1</v>
      </c>
      <c r="D6" s="881">
        <v>66.78</v>
      </c>
      <c r="E6" s="881">
        <v>913.02</v>
      </c>
      <c r="F6" s="881">
        <v>5014.96</v>
      </c>
      <c r="G6" s="881">
        <v>544.21</v>
      </c>
      <c r="H6" s="881">
        <v>410.29</v>
      </c>
      <c r="I6" s="882">
        <v>5969.46</v>
      </c>
    </row>
    <row r="7" spans="1:9" s="42" customFormat="1" ht="11.25" customHeight="1">
      <c r="A7" s="152" t="s">
        <v>190</v>
      </c>
      <c r="B7" s="884">
        <v>249.95</v>
      </c>
      <c r="C7" s="884">
        <v>445.19</v>
      </c>
      <c r="D7" s="884">
        <v>83.9</v>
      </c>
      <c r="E7" s="879">
        <v>779.04</v>
      </c>
      <c r="F7" s="884">
        <v>5143.7</v>
      </c>
      <c r="G7" s="884">
        <v>612.69000000000005</v>
      </c>
      <c r="H7" s="884">
        <v>462.67</v>
      </c>
      <c r="I7" s="880">
        <v>6219.0599999999995</v>
      </c>
    </row>
    <row r="8" spans="1:9" s="42" customFormat="1" ht="11.25" customHeight="1">
      <c r="A8" s="316" t="s">
        <v>731</v>
      </c>
      <c r="B8" s="881">
        <v>454.09999999999997</v>
      </c>
      <c r="C8" s="881">
        <v>542.34999999999991</v>
      </c>
      <c r="D8" s="881">
        <v>198.42999999999998</v>
      </c>
      <c r="E8" s="881">
        <v>1194.8799999999999</v>
      </c>
      <c r="F8" s="881">
        <v>4855.47</v>
      </c>
      <c r="G8" s="881">
        <v>861.44</v>
      </c>
      <c r="H8" s="881">
        <v>533.95000000000005</v>
      </c>
      <c r="I8" s="882">
        <v>6250.86</v>
      </c>
    </row>
    <row r="9" spans="1:9" s="42" customFormat="1" ht="11.25" customHeight="1">
      <c r="A9" s="572" t="s">
        <v>840</v>
      </c>
      <c r="B9" s="884">
        <v>761.03</v>
      </c>
      <c r="C9" s="884">
        <v>645.64</v>
      </c>
      <c r="D9" s="884">
        <v>323.96000000000004</v>
      </c>
      <c r="E9" s="879">
        <v>1730.63</v>
      </c>
      <c r="F9" s="884">
        <v>6333.41</v>
      </c>
      <c r="G9" s="884">
        <v>995.87</v>
      </c>
      <c r="H9" s="884">
        <v>1033.78</v>
      </c>
      <c r="I9" s="880">
        <v>8363.06</v>
      </c>
    </row>
    <row r="10" spans="1:9" s="42" customFormat="1" ht="11.25" customHeight="1">
      <c r="A10" s="316" t="s">
        <v>1019</v>
      </c>
      <c r="B10" s="881">
        <v>233.83999999999997</v>
      </c>
      <c r="C10" s="881">
        <v>795.78</v>
      </c>
      <c r="D10" s="881">
        <v>450.71999999999997</v>
      </c>
      <c r="E10" s="881">
        <v>1480.34</v>
      </c>
      <c r="F10" s="881">
        <v>6375.35</v>
      </c>
      <c r="G10" s="881">
        <v>964.83</v>
      </c>
      <c r="H10" s="881">
        <v>2000.05</v>
      </c>
      <c r="I10" s="882">
        <v>9340.23</v>
      </c>
    </row>
    <row r="11" spans="1:9" s="42" customFormat="1" ht="11.25" customHeight="1">
      <c r="A11" s="572" t="s">
        <v>1070</v>
      </c>
      <c r="B11" s="884">
        <v>528.03</v>
      </c>
      <c r="C11" s="884">
        <v>1141.3400000000001</v>
      </c>
      <c r="D11" s="884">
        <v>164.5</v>
      </c>
      <c r="E11" s="879">
        <v>1833.8700000000001</v>
      </c>
      <c r="F11" s="251">
        <v>9027.07</v>
      </c>
      <c r="G11" s="251">
        <v>1326.11</v>
      </c>
      <c r="H11" s="251">
        <v>2147.9499999999998</v>
      </c>
      <c r="I11" s="251">
        <v>12501.130000000001</v>
      </c>
    </row>
    <row r="12" spans="1:9" s="42" customFormat="1" ht="11.25" customHeight="1">
      <c r="A12" s="615" t="s">
        <v>1193</v>
      </c>
      <c r="B12" s="885">
        <v>505.55</v>
      </c>
      <c r="C12" s="885">
        <v>1154.4499999999998</v>
      </c>
      <c r="D12" s="885">
        <v>343.53</v>
      </c>
      <c r="E12" s="885">
        <v>2003.5299999999997</v>
      </c>
      <c r="F12" s="485">
        <v>9549.39</v>
      </c>
      <c r="G12" s="485">
        <v>1585.21</v>
      </c>
      <c r="H12" s="485">
        <v>2311.54</v>
      </c>
      <c r="I12" s="485">
        <v>13446.14</v>
      </c>
    </row>
    <row r="13" spans="1:9" s="42" customFormat="1" ht="11.25" customHeight="1">
      <c r="A13" s="237" t="s">
        <v>1225</v>
      </c>
      <c r="B13" s="883">
        <v>1006.74</v>
      </c>
      <c r="C13" s="883">
        <v>1253</v>
      </c>
      <c r="D13" s="883">
        <v>195.07</v>
      </c>
      <c r="E13" s="883">
        <v>2454.81</v>
      </c>
      <c r="F13" s="486">
        <v>9527.51</v>
      </c>
      <c r="G13" s="486">
        <v>2699.93</v>
      </c>
      <c r="H13" s="486">
        <v>2239.13</v>
      </c>
      <c r="I13" s="887">
        <v>14466.57</v>
      </c>
    </row>
    <row r="14" spans="1:9" s="42" customFormat="1" ht="11.25" customHeight="1">
      <c r="A14" s="315" t="s">
        <v>1350</v>
      </c>
      <c r="B14" s="885">
        <f>B15+B16+B17+B18</f>
        <v>614.76</v>
      </c>
      <c r="C14" s="885">
        <f t="shared" ref="C14:E14" si="0">C15+C16+C17+C18</f>
        <v>1253.44</v>
      </c>
      <c r="D14" s="885">
        <f t="shared" si="0"/>
        <v>712.24</v>
      </c>
      <c r="E14" s="885">
        <f t="shared" si="0"/>
        <v>2580.4399999999996</v>
      </c>
      <c r="F14" s="485">
        <f>F18</f>
        <v>9895.7800000000007</v>
      </c>
      <c r="G14" s="485">
        <f>G18</f>
        <v>3080.35</v>
      </c>
      <c r="H14" s="485">
        <f>H18</f>
        <v>2815.21</v>
      </c>
      <c r="I14" s="886">
        <f t="shared" ref="I14" si="1">SUM(F14:H14)</f>
        <v>15791.34</v>
      </c>
    </row>
    <row r="15" spans="1:9" s="399" customFormat="1" ht="11.25" customHeight="1">
      <c r="A15" s="238" t="s">
        <v>1206</v>
      </c>
      <c r="B15" s="884">
        <v>154.41</v>
      </c>
      <c r="C15" s="884">
        <v>291.88</v>
      </c>
      <c r="D15" s="884">
        <v>60.86</v>
      </c>
      <c r="E15" s="884">
        <f t="shared" ref="E15:E37" si="2">SUM(B15:D15)</f>
        <v>507.15</v>
      </c>
      <c r="F15" s="251">
        <v>9696.59</v>
      </c>
      <c r="G15" s="251">
        <v>2787.24</v>
      </c>
      <c r="H15" s="251">
        <v>2263.13</v>
      </c>
      <c r="I15" s="251">
        <f>SUM(F15:H15)</f>
        <v>14746.96</v>
      </c>
    </row>
    <row r="16" spans="1:9" s="399" customFormat="1" ht="11.25" customHeight="1">
      <c r="A16" s="604" t="s">
        <v>1328</v>
      </c>
      <c r="B16" s="881">
        <v>122.45</v>
      </c>
      <c r="C16" s="881">
        <v>344.57</v>
      </c>
      <c r="D16" s="881">
        <v>190.3</v>
      </c>
      <c r="E16" s="881">
        <f t="shared" si="2"/>
        <v>657.31999999999994</v>
      </c>
      <c r="F16" s="321">
        <v>9601.6299999999992</v>
      </c>
      <c r="G16" s="321">
        <v>2697.3</v>
      </c>
      <c r="H16" s="321">
        <v>2258.29</v>
      </c>
      <c r="I16" s="321">
        <f>SUM(F16:H16)</f>
        <v>14557.220000000001</v>
      </c>
    </row>
    <row r="17" spans="1:11" s="399" customFormat="1" ht="11.25" customHeight="1">
      <c r="A17" s="238" t="s">
        <v>1204</v>
      </c>
      <c r="B17" s="251">
        <v>111.22</v>
      </c>
      <c r="C17" s="251">
        <v>324.95999999999998</v>
      </c>
      <c r="D17" s="251">
        <v>67.599999999999994</v>
      </c>
      <c r="E17" s="251">
        <f t="shared" si="2"/>
        <v>503.78</v>
      </c>
      <c r="F17" s="251">
        <v>9470.5</v>
      </c>
      <c r="G17" s="251">
        <v>2885.89</v>
      </c>
      <c r="H17" s="251">
        <v>2283.5</v>
      </c>
      <c r="I17" s="251">
        <f>SUM(F17:H17)</f>
        <v>14639.89</v>
      </c>
    </row>
    <row r="18" spans="1:11" s="399" customFormat="1" ht="11.25" customHeight="1">
      <c r="A18" s="604" t="s">
        <v>1205</v>
      </c>
      <c r="B18" s="321">
        <v>226.68</v>
      </c>
      <c r="C18" s="321">
        <v>292.02999999999997</v>
      </c>
      <c r="D18" s="321">
        <v>393.48</v>
      </c>
      <c r="E18" s="321">
        <f t="shared" si="2"/>
        <v>912.19</v>
      </c>
      <c r="F18" s="321">
        <v>9895.7800000000007</v>
      </c>
      <c r="G18" s="321">
        <v>3080.35</v>
      </c>
      <c r="H18" s="321">
        <v>2815.21</v>
      </c>
      <c r="I18" s="321">
        <f>SUM(F18:H18)</f>
        <v>15791.34</v>
      </c>
    </row>
    <row r="19" spans="1:11" s="399" customFormat="1" ht="11.25" customHeight="1">
      <c r="A19" s="766" t="s">
        <v>1466</v>
      </c>
      <c r="B19" s="883">
        <f>B20+B21+B22+B23</f>
        <v>1164.77</v>
      </c>
      <c r="C19" s="883">
        <f t="shared" ref="C19:E19" si="3">C20+C21+C22+C23</f>
        <v>988.3</v>
      </c>
      <c r="D19" s="883">
        <f t="shared" si="3"/>
        <v>1329.62</v>
      </c>
      <c r="E19" s="883">
        <f t="shared" si="3"/>
        <v>3482.6899999999996</v>
      </c>
      <c r="F19" s="486">
        <f>F23</f>
        <v>11775.91</v>
      </c>
      <c r="G19" s="486">
        <f>G23</f>
        <v>3021.77</v>
      </c>
      <c r="H19" s="486">
        <f>H23</f>
        <v>3882.53</v>
      </c>
      <c r="I19" s="887">
        <f t="shared" ref="I19" si="4">SUM(F19:H19)</f>
        <v>18680.21</v>
      </c>
    </row>
    <row r="20" spans="1:11" s="399" customFormat="1" ht="11.25" customHeight="1">
      <c r="A20" s="604" t="s">
        <v>1206</v>
      </c>
      <c r="B20" s="321">
        <v>267.47000000000003</v>
      </c>
      <c r="C20" s="321">
        <v>311.27999999999997</v>
      </c>
      <c r="D20" s="321">
        <v>270.87</v>
      </c>
      <c r="E20" s="321">
        <f t="shared" si="2"/>
        <v>849.62</v>
      </c>
      <c r="F20" s="321">
        <v>10364.040000000001</v>
      </c>
      <c r="G20" s="321">
        <v>3076.04</v>
      </c>
      <c r="H20" s="321">
        <v>3202.41</v>
      </c>
      <c r="I20" s="321">
        <f>SUM(F20:H20)</f>
        <v>16642.490000000002</v>
      </c>
    </row>
    <row r="21" spans="1:11" s="399" customFormat="1" ht="11.25" customHeight="1">
      <c r="A21" s="238" t="s">
        <v>1328</v>
      </c>
      <c r="B21" s="251">
        <v>518.76</v>
      </c>
      <c r="C21" s="251">
        <v>380.84</v>
      </c>
      <c r="D21" s="251">
        <v>448.11</v>
      </c>
      <c r="E21" s="251">
        <f t="shared" si="2"/>
        <v>1347.71</v>
      </c>
      <c r="F21" s="251">
        <v>10865.73</v>
      </c>
      <c r="G21" s="251">
        <v>2721.98</v>
      </c>
      <c r="H21" s="251">
        <v>3473.92</v>
      </c>
      <c r="I21" s="251">
        <f>SUM(F21:H21)</f>
        <v>17061.629999999997</v>
      </c>
    </row>
    <row r="22" spans="1:11" s="399" customFormat="1" ht="11.25" customHeight="1">
      <c r="A22" s="604" t="s">
        <v>1204</v>
      </c>
      <c r="B22" s="321">
        <v>176.76</v>
      </c>
      <c r="C22" s="321">
        <v>203.73</v>
      </c>
      <c r="D22" s="321">
        <v>474</v>
      </c>
      <c r="E22" s="321">
        <f t="shared" si="2"/>
        <v>854.49</v>
      </c>
      <c r="F22" s="321">
        <v>11588.82</v>
      </c>
      <c r="G22" s="321">
        <v>2880.06</v>
      </c>
      <c r="H22" s="321">
        <v>3716.13</v>
      </c>
      <c r="I22" s="321">
        <f t="shared" ref="I22:I37" si="5">SUM(F22:H22)</f>
        <v>18185.009999999998</v>
      </c>
    </row>
    <row r="23" spans="1:11" s="399" customFormat="1" ht="11.25" customHeight="1">
      <c r="A23" s="238" t="s">
        <v>1205</v>
      </c>
      <c r="B23" s="251">
        <v>201.78</v>
      </c>
      <c r="C23" s="251">
        <v>92.45</v>
      </c>
      <c r="D23" s="251">
        <v>136.63999999999999</v>
      </c>
      <c r="E23" s="251">
        <f t="shared" si="2"/>
        <v>430.87</v>
      </c>
      <c r="F23" s="251">
        <v>11775.91</v>
      </c>
      <c r="G23" s="251">
        <v>3021.77</v>
      </c>
      <c r="H23" s="251">
        <v>3882.53</v>
      </c>
      <c r="I23" s="251">
        <f t="shared" si="5"/>
        <v>18680.21</v>
      </c>
    </row>
    <row r="24" spans="1:11" s="399" customFormat="1" ht="11.25" customHeight="1">
      <c r="A24" s="615" t="s">
        <v>1550</v>
      </c>
      <c r="B24" s="885">
        <f>B25+B26+B27+B28</f>
        <v>672.21180217178255</v>
      </c>
      <c r="C24" s="885">
        <f t="shared" ref="C24:E24" si="6">C25+C26+C27+C28</f>
        <v>414.36524948094154</v>
      </c>
      <c r="D24" s="885">
        <f t="shared" si="6"/>
        <v>119.76738310713577</v>
      </c>
      <c r="E24" s="885">
        <f t="shared" si="6"/>
        <v>1206.3444347598597</v>
      </c>
      <c r="F24" s="485">
        <f>F28</f>
        <v>9832.9799150558283</v>
      </c>
      <c r="G24" s="485">
        <f>G28</f>
        <v>3228.1462507731453</v>
      </c>
      <c r="H24" s="485">
        <f>H28</f>
        <v>2792.86</v>
      </c>
      <c r="I24" s="886">
        <f t="shared" si="5"/>
        <v>15853.986165828974</v>
      </c>
    </row>
    <row r="25" spans="1:11" s="399" customFormat="1" ht="11.25" customHeight="1">
      <c r="A25" s="238" t="s">
        <v>1206</v>
      </c>
      <c r="B25" s="251">
        <v>181.22843324305333</v>
      </c>
      <c r="C25" s="251">
        <v>31.343031271743257</v>
      </c>
      <c r="D25" s="251">
        <v>-55.902805572952786</v>
      </c>
      <c r="E25" s="251">
        <f t="shared" si="2"/>
        <v>156.6686589418438</v>
      </c>
      <c r="F25" s="251">
        <v>9139.1557755976337</v>
      </c>
      <c r="G25" s="251">
        <v>2954.3718413904153</v>
      </c>
      <c r="H25" s="251">
        <v>2331.9899999999998</v>
      </c>
      <c r="I25" s="251">
        <f t="shared" si="5"/>
        <v>14425.517616988049</v>
      </c>
      <c r="K25" s="846"/>
    </row>
    <row r="26" spans="1:11" s="399" customFormat="1" ht="11.25" customHeight="1">
      <c r="A26" s="604" t="s">
        <v>1328</v>
      </c>
      <c r="B26" s="321">
        <v>188.88340892515114</v>
      </c>
      <c r="C26" s="321">
        <v>174.07049359854665</v>
      </c>
      <c r="D26" s="321">
        <v>51.652527858445438</v>
      </c>
      <c r="E26" s="321">
        <f t="shared" si="2"/>
        <v>414.60643038214323</v>
      </c>
      <c r="F26" s="321">
        <v>9451.7112942199074</v>
      </c>
      <c r="G26" s="321">
        <v>3011.4844432439359</v>
      </c>
      <c r="H26" s="321">
        <v>2424.6799999999998</v>
      </c>
      <c r="I26" s="321">
        <f t="shared" si="5"/>
        <v>14887.875737463844</v>
      </c>
    </row>
    <row r="27" spans="1:11" s="399" customFormat="1" ht="11.25" customHeight="1">
      <c r="A27" s="238" t="s">
        <v>1204</v>
      </c>
      <c r="B27" s="251">
        <v>164.52593125333709</v>
      </c>
      <c r="C27" s="251">
        <v>264.52374645289404</v>
      </c>
      <c r="D27" s="251">
        <v>-23.403756999038421</v>
      </c>
      <c r="E27" s="251">
        <f t="shared" si="2"/>
        <v>405.64592070719272</v>
      </c>
      <c r="F27" s="251">
        <v>9597.2058831639806</v>
      </c>
      <c r="G27" s="251">
        <v>3411.162786788228</v>
      </c>
      <c r="H27" s="251">
        <v>2885.08</v>
      </c>
      <c r="I27" s="251">
        <f>SUM(F27:H27)</f>
        <v>15893.448669952208</v>
      </c>
    </row>
    <row r="28" spans="1:11" s="399" customFormat="1" ht="11.25" customHeight="1">
      <c r="A28" s="604" t="s">
        <v>1205</v>
      </c>
      <c r="B28" s="321">
        <v>137.57402875024093</v>
      </c>
      <c r="C28" s="321">
        <v>-55.572021842242407</v>
      </c>
      <c r="D28" s="321">
        <v>147.42141782068154</v>
      </c>
      <c r="E28" s="321">
        <f t="shared" si="2"/>
        <v>229.42342472868006</v>
      </c>
      <c r="F28" s="321">
        <v>9832.9799150558283</v>
      </c>
      <c r="G28" s="321">
        <v>3228.1462507731453</v>
      </c>
      <c r="H28" s="321">
        <v>2792.86</v>
      </c>
      <c r="I28" s="321">
        <f t="shared" si="5"/>
        <v>15853.986165828974</v>
      </c>
    </row>
    <row r="29" spans="1:11" s="399" customFormat="1" ht="11.25" customHeight="1">
      <c r="A29" s="766" t="s">
        <v>1606</v>
      </c>
      <c r="B29" s="883">
        <f>B30+B31+B32+B33</f>
        <v>728.1395429193592</v>
      </c>
      <c r="C29" s="883">
        <f t="shared" ref="C29:E29" si="7">C30+C31+C32+C33</f>
        <v>486.40375219832436</v>
      </c>
      <c r="D29" s="883">
        <f t="shared" si="7"/>
        <v>113.05449579646017</v>
      </c>
      <c r="E29" s="883">
        <f t="shared" si="7"/>
        <v>1327.5977909141438</v>
      </c>
      <c r="F29" s="486">
        <f>F33</f>
        <v>10746.3</v>
      </c>
      <c r="G29" s="486">
        <f>G33</f>
        <v>3482.674</v>
      </c>
      <c r="H29" s="486">
        <f>H33</f>
        <v>2591.8440000000001</v>
      </c>
      <c r="I29" s="887">
        <f t="shared" si="5"/>
        <v>16820.817999999999</v>
      </c>
    </row>
    <row r="30" spans="1:11" s="399" customFormat="1" ht="11.25" customHeight="1">
      <c r="A30" s="604" t="s">
        <v>1206</v>
      </c>
      <c r="B30" s="321">
        <v>120.49891477967547</v>
      </c>
      <c r="C30" s="321">
        <v>86.891415557053961</v>
      </c>
      <c r="D30" s="321">
        <v>17.137682745122305</v>
      </c>
      <c r="E30" s="321">
        <f t="shared" si="2"/>
        <v>224.52801308185175</v>
      </c>
      <c r="F30" s="321">
        <v>9899.1942071803405</v>
      </c>
      <c r="G30" s="321">
        <v>3258.6074203150638</v>
      </c>
      <c r="H30" s="321">
        <v>2467.42</v>
      </c>
      <c r="I30" s="321">
        <f t="shared" si="5"/>
        <v>15625.221627495404</v>
      </c>
      <c r="K30" s="846"/>
    </row>
    <row r="31" spans="1:11" s="399" customFormat="1" ht="11.25" customHeight="1">
      <c r="A31" s="238" t="s">
        <v>1328</v>
      </c>
      <c r="B31" s="251">
        <v>355.67257480287708</v>
      </c>
      <c r="C31" s="251">
        <v>231.99810386985828</v>
      </c>
      <c r="D31" s="251">
        <v>17.296429065867784</v>
      </c>
      <c r="E31" s="251">
        <f t="shared" si="2"/>
        <v>604.96710773860309</v>
      </c>
      <c r="F31" s="251">
        <v>10357.319528274098</v>
      </c>
      <c r="G31" s="251">
        <v>3325.2852283446155</v>
      </c>
      <c r="H31" s="251">
        <v>2657.34</v>
      </c>
      <c r="I31" s="251">
        <f t="shared" si="5"/>
        <v>16339.944756618714</v>
      </c>
    </row>
    <row r="32" spans="1:11" s="399" customFormat="1" ht="11.25" customHeight="1">
      <c r="A32" s="604" t="s">
        <v>1204</v>
      </c>
      <c r="B32" s="321">
        <v>121.15805333680674</v>
      </c>
      <c r="C32" s="321">
        <v>104.72577686544776</v>
      </c>
      <c r="D32" s="321">
        <v>72.669604266582439</v>
      </c>
      <c r="E32" s="321">
        <f t="shared" si="2"/>
        <v>298.55343446883694</v>
      </c>
      <c r="F32" s="321">
        <v>11015.225202382831</v>
      </c>
      <c r="G32" s="321">
        <v>3344.0228279621474</v>
      </c>
      <c r="H32" s="321">
        <v>2625.9</v>
      </c>
      <c r="I32" s="321">
        <f t="shared" si="5"/>
        <v>16985.148030344979</v>
      </c>
    </row>
    <row r="33" spans="1:9" s="399" customFormat="1" ht="11.25" customHeight="1">
      <c r="A33" s="238" t="s">
        <v>1205</v>
      </c>
      <c r="B33" s="251">
        <v>130.81</v>
      </c>
      <c r="C33" s="251">
        <v>62.788455905964383</v>
      </c>
      <c r="D33" s="251">
        <v>5.9507797188876452</v>
      </c>
      <c r="E33" s="251">
        <f t="shared" si="2"/>
        <v>199.54923562485203</v>
      </c>
      <c r="F33" s="251">
        <v>10746.3</v>
      </c>
      <c r="G33" s="251">
        <v>3482.674</v>
      </c>
      <c r="H33" s="251">
        <v>2591.8440000000001</v>
      </c>
      <c r="I33" s="251">
        <f t="shared" si="5"/>
        <v>16820.817999999999</v>
      </c>
    </row>
    <row r="34" spans="1:9" s="399" customFormat="1" ht="11.25" customHeight="1">
      <c r="A34" s="615" t="s">
        <v>1927</v>
      </c>
      <c r="B34" s="885">
        <f>B35+B36+B37+B38</f>
        <v>1136.2284303097997</v>
      </c>
      <c r="C34" s="885">
        <f t="shared" ref="C34:E34" si="8">C35+C36+C37+C38</f>
        <v>483.4066575141602</v>
      </c>
      <c r="D34" s="885">
        <f t="shared" si="8"/>
        <v>90.892250897865864</v>
      </c>
      <c r="E34" s="885">
        <f t="shared" si="8"/>
        <v>1710.5273387218258</v>
      </c>
      <c r="F34" s="485">
        <f>F38</f>
        <v>10975.522113632853</v>
      </c>
      <c r="G34" s="485">
        <f>G38</f>
        <v>3695.489942013593</v>
      </c>
      <c r="H34" s="485">
        <f>H38</f>
        <v>2806.27</v>
      </c>
      <c r="I34" s="886">
        <f t="shared" ref="I34" si="9">SUM(F34:H34)</f>
        <v>17477.282055646447</v>
      </c>
    </row>
    <row r="35" spans="1:9" s="399" customFormat="1" ht="11.25" customHeight="1">
      <c r="A35" s="1155" t="s">
        <v>1206</v>
      </c>
      <c r="B35" s="251">
        <v>252.08</v>
      </c>
      <c r="C35" s="251">
        <v>123.43345269186131</v>
      </c>
      <c r="D35" s="251">
        <v>21.897757522825628</v>
      </c>
      <c r="E35" s="251">
        <f t="shared" si="2"/>
        <v>397.41121021468689</v>
      </c>
      <c r="F35" s="251">
        <v>10927.89</v>
      </c>
      <c r="G35" s="251">
        <v>4214.0274912398809</v>
      </c>
      <c r="H35" s="251">
        <v>2633.13</v>
      </c>
      <c r="I35" s="251">
        <f t="shared" si="5"/>
        <v>17775.047491239882</v>
      </c>
    </row>
    <row r="36" spans="1:9" s="399" customFormat="1" ht="11.25" customHeight="1">
      <c r="A36" s="1204" t="s">
        <v>1328</v>
      </c>
      <c r="B36" s="321">
        <v>469.37</v>
      </c>
      <c r="C36" s="321">
        <v>99.62302759833068</v>
      </c>
      <c r="D36" s="321">
        <v>107.65300000000001</v>
      </c>
      <c r="E36" s="321">
        <f t="shared" si="2"/>
        <v>676.64602759833065</v>
      </c>
      <c r="F36" s="321">
        <v>11495.97</v>
      </c>
      <c r="G36" s="321">
        <v>4116.6755739096761</v>
      </c>
      <c r="H36" s="321">
        <v>2820.5</v>
      </c>
      <c r="I36" s="321">
        <f t="shared" si="5"/>
        <v>18433.145573909675</v>
      </c>
    </row>
    <row r="37" spans="1:9" s="399" customFormat="1" ht="11.25" customHeight="1">
      <c r="A37" s="1155" t="s">
        <v>1204</v>
      </c>
      <c r="B37" s="251">
        <v>246.21210190237227</v>
      </c>
      <c r="C37" s="251">
        <v>253.08586343978902</v>
      </c>
      <c r="D37" s="251">
        <v>-10.055464788014888</v>
      </c>
      <c r="E37" s="251">
        <f t="shared" si="2"/>
        <v>489.24250055414643</v>
      </c>
      <c r="F37" s="251">
        <v>11722.45</v>
      </c>
      <c r="G37" s="251">
        <v>4259.2757488694888</v>
      </c>
      <c r="H37" s="251">
        <v>2884</v>
      </c>
      <c r="I37" s="251">
        <f t="shared" si="5"/>
        <v>18865.725748869489</v>
      </c>
    </row>
    <row r="38" spans="1:9" s="399" customFormat="1" ht="11.25" customHeight="1">
      <c r="A38" s="1204" t="s">
        <v>1205</v>
      </c>
      <c r="B38" s="321">
        <v>168.56632840742736</v>
      </c>
      <c r="C38" s="321">
        <v>7.264313784179194</v>
      </c>
      <c r="D38" s="321">
        <v>-28.603041836944868</v>
      </c>
      <c r="E38" s="321">
        <f>SUM(B38:D38)</f>
        <v>147.22760035466169</v>
      </c>
      <c r="F38" s="321">
        <v>10975.522113632853</v>
      </c>
      <c r="G38" s="321">
        <v>3695.489942013593</v>
      </c>
      <c r="H38" s="321">
        <v>2806.27</v>
      </c>
      <c r="I38" s="321">
        <f t="shared" ref="I38:I50" si="10">SUM(F38:H38)</f>
        <v>17477.282055646447</v>
      </c>
    </row>
    <row r="39" spans="1:9" s="399" customFormat="1" ht="11.25" customHeight="1">
      <c r="A39" s="766" t="s">
        <v>2183</v>
      </c>
      <c r="B39" s="883">
        <f>B40+B41+B42+B43</f>
        <v>709.9295798735285</v>
      </c>
      <c r="C39" s="883">
        <f>C40+C41+C42+C43</f>
        <v>788.07825689303422</v>
      </c>
      <c r="D39" s="883">
        <f t="shared" ref="D39:E39" si="11">D40+D41+D42+D43</f>
        <v>107.4560566764363</v>
      </c>
      <c r="E39" s="883">
        <f t="shared" si="11"/>
        <v>1605.4638934429991</v>
      </c>
      <c r="F39" s="486">
        <f>F43</f>
        <v>10597.720442214342</v>
      </c>
      <c r="G39" s="486">
        <f>G43</f>
        <v>4043.73</v>
      </c>
      <c r="H39" s="486">
        <f>H43</f>
        <v>2875.56</v>
      </c>
      <c r="I39" s="887">
        <f t="shared" si="10"/>
        <v>17517.010442214341</v>
      </c>
    </row>
    <row r="40" spans="1:9" s="399" customFormat="1" ht="11.25" customHeight="1">
      <c r="A40" s="1204" t="s">
        <v>1206</v>
      </c>
      <c r="B40" s="321">
        <v>223.66504454925553</v>
      </c>
      <c r="C40" s="321">
        <v>164.05450189583735</v>
      </c>
      <c r="D40" s="321">
        <v>109.42230581789886</v>
      </c>
      <c r="E40" s="321">
        <f t="shared" ref="E40:E43" si="12">SUM(B40:D40)</f>
        <v>497.14185226299173</v>
      </c>
      <c r="F40" s="321">
        <v>11056.39</v>
      </c>
      <c r="G40" s="321">
        <v>3738.6640000000002</v>
      </c>
      <c r="H40" s="321">
        <v>2928.2339999999999</v>
      </c>
      <c r="I40" s="321">
        <f t="shared" si="10"/>
        <v>17723.288</v>
      </c>
    </row>
    <row r="41" spans="1:9" s="399" customFormat="1" ht="11.25" customHeight="1">
      <c r="A41" s="1155" t="s">
        <v>1328</v>
      </c>
      <c r="B41" s="251">
        <v>230.49779332823621</v>
      </c>
      <c r="C41" s="251">
        <v>245.43833483737012</v>
      </c>
      <c r="D41" s="251">
        <v>-91.944752915763786</v>
      </c>
      <c r="E41" s="251">
        <f t="shared" si="12"/>
        <v>383.99137524984252</v>
      </c>
      <c r="F41" s="251">
        <v>11014.943646098083</v>
      </c>
      <c r="G41" s="251">
        <v>3984.22</v>
      </c>
      <c r="H41" s="251">
        <v>2868.81</v>
      </c>
      <c r="I41" s="251">
        <f t="shared" si="10"/>
        <v>17867.973646098082</v>
      </c>
    </row>
    <row r="42" spans="1:9" s="399" customFormat="1" ht="11.25" customHeight="1">
      <c r="A42" s="1204" t="s">
        <v>1204</v>
      </c>
      <c r="B42" s="321">
        <v>137.00539392957256</v>
      </c>
      <c r="C42" s="321">
        <v>205.77697716266829</v>
      </c>
      <c r="D42" s="321">
        <v>-45.44</v>
      </c>
      <c r="E42" s="321">
        <f t="shared" si="12"/>
        <v>297.34237109224085</v>
      </c>
      <c r="F42" s="321">
        <v>10899.948</v>
      </c>
      <c r="G42" s="321">
        <v>4108.9129999999996</v>
      </c>
      <c r="H42" s="321">
        <v>2818.884</v>
      </c>
      <c r="I42" s="321">
        <f t="shared" si="10"/>
        <v>17827.745000000003</v>
      </c>
    </row>
    <row r="43" spans="1:9" s="399" customFormat="1" ht="11.25" customHeight="1">
      <c r="A43" s="1473" t="s">
        <v>1205</v>
      </c>
      <c r="B43" s="251">
        <v>118.76134806646412</v>
      </c>
      <c r="C43" s="251">
        <v>172.80844299715847</v>
      </c>
      <c r="D43" s="251">
        <v>135.41850377430123</v>
      </c>
      <c r="E43" s="251">
        <f t="shared" si="12"/>
        <v>426.98829483792383</v>
      </c>
      <c r="F43" s="251">
        <v>10597.720442214342</v>
      </c>
      <c r="G43" s="251">
        <v>4043.73</v>
      </c>
      <c r="H43" s="251">
        <v>2875.56</v>
      </c>
      <c r="I43" s="251">
        <f t="shared" si="10"/>
        <v>17517.010442214341</v>
      </c>
    </row>
    <row r="44" spans="1:9" s="399" customFormat="1" ht="11.25" customHeight="1">
      <c r="A44" s="615" t="s">
        <v>2345</v>
      </c>
      <c r="B44" s="885">
        <f>B45+B46+B47+B48</f>
        <v>667.55865143447068</v>
      </c>
      <c r="C44" s="885">
        <f t="shared" ref="C44:E44" si="13">C45+C46+C47+C48</f>
        <v>614.870941240467</v>
      </c>
      <c r="D44" s="885">
        <f t="shared" si="13"/>
        <v>133.03</v>
      </c>
      <c r="E44" s="885">
        <f t="shared" si="13"/>
        <v>1415.4595926749375</v>
      </c>
      <c r="F44" s="485">
        <f>F48</f>
        <v>10465.309350218979</v>
      </c>
      <c r="G44" s="485">
        <f>G48</f>
        <v>4285.3725929807633</v>
      </c>
      <c r="H44" s="485">
        <f>H48</f>
        <v>2976.72</v>
      </c>
      <c r="I44" s="886">
        <f t="shared" ref="I44" si="14">SUM(F44:H44)</f>
        <v>17727.401943199744</v>
      </c>
    </row>
    <row r="45" spans="1:9" s="399" customFormat="1" ht="11.25" customHeight="1">
      <c r="A45" s="1473" t="s">
        <v>1206</v>
      </c>
      <c r="B45" s="251">
        <v>144.80771510213179</v>
      </c>
      <c r="C45" s="251">
        <v>271.25145873778467</v>
      </c>
      <c r="D45" s="251">
        <v>-55.52</v>
      </c>
      <c r="E45" s="251">
        <f t="shared" ref="E45:E47" si="15">SUM(B45:D45)</f>
        <v>360.53917383991649</v>
      </c>
      <c r="F45" s="251">
        <v>10419.049942807074</v>
      </c>
      <c r="G45" s="251">
        <v>4141.47</v>
      </c>
      <c r="H45" s="251">
        <v>2789.16</v>
      </c>
      <c r="I45" s="251">
        <f t="shared" si="10"/>
        <v>17349.679942807074</v>
      </c>
    </row>
    <row r="46" spans="1:9" s="399" customFormat="1" ht="11.25" customHeight="1">
      <c r="A46" s="1660" t="s">
        <v>1328</v>
      </c>
      <c r="B46" s="321">
        <v>187.72</v>
      </c>
      <c r="C46" s="321">
        <v>120.31</v>
      </c>
      <c r="D46" s="321">
        <v>71.23</v>
      </c>
      <c r="E46" s="321">
        <f t="shared" si="15"/>
        <v>379.26</v>
      </c>
      <c r="F46" s="321">
        <v>10620.66</v>
      </c>
      <c r="G46" s="321">
        <v>4349.99</v>
      </c>
      <c r="H46" s="321">
        <v>2861.28</v>
      </c>
      <c r="I46" s="321">
        <f t="shared" si="10"/>
        <v>17831.93</v>
      </c>
    </row>
    <row r="47" spans="1:9" s="399" customFormat="1" ht="11.25" customHeight="1">
      <c r="A47" s="1473" t="s">
        <v>1204</v>
      </c>
      <c r="B47" s="251">
        <v>120.88740568218184</v>
      </c>
      <c r="C47" s="251">
        <v>257.264877454182</v>
      </c>
      <c r="D47" s="251">
        <v>25.29</v>
      </c>
      <c r="E47" s="251">
        <f t="shared" si="15"/>
        <v>403.44228313636387</v>
      </c>
      <c r="F47" s="251">
        <v>10872.513999999999</v>
      </c>
      <c r="G47" s="251">
        <v>4956.7539999999999</v>
      </c>
      <c r="H47" s="251">
        <v>2888.42</v>
      </c>
      <c r="I47" s="251">
        <f t="shared" si="10"/>
        <v>18717.688000000002</v>
      </c>
    </row>
    <row r="48" spans="1:9" s="399" customFormat="1" ht="11.25" customHeight="1">
      <c r="A48" s="1660" t="s">
        <v>1205</v>
      </c>
      <c r="B48" s="321">
        <v>214.14353065015712</v>
      </c>
      <c r="C48" s="321">
        <v>-33.95539495149967</v>
      </c>
      <c r="D48" s="321">
        <v>92.03</v>
      </c>
      <c r="E48" s="321">
        <f>SUM(B48:D48)</f>
        <v>272.21813569865742</v>
      </c>
      <c r="F48" s="321">
        <v>10465.309350218979</v>
      </c>
      <c r="G48" s="321">
        <v>4285.3725929807633</v>
      </c>
      <c r="H48" s="321">
        <v>2976.72</v>
      </c>
      <c r="I48" s="321">
        <f t="shared" si="10"/>
        <v>17727.401943199744</v>
      </c>
    </row>
    <row r="49" spans="1:9" s="399" customFormat="1" ht="11.25" customHeight="1">
      <c r="A49" s="1757" t="s">
        <v>2681</v>
      </c>
      <c r="B49" s="251"/>
      <c r="C49" s="251"/>
      <c r="D49" s="251"/>
      <c r="E49" s="251"/>
      <c r="F49" s="251"/>
      <c r="G49" s="251"/>
      <c r="H49" s="251"/>
      <c r="I49" s="251"/>
    </row>
    <row r="50" spans="1:9" s="399" customFormat="1" ht="11.25" customHeight="1" thickBot="1">
      <c r="A50" s="1723" t="s">
        <v>1206</v>
      </c>
      <c r="B50" s="340">
        <v>76.790000000000006</v>
      </c>
      <c r="C50" s="340">
        <v>72.900000000000006</v>
      </c>
      <c r="D50" s="340">
        <v>-45.36</v>
      </c>
      <c r="E50" s="340">
        <f>SUM(B50:D50)</f>
        <v>104.33</v>
      </c>
      <c r="F50" s="340">
        <v>10423.57</v>
      </c>
      <c r="G50" s="340">
        <v>4315.08</v>
      </c>
      <c r="H50" s="340">
        <v>2938.7</v>
      </c>
      <c r="I50" s="340">
        <f t="shared" si="10"/>
        <v>17677.349999999999</v>
      </c>
    </row>
    <row r="51" spans="1:9" s="224" customFormat="1" ht="11.25">
      <c r="A51" s="237" t="s">
        <v>597</v>
      </c>
      <c r="B51" s="2199" t="s">
        <v>1969</v>
      </c>
      <c r="C51" s="2199"/>
      <c r="D51" s="2199"/>
      <c r="E51" s="2199"/>
      <c r="F51" s="2199"/>
      <c r="G51" s="2199"/>
      <c r="H51" s="2199"/>
      <c r="I51" s="2199"/>
    </row>
    <row r="52" spans="1:9" s="150" customFormat="1" ht="11.25">
      <c r="A52" s="17"/>
      <c r="B52" s="2207" t="s">
        <v>1603</v>
      </c>
      <c r="C52" s="2207"/>
      <c r="D52" s="2207"/>
      <c r="E52" s="2207"/>
      <c r="F52" s="2207"/>
      <c r="G52" s="2207"/>
      <c r="H52" s="2207"/>
      <c r="I52" s="2207"/>
    </row>
    <row r="53" spans="1:9" s="150" customFormat="1" ht="11.25">
      <c r="A53" s="17"/>
      <c r="B53" s="1722" t="s">
        <v>2824</v>
      </c>
      <c r="C53" s="1722"/>
      <c r="D53" s="1722"/>
      <c r="E53" s="1722"/>
      <c r="F53" s="1722"/>
      <c r="G53" s="1722"/>
      <c r="H53" s="1722"/>
      <c r="I53" s="1722"/>
    </row>
    <row r="54" spans="1:9" s="150" customFormat="1" ht="11.25">
      <c r="A54" s="17"/>
      <c r="B54" s="1722" t="s">
        <v>2825</v>
      </c>
      <c r="C54" s="1722"/>
      <c r="D54" s="1722"/>
      <c r="E54" s="1722"/>
      <c r="F54" s="1722"/>
      <c r="G54" s="1722"/>
      <c r="H54" s="1722"/>
      <c r="I54" s="1722"/>
    </row>
    <row r="55" spans="1:9">
      <c r="A55" s="572" t="s">
        <v>839</v>
      </c>
      <c r="B55" s="2198" t="s">
        <v>1260</v>
      </c>
      <c r="C55" s="2198"/>
      <c r="D55" s="2198"/>
      <c r="E55" s="2198"/>
      <c r="F55" s="31"/>
      <c r="G55" s="2000" t="s">
        <v>2686</v>
      </c>
      <c r="H55" s="2000"/>
      <c r="I55" s="236"/>
    </row>
    <row r="56" spans="1:9">
      <c r="E56" s="1697"/>
      <c r="F56" s="1697"/>
    </row>
    <row r="57" spans="1:9">
      <c r="E57" s="614"/>
    </row>
    <row r="58" spans="1:9">
      <c r="E58" s="614"/>
    </row>
    <row r="61" spans="1:9" ht="11.1" customHeight="1"/>
    <row r="62" spans="1:9" ht="11.1" customHeight="1"/>
    <row r="63" spans="1:9" ht="11.1" customHeight="1"/>
  </sheetData>
  <customSheetViews>
    <customSheetView guid="{A374FC54-96E3-45F0-9C12-8450400C12DF}" scale="160">
      <pane xSplit="1" ySplit="5" topLeftCell="B35" activePane="bottomRight" state="frozen"/>
      <selection pane="bottomRight" activeCell="K38" sqref="K38"/>
      <pageMargins left="0.59055118110236204" right="0.511811023622047" top="0.39370078740157499" bottom="0.511811023622047" header="0" footer="0.39370078740157499"/>
      <pageSetup paperSize="132" firstPageNumber="31" orientation="portrait" useFirstPageNumber="1" r:id="rId1"/>
      <headerFooter>
        <oddFooter>&amp;C&amp;"Times New Roman,Regular"&amp;8&amp;P</oddFooter>
      </headerFooter>
    </customSheetView>
  </customSheetViews>
  <mergeCells count="9">
    <mergeCell ref="B55:E55"/>
    <mergeCell ref="B51:I51"/>
    <mergeCell ref="A1:G2"/>
    <mergeCell ref="H3:I3"/>
    <mergeCell ref="A4:A5"/>
    <mergeCell ref="B4:E4"/>
    <mergeCell ref="F4:I4"/>
    <mergeCell ref="B52:I52"/>
    <mergeCell ref="G55:H55"/>
  </mergeCells>
  <phoneticPr fontId="53" type="noConversion"/>
  <pageMargins left="0.59055118110236204" right="0.511811023622047" top="0.39370078740157499" bottom="0.511811023622047" header="0" footer="0.39370078740157499"/>
  <pageSetup paperSize="448" firstPageNumber="31" orientation="portrait" useFirstPageNumber="1" r:id="rId2"/>
  <headerFooter>
    <oddFooter>&amp;C&amp;"Times New Roman,Regular"&amp;8&amp;P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AR73"/>
  <sheetViews>
    <sheetView zoomScale="150" zoomScaleNormal="150" workbookViewId="0">
      <pane xSplit="1" ySplit="6" topLeftCell="B46" activePane="bottomRight" state="frozen"/>
      <selection activeCell="F85" sqref="F85"/>
      <selection pane="topRight" activeCell="F85" sqref="F85"/>
      <selection pane="bottomLeft" activeCell="F85" sqref="F85"/>
      <selection pane="bottomRight" activeCell="F31" sqref="F31"/>
    </sheetView>
  </sheetViews>
  <sheetFormatPr defaultColWidth="9.140625" defaultRowHeight="9"/>
  <cols>
    <col min="1" max="1" width="8.85546875" style="64" customWidth="1"/>
    <col min="2" max="2" width="5.28515625" style="31" customWidth="1"/>
    <col min="3" max="3" width="8.28515625" style="31" customWidth="1"/>
    <col min="4" max="4" width="4.85546875" style="31" customWidth="1"/>
    <col min="5" max="5" width="8.28515625" style="31" customWidth="1"/>
    <col min="6" max="6" width="5.42578125" style="31" customWidth="1"/>
    <col min="7" max="7" width="7.7109375" style="31" customWidth="1"/>
    <col min="8" max="8" width="6.85546875" style="31" customWidth="1"/>
    <col min="9" max="9" width="5.42578125" style="31" customWidth="1"/>
    <col min="10" max="10" width="5.5703125" style="31" customWidth="1"/>
    <col min="11" max="12" width="6.42578125" style="31" customWidth="1"/>
    <col min="13" max="13" width="8.28515625" style="31" customWidth="1"/>
    <col min="14" max="14" width="8.85546875" style="31" customWidth="1"/>
    <col min="15" max="15" width="8.5703125" style="31" customWidth="1"/>
    <col min="16" max="16" width="9" style="31" customWidth="1"/>
    <col min="17" max="17" width="8.140625" style="31" customWidth="1"/>
    <col min="18" max="18" width="7.7109375" style="31" customWidth="1"/>
    <col min="19" max="19" width="7.42578125" style="31" customWidth="1"/>
    <col min="20" max="20" width="7.85546875" style="31" customWidth="1"/>
    <col min="21" max="21" width="9.5703125" style="64" customWidth="1"/>
    <col min="22" max="22" width="9.7109375" style="64" customWidth="1"/>
    <col min="23" max="24" width="6" style="31" customWidth="1"/>
    <col min="25" max="25" width="7.5703125" style="31" customWidth="1"/>
    <col min="26" max="26" width="6.85546875" style="31" customWidth="1"/>
    <col min="27" max="27" width="6.42578125" style="31" customWidth="1"/>
    <col min="28" max="28" width="6.85546875" style="31" customWidth="1"/>
    <col min="29" max="29" width="6.5703125" style="31" customWidth="1"/>
    <col min="30" max="30" width="7.28515625" style="31" customWidth="1"/>
    <col min="31" max="31" width="8.140625" style="31" customWidth="1"/>
    <col min="32" max="32" width="6.85546875" style="31" customWidth="1"/>
    <col min="33" max="33" width="6.42578125" style="31" customWidth="1"/>
    <col min="34" max="34" width="7.7109375" style="31" customWidth="1"/>
    <col min="35" max="35" width="7" style="31" customWidth="1"/>
    <col min="36" max="36" width="7.140625" style="31" customWidth="1"/>
    <col min="37" max="37" width="7.7109375" style="31" customWidth="1"/>
    <col min="38" max="38" width="7.85546875" style="31" customWidth="1"/>
    <col min="39" max="39" width="9.7109375" style="31" customWidth="1"/>
    <col min="40" max="40" width="7.7109375" style="31" customWidth="1"/>
    <col min="41" max="41" width="8.28515625" style="31" customWidth="1"/>
    <col min="42" max="42" width="9.7109375" style="64" customWidth="1"/>
    <col min="43" max="16384" width="9.140625" style="31"/>
  </cols>
  <sheetData>
    <row r="1" spans="1:42" s="22" customFormat="1" ht="15.75">
      <c r="A1" s="2217" t="s">
        <v>635</v>
      </c>
      <c r="B1" s="2217"/>
      <c r="C1" s="2217"/>
      <c r="D1" s="2217"/>
      <c r="E1" s="57"/>
      <c r="F1" s="57"/>
      <c r="J1" s="2210" t="s">
        <v>117</v>
      </c>
      <c r="K1" s="2210"/>
      <c r="L1" s="2210"/>
      <c r="M1" s="2211" t="s">
        <v>116</v>
      </c>
      <c r="N1" s="2211"/>
      <c r="S1" s="2210" t="s">
        <v>138</v>
      </c>
      <c r="T1" s="2210"/>
      <c r="U1" s="2210"/>
      <c r="AE1" s="2210" t="s">
        <v>117</v>
      </c>
      <c r="AF1" s="2210"/>
      <c r="AG1" s="2211" t="s">
        <v>116</v>
      </c>
      <c r="AH1" s="2211"/>
      <c r="AI1" s="2211"/>
      <c r="AN1" s="2210" t="s">
        <v>225</v>
      </c>
      <c r="AO1" s="2210"/>
      <c r="AP1" s="2210"/>
    </row>
    <row r="2" spans="1:42" s="21" customFormat="1" ht="11.25" customHeight="1">
      <c r="A2" s="1820"/>
      <c r="B2" s="1820"/>
      <c r="C2" s="1820"/>
      <c r="D2" s="1820"/>
      <c r="E2" s="58"/>
      <c r="F2" s="58"/>
      <c r="G2" s="59"/>
      <c r="H2" s="59"/>
      <c r="I2" s="59"/>
      <c r="M2" s="59"/>
      <c r="S2" s="1820"/>
      <c r="T2" s="2218" t="s">
        <v>24</v>
      </c>
      <c r="U2" s="2218"/>
      <c r="AO2" s="2218" t="s">
        <v>24</v>
      </c>
      <c r="AP2" s="2218"/>
    </row>
    <row r="3" spans="1:42" s="110" customFormat="1" ht="13.5" customHeight="1">
      <c r="A3" s="2222" t="s">
        <v>21</v>
      </c>
      <c r="B3" s="2219" t="s">
        <v>168</v>
      </c>
      <c r="C3" s="2220"/>
      <c r="D3" s="2220"/>
      <c r="E3" s="2220"/>
      <c r="F3" s="2220"/>
      <c r="G3" s="2220"/>
      <c r="H3" s="2220"/>
      <c r="I3" s="2220"/>
      <c r="J3" s="2220"/>
      <c r="K3" s="2220"/>
      <c r="L3" s="2221"/>
      <c r="M3" s="2219" t="s">
        <v>169</v>
      </c>
      <c r="N3" s="2220"/>
      <c r="O3" s="2220"/>
      <c r="P3" s="2220"/>
      <c r="Q3" s="2220"/>
      <c r="R3" s="2220"/>
      <c r="S3" s="2220"/>
      <c r="T3" s="2221"/>
      <c r="U3" s="2222" t="s">
        <v>21</v>
      </c>
      <c r="V3" s="2222" t="s">
        <v>21</v>
      </c>
      <c r="W3" s="2219" t="s">
        <v>170</v>
      </c>
      <c r="X3" s="2220"/>
      <c r="Y3" s="2220"/>
      <c r="Z3" s="2220"/>
      <c r="AA3" s="2220"/>
      <c r="AB3" s="2220"/>
      <c r="AC3" s="2220"/>
      <c r="AD3" s="2220"/>
      <c r="AE3" s="2220"/>
      <c r="AF3" s="2220"/>
      <c r="AG3" s="2220"/>
      <c r="AH3" s="2220" t="s">
        <v>171</v>
      </c>
      <c r="AI3" s="2220"/>
      <c r="AJ3" s="2220"/>
      <c r="AK3" s="2220"/>
      <c r="AL3" s="2220"/>
      <c r="AM3" s="2221"/>
      <c r="AN3" s="2213" t="s">
        <v>937</v>
      </c>
      <c r="AO3" s="2213" t="s">
        <v>939</v>
      </c>
      <c r="AP3" s="2222" t="s">
        <v>487</v>
      </c>
    </row>
    <row r="4" spans="1:42" s="79" customFormat="1" ht="11.25" customHeight="1">
      <c r="A4" s="2223"/>
      <c r="B4" s="2213" t="s">
        <v>956</v>
      </c>
      <c r="C4" s="2215" t="s">
        <v>2437</v>
      </c>
      <c r="D4" s="2213" t="s">
        <v>111</v>
      </c>
      <c r="E4" s="2215" t="s">
        <v>2438</v>
      </c>
      <c r="F4" s="2213" t="s">
        <v>2439</v>
      </c>
      <c r="G4" s="2215" t="s">
        <v>2440</v>
      </c>
      <c r="H4" s="2215" t="s">
        <v>1289</v>
      </c>
      <c r="I4" s="2213" t="s">
        <v>771</v>
      </c>
      <c r="J4" s="2213" t="s">
        <v>772</v>
      </c>
      <c r="K4" s="2213" t="s">
        <v>651</v>
      </c>
      <c r="L4" s="2229" t="s">
        <v>223</v>
      </c>
      <c r="M4" s="2225" t="s">
        <v>497</v>
      </c>
      <c r="N4" s="2226"/>
      <c r="O4" s="2227"/>
      <c r="P4" s="2225" t="s">
        <v>219</v>
      </c>
      <c r="Q4" s="2226"/>
      <c r="R4" s="2226"/>
      <c r="S4" s="2226"/>
      <c r="T4" s="2227"/>
      <c r="U4" s="2223"/>
      <c r="V4" s="2223"/>
      <c r="W4" s="2225" t="s">
        <v>224</v>
      </c>
      <c r="X4" s="2226"/>
      <c r="Y4" s="2226"/>
      <c r="Z4" s="2226"/>
      <c r="AA4" s="2226"/>
      <c r="AB4" s="2226"/>
      <c r="AC4" s="2226"/>
      <c r="AD4" s="2226"/>
      <c r="AE4" s="2226"/>
      <c r="AF4" s="2226"/>
      <c r="AG4" s="2226"/>
      <c r="AH4" s="2226"/>
      <c r="AI4" s="2226"/>
      <c r="AJ4" s="2226"/>
      <c r="AK4" s="2226"/>
      <c r="AL4" s="2226"/>
      <c r="AM4" s="2227"/>
      <c r="AN4" s="2228"/>
      <c r="AO4" s="2228"/>
      <c r="AP4" s="2223"/>
    </row>
    <row r="5" spans="1:42" s="61" customFormat="1" ht="44.25" customHeight="1">
      <c r="A5" s="2223"/>
      <c r="B5" s="2214"/>
      <c r="C5" s="2216"/>
      <c r="D5" s="2214"/>
      <c r="E5" s="2216"/>
      <c r="F5" s="2214"/>
      <c r="G5" s="2216"/>
      <c r="H5" s="2216"/>
      <c r="I5" s="2214"/>
      <c r="J5" s="2214"/>
      <c r="K5" s="2214"/>
      <c r="L5" s="2230"/>
      <c r="M5" s="1825" t="s">
        <v>498</v>
      </c>
      <c r="N5" s="1828" t="s">
        <v>499</v>
      </c>
      <c r="O5" s="1828" t="s">
        <v>647</v>
      </c>
      <c r="P5" s="1828" t="s">
        <v>2441</v>
      </c>
      <c r="Q5" s="1828" t="s">
        <v>500</v>
      </c>
      <c r="R5" s="1828" t="s">
        <v>773</v>
      </c>
      <c r="S5" s="1828" t="s">
        <v>774</v>
      </c>
      <c r="T5" s="1825" t="s">
        <v>808</v>
      </c>
      <c r="U5" s="2223"/>
      <c r="V5" s="2223"/>
      <c r="W5" s="1025" t="s">
        <v>591</v>
      </c>
      <c r="X5" s="1814" t="s">
        <v>113</v>
      </c>
      <c r="Y5" s="1814" t="s">
        <v>936</v>
      </c>
      <c r="Z5" s="1814" t="s">
        <v>2442</v>
      </c>
      <c r="AA5" s="1816" t="s">
        <v>2444</v>
      </c>
      <c r="AB5" s="1814" t="s">
        <v>221</v>
      </c>
      <c r="AC5" s="1814" t="s">
        <v>581</v>
      </c>
      <c r="AD5" s="1814" t="s">
        <v>2445</v>
      </c>
      <c r="AE5" s="1816" t="s">
        <v>2443</v>
      </c>
      <c r="AF5" s="1814" t="s">
        <v>2446</v>
      </c>
      <c r="AG5" s="1814" t="s">
        <v>501</v>
      </c>
      <c r="AH5" s="1318" t="s">
        <v>1290</v>
      </c>
      <c r="AI5" s="1828" t="s">
        <v>775</v>
      </c>
      <c r="AJ5" s="1828" t="s">
        <v>2447</v>
      </c>
      <c r="AK5" s="1828" t="s">
        <v>222</v>
      </c>
      <c r="AL5" s="1828" t="s">
        <v>807</v>
      </c>
      <c r="AM5" s="1828" t="s">
        <v>938</v>
      </c>
      <c r="AN5" s="2214"/>
      <c r="AO5" s="2214"/>
      <c r="AP5" s="2223"/>
    </row>
    <row r="6" spans="1:42" s="65" customFormat="1" ht="12" customHeight="1">
      <c r="A6" s="2224"/>
      <c r="B6" s="1344">
        <v>1</v>
      </c>
      <c r="C6" s="1821">
        <v>2</v>
      </c>
      <c r="D6" s="1821">
        <v>3</v>
      </c>
      <c r="E6" s="1821">
        <v>4</v>
      </c>
      <c r="F6" s="1821">
        <v>5</v>
      </c>
      <c r="G6" s="1821">
        <v>6</v>
      </c>
      <c r="H6" s="1821">
        <v>7</v>
      </c>
      <c r="I6" s="1821">
        <v>8</v>
      </c>
      <c r="J6" s="1821">
        <v>9</v>
      </c>
      <c r="K6" s="1821">
        <v>10</v>
      </c>
      <c r="L6" s="1821">
        <v>11</v>
      </c>
      <c r="M6" s="859">
        <v>12</v>
      </c>
      <c r="N6" s="1821">
        <v>13</v>
      </c>
      <c r="O6" s="1821" t="s">
        <v>648</v>
      </c>
      <c r="P6" s="1821">
        <v>15</v>
      </c>
      <c r="Q6" s="1821">
        <v>16</v>
      </c>
      <c r="R6" s="1821">
        <v>17</v>
      </c>
      <c r="S6" s="1821">
        <v>18</v>
      </c>
      <c r="T6" s="859">
        <v>19</v>
      </c>
      <c r="U6" s="2224"/>
      <c r="V6" s="2224"/>
      <c r="W6" s="1344">
        <v>20</v>
      </c>
      <c r="X6" s="1821">
        <v>21</v>
      </c>
      <c r="Y6" s="1821">
        <v>22</v>
      </c>
      <c r="Z6" s="1821">
        <v>23</v>
      </c>
      <c r="AA6" s="1821">
        <v>24</v>
      </c>
      <c r="AB6" s="1821">
        <v>25</v>
      </c>
      <c r="AC6" s="1821">
        <v>26</v>
      </c>
      <c r="AD6" s="1821">
        <v>27</v>
      </c>
      <c r="AE6" s="1821">
        <v>28</v>
      </c>
      <c r="AF6" s="1821">
        <v>29</v>
      </c>
      <c r="AG6" s="1821">
        <v>30</v>
      </c>
      <c r="AH6" s="1821">
        <v>31</v>
      </c>
      <c r="AI6" s="1821">
        <v>32</v>
      </c>
      <c r="AJ6" s="1821">
        <v>33</v>
      </c>
      <c r="AK6" s="1821">
        <v>34</v>
      </c>
      <c r="AL6" s="1821">
        <v>35</v>
      </c>
      <c r="AM6" s="1821">
        <v>36</v>
      </c>
      <c r="AN6" s="1821" t="s">
        <v>649</v>
      </c>
      <c r="AO6" s="62" t="s">
        <v>650</v>
      </c>
      <c r="AP6" s="2224"/>
    </row>
    <row r="7" spans="1:42" s="55" customFormat="1" ht="10.7" customHeight="1">
      <c r="A7" s="645" t="s">
        <v>81</v>
      </c>
      <c r="B7" s="647">
        <v>1330</v>
      </c>
      <c r="C7" s="483">
        <v>3654.5</v>
      </c>
      <c r="D7" s="483">
        <v>37</v>
      </c>
      <c r="E7" s="483">
        <v>2430.1999999999998</v>
      </c>
      <c r="F7" s="483">
        <v>3210.6</v>
      </c>
      <c r="G7" s="483">
        <v>67246.899999999994</v>
      </c>
      <c r="H7" s="647">
        <v>993.3</v>
      </c>
      <c r="I7" s="647">
        <v>0</v>
      </c>
      <c r="J7" s="647">
        <v>236.9</v>
      </c>
      <c r="K7" s="647">
        <v>23008.800000000003</v>
      </c>
      <c r="L7" s="647">
        <v>102148.2</v>
      </c>
      <c r="M7" s="647">
        <v>521.9</v>
      </c>
      <c r="N7" s="647">
        <v>5266.9</v>
      </c>
      <c r="O7" s="647">
        <v>5788.7999999999993</v>
      </c>
      <c r="P7" s="647">
        <v>736.5</v>
      </c>
      <c r="Q7" s="647">
        <v>754.7</v>
      </c>
      <c r="R7" s="647">
        <v>900.2</v>
      </c>
      <c r="S7" s="647">
        <v>7259.9</v>
      </c>
      <c r="T7" s="647">
        <v>2421.8000000000002</v>
      </c>
      <c r="U7" s="646" t="s">
        <v>81</v>
      </c>
      <c r="V7" s="645" t="s">
        <v>81</v>
      </c>
      <c r="W7" s="483">
        <v>4497.3</v>
      </c>
      <c r="X7" s="483">
        <v>2304.8000000000002</v>
      </c>
      <c r="Y7" s="483">
        <v>3700.2</v>
      </c>
      <c r="Z7" s="483">
        <v>13984.2</v>
      </c>
      <c r="AA7" s="483">
        <v>6722</v>
      </c>
      <c r="AB7" s="483">
        <v>713.4</v>
      </c>
      <c r="AC7" s="483">
        <v>4960</v>
      </c>
      <c r="AD7" s="483">
        <v>1899.5</v>
      </c>
      <c r="AE7" s="483">
        <v>6683.3</v>
      </c>
      <c r="AF7" s="483">
        <v>9958.7999999999993</v>
      </c>
      <c r="AG7" s="483">
        <v>4971</v>
      </c>
      <c r="AH7" s="483">
        <v>13742</v>
      </c>
      <c r="AI7" s="647">
        <v>814.6</v>
      </c>
      <c r="AJ7" s="647">
        <v>10051.9</v>
      </c>
      <c r="AK7" s="647">
        <v>11032.1</v>
      </c>
      <c r="AL7" s="647">
        <v>50346.400000000001</v>
      </c>
      <c r="AM7" s="647">
        <v>158454.6</v>
      </c>
      <c r="AN7" s="647">
        <v>164243.4</v>
      </c>
      <c r="AO7" s="647">
        <f>L7-AN7</f>
        <v>-62095.199999999997</v>
      </c>
      <c r="AP7" s="70" t="s">
        <v>81</v>
      </c>
    </row>
    <row r="8" spans="1:42" s="55" customFormat="1" ht="10.7" customHeight="1">
      <c r="A8" s="318" t="s">
        <v>190</v>
      </c>
      <c r="B8" s="402">
        <v>1977</v>
      </c>
      <c r="C8" s="296">
        <v>4776.8999999999996</v>
      </c>
      <c r="D8" s="296">
        <v>19.2</v>
      </c>
      <c r="E8" s="296">
        <v>3367.4</v>
      </c>
      <c r="F8" s="296">
        <v>4149</v>
      </c>
      <c r="G8" s="296">
        <v>96439.8</v>
      </c>
      <c r="H8" s="402">
        <v>706.9</v>
      </c>
      <c r="I8" s="402">
        <v>0</v>
      </c>
      <c r="J8" s="402">
        <v>181.2</v>
      </c>
      <c r="K8" s="402">
        <v>33390.200000000012</v>
      </c>
      <c r="L8" s="402">
        <v>145007.6</v>
      </c>
      <c r="M8" s="402">
        <v>5941.5</v>
      </c>
      <c r="N8" s="402">
        <v>7722.2</v>
      </c>
      <c r="O8" s="402">
        <v>13663.7</v>
      </c>
      <c r="P8" s="402">
        <v>1152.8</v>
      </c>
      <c r="Q8" s="402">
        <v>898.4</v>
      </c>
      <c r="R8" s="402">
        <v>737</v>
      </c>
      <c r="S8" s="402">
        <v>7599.6</v>
      </c>
      <c r="T8" s="402">
        <v>2072.1999999999998</v>
      </c>
      <c r="U8" s="319" t="s">
        <v>190</v>
      </c>
      <c r="V8" s="318" t="s">
        <v>190</v>
      </c>
      <c r="W8" s="296">
        <v>4667.2</v>
      </c>
      <c r="X8" s="296">
        <v>3180.9</v>
      </c>
      <c r="Y8" s="296">
        <v>6589.7</v>
      </c>
      <c r="Z8" s="296">
        <v>22819.3</v>
      </c>
      <c r="AA8" s="296">
        <v>8937.5</v>
      </c>
      <c r="AB8" s="296">
        <v>823.4</v>
      </c>
      <c r="AC8" s="296">
        <v>8816.5</v>
      </c>
      <c r="AD8" s="296">
        <v>2371.3000000000002</v>
      </c>
      <c r="AE8" s="296">
        <v>9277.1</v>
      </c>
      <c r="AF8" s="296">
        <v>19114.3</v>
      </c>
      <c r="AG8" s="296">
        <v>9928.1</v>
      </c>
      <c r="AH8" s="296">
        <v>19101.400000000001</v>
      </c>
      <c r="AI8" s="402">
        <v>1284.5</v>
      </c>
      <c r="AJ8" s="402">
        <v>14290.6</v>
      </c>
      <c r="AK8" s="402">
        <v>16588.599999999999</v>
      </c>
      <c r="AL8" s="402">
        <v>66113.7</v>
      </c>
      <c r="AM8" s="402">
        <v>226364.10000000003</v>
      </c>
      <c r="AN8" s="402">
        <v>240027.80000000005</v>
      </c>
      <c r="AO8" s="402">
        <f t="shared" ref="AO8:AO18" si="0">L8-AN8</f>
        <v>-95020.200000000041</v>
      </c>
      <c r="AP8" s="311" t="s">
        <v>190</v>
      </c>
    </row>
    <row r="9" spans="1:42" s="65" customFormat="1" ht="10.7" customHeight="1">
      <c r="A9" s="1817" t="s">
        <v>731</v>
      </c>
      <c r="B9" s="647">
        <v>1866</v>
      </c>
      <c r="C9" s="647">
        <v>5200</v>
      </c>
      <c r="D9" s="647">
        <v>28.6</v>
      </c>
      <c r="E9" s="647">
        <v>4264.8999999999996</v>
      </c>
      <c r="F9" s="647">
        <v>4758.3</v>
      </c>
      <c r="G9" s="647">
        <v>120147.3</v>
      </c>
      <c r="H9" s="647">
        <v>857.2</v>
      </c>
      <c r="I9" s="647">
        <v>0</v>
      </c>
      <c r="J9" s="647">
        <v>129.9</v>
      </c>
      <c r="K9" s="647">
        <v>43057.799999999988</v>
      </c>
      <c r="L9" s="647">
        <v>180310</v>
      </c>
      <c r="M9" s="647">
        <v>2186.9</v>
      </c>
      <c r="N9" s="647">
        <v>4890.3999999999996</v>
      </c>
      <c r="O9" s="647">
        <v>7077.2999999999993</v>
      </c>
      <c r="P9" s="647">
        <v>1750</v>
      </c>
      <c r="Q9" s="647">
        <v>1079.9000000000001</v>
      </c>
      <c r="R9" s="647">
        <v>1416.4</v>
      </c>
      <c r="S9" s="647">
        <v>13051.8</v>
      </c>
      <c r="T9" s="647">
        <v>1910.7</v>
      </c>
      <c r="U9" s="619" t="s">
        <v>731</v>
      </c>
      <c r="V9" s="243" t="s">
        <v>731</v>
      </c>
      <c r="W9" s="647">
        <v>9391.7000000000007</v>
      </c>
      <c r="X9" s="647">
        <v>3993.7</v>
      </c>
      <c r="Y9" s="647">
        <v>7907</v>
      </c>
      <c r="Z9" s="647">
        <v>30964.400000000001</v>
      </c>
      <c r="AA9" s="647">
        <v>9575.7000000000007</v>
      </c>
      <c r="AB9" s="647">
        <v>935.5</v>
      </c>
      <c r="AC9" s="647">
        <v>10907.1</v>
      </c>
      <c r="AD9" s="647">
        <v>2974.8</v>
      </c>
      <c r="AE9" s="647">
        <v>10835.1</v>
      </c>
      <c r="AF9" s="647">
        <v>16558.2</v>
      </c>
      <c r="AG9" s="647">
        <v>10849.6</v>
      </c>
      <c r="AH9" s="647">
        <v>23901.3</v>
      </c>
      <c r="AI9" s="647">
        <v>3393.6</v>
      </c>
      <c r="AJ9" s="647">
        <v>17637</v>
      </c>
      <c r="AK9" s="647">
        <v>15799</v>
      </c>
      <c r="AL9" s="647">
        <v>79055.899999999994</v>
      </c>
      <c r="AM9" s="647">
        <v>273888.40000000002</v>
      </c>
      <c r="AN9" s="647">
        <v>280965.7</v>
      </c>
      <c r="AO9" s="647">
        <f t="shared" si="0"/>
        <v>-100655.70000000001</v>
      </c>
      <c r="AP9" s="619" t="s">
        <v>731</v>
      </c>
    </row>
    <row r="10" spans="1:42" s="264" customFormat="1" ht="10.7" customHeight="1">
      <c r="A10" s="318" t="s">
        <v>840</v>
      </c>
      <c r="B10" s="402">
        <v>1681.3</v>
      </c>
      <c r="C10" s="296">
        <v>5987.8</v>
      </c>
      <c r="D10" s="296">
        <v>18.2</v>
      </c>
      <c r="E10" s="296">
        <v>5398.8</v>
      </c>
      <c r="F10" s="296">
        <v>3580.2</v>
      </c>
      <c r="G10" s="296">
        <v>128269.2</v>
      </c>
      <c r="H10" s="402">
        <v>144.80000000000001</v>
      </c>
      <c r="I10" s="402">
        <v>0</v>
      </c>
      <c r="J10" s="402">
        <v>0.6</v>
      </c>
      <c r="K10" s="402">
        <v>44578.800000000017</v>
      </c>
      <c r="L10" s="402">
        <v>189659.7</v>
      </c>
      <c r="M10" s="402">
        <v>240.1</v>
      </c>
      <c r="N10" s="402">
        <v>5575.5</v>
      </c>
      <c r="O10" s="402">
        <v>5815.6</v>
      </c>
      <c r="P10" s="402">
        <v>1709.3</v>
      </c>
      <c r="Q10" s="402">
        <v>945.1</v>
      </c>
      <c r="R10" s="402">
        <v>1930.3</v>
      </c>
      <c r="S10" s="402">
        <v>11185</v>
      </c>
      <c r="T10" s="402">
        <v>3371.1</v>
      </c>
      <c r="U10" s="319" t="s">
        <v>840</v>
      </c>
      <c r="V10" s="318" t="s">
        <v>840</v>
      </c>
      <c r="W10" s="296">
        <v>5851.7</v>
      </c>
      <c r="X10" s="296">
        <v>3887.6</v>
      </c>
      <c r="Y10" s="296">
        <v>8799.9</v>
      </c>
      <c r="Z10" s="296">
        <v>29121.8</v>
      </c>
      <c r="AA10" s="296">
        <v>10405.1</v>
      </c>
      <c r="AB10" s="296">
        <v>951.7</v>
      </c>
      <c r="AC10" s="296">
        <v>9564.6</v>
      </c>
      <c r="AD10" s="296">
        <v>3189.6</v>
      </c>
      <c r="AE10" s="296">
        <v>10904.3</v>
      </c>
      <c r="AF10" s="296">
        <v>16003.1</v>
      </c>
      <c r="AG10" s="296">
        <v>10849.9</v>
      </c>
      <c r="AH10" s="296">
        <v>26132.1</v>
      </c>
      <c r="AI10" s="402">
        <v>3627.8</v>
      </c>
      <c r="AJ10" s="402">
        <v>18641.599999999999</v>
      </c>
      <c r="AK10" s="402">
        <v>14671.3</v>
      </c>
      <c r="AL10" s="402">
        <v>74769.399999999994</v>
      </c>
      <c r="AM10" s="402">
        <v>266512.3</v>
      </c>
      <c r="AN10" s="402">
        <v>272327.89999999997</v>
      </c>
      <c r="AO10" s="402">
        <f t="shared" si="0"/>
        <v>-82668.199999999953</v>
      </c>
      <c r="AP10" s="311" t="s">
        <v>840</v>
      </c>
    </row>
    <row r="11" spans="1:42" s="253" customFormat="1" ht="10.7" customHeight="1">
      <c r="A11" s="492" t="s">
        <v>1019</v>
      </c>
      <c r="B11" s="382">
        <v>948.1</v>
      </c>
      <c r="C11" s="382">
        <v>5316.6</v>
      </c>
      <c r="D11" s="382">
        <v>16.3</v>
      </c>
      <c r="E11" s="382">
        <v>6863.6</v>
      </c>
      <c r="F11" s="382">
        <v>4097</v>
      </c>
      <c r="G11" s="382">
        <v>146626.6</v>
      </c>
      <c r="H11" s="382">
        <v>133.6</v>
      </c>
      <c r="I11" s="382">
        <v>0</v>
      </c>
      <c r="J11" s="382">
        <v>0.8</v>
      </c>
      <c r="K11" s="382">
        <v>49371.899999999994</v>
      </c>
      <c r="L11" s="382">
        <v>213374.5</v>
      </c>
      <c r="M11" s="382">
        <v>2700.2</v>
      </c>
      <c r="N11" s="382">
        <v>8685.9</v>
      </c>
      <c r="O11" s="382">
        <v>11386.099999999999</v>
      </c>
      <c r="P11" s="382">
        <v>2247.6</v>
      </c>
      <c r="Q11" s="382">
        <v>1423.1</v>
      </c>
      <c r="R11" s="382">
        <v>3952</v>
      </c>
      <c r="S11" s="382">
        <v>13685.3</v>
      </c>
      <c r="T11" s="382">
        <v>3535</v>
      </c>
      <c r="U11" s="493" t="s">
        <v>1019</v>
      </c>
      <c r="V11" s="492" t="s">
        <v>1019</v>
      </c>
      <c r="W11" s="382">
        <v>7011.1</v>
      </c>
      <c r="X11" s="382">
        <v>4810.3</v>
      </c>
      <c r="Y11" s="382">
        <v>7218.5</v>
      </c>
      <c r="Z11" s="382">
        <v>31629</v>
      </c>
      <c r="AA11" s="382">
        <v>11644</v>
      </c>
      <c r="AB11" s="382">
        <v>932</v>
      </c>
      <c r="AC11" s="382">
        <v>7977</v>
      </c>
      <c r="AD11" s="382">
        <v>4185.5</v>
      </c>
      <c r="AE11" s="382">
        <v>13937.2</v>
      </c>
      <c r="AF11" s="382">
        <v>18851.3</v>
      </c>
      <c r="AG11" s="382">
        <v>11705.4</v>
      </c>
      <c r="AH11" s="382">
        <v>27852.3</v>
      </c>
      <c r="AI11" s="382">
        <v>3832.7</v>
      </c>
      <c r="AJ11" s="382">
        <v>20653</v>
      </c>
      <c r="AK11" s="382">
        <v>18121.400000000001</v>
      </c>
      <c r="AL11" s="382">
        <v>89982.399999999994</v>
      </c>
      <c r="AM11" s="382">
        <v>305186.09999999998</v>
      </c>
      <c r="AN11" s="382">
        <v>316572.19999999995</v>
      </c>
      <c r="AO11" s="647">
        <f t="shared" si="0"/>
        <v>-103197.69999999995</v>
      </c>
      <c r="AP11" s="493" t="s">
        <v>1019</v>
      </c>
    </row>
    <row r="12" spans="1:42" s="239" customFormat="1" ht="10.7" customHeight="1">
      <c r="A12" s="318" t="s">
        <v>1070</v>
      </c>
      <c r="B12" s="402">
        <v>856.4</v>
      </c>
      <c r="C12" s="402">
        <v>5350.7</v>
      </c>
      <c r="D12" s="402">
        <v>31.8</v>
      </c>
      <c r="E12" s="402">
        <v>6890.4</v>
      </c>
      <c r="F12" s="402">
        <v>3989.1</v>
      </c>
      <c r="G12" s="402">
        <v>156045.5</v>
      </c>
      <c r="H12" s="402">
        <v>290</v>
      </c>
      <c r="I12" s="402">
        <v>0</v>
      </c>
      <c r="J12" s="402">
        <v>0.6</v>
      </c>
      <c r="K12" s="402">
        <v>53031.700000000012</v>
      </c>
      <c r="L12" s="402">
        <v>226486.2</v>
      </c>
      <c r="M12" s="402">
        <v>4311.1000000000004</v>
      </c>
      <c r="N12" s="402">
        <v>7913.1</v>
      </c>
      <c r="O12" s="402">
        <v>12224.2</v>
      </c>
      <c r="P12" s="402">
        <v>2410.1</v>
      </c>
      <c r="Q12" s="402">
        <v>1668.2</v>
      </c>
      <c r="R12" s="402">
        <v>2745</v>
      </c>
      <c r="S12" s="402">
        <v>12221.1</v>
      </c>
      <c r="T12" s="402">
        <v>3057.7</v>
      </c>
      <c r="U12" s="319" t="s">
        <v>1070</v>
      </c>
      <c r="V12" s="318" t="s">
        <v>1070</v>
      </c>
      <c r="W12" s="890">
        <v>5770.1</v>
      </c>
      <c r="X12" s="890">
        <v>4631.3</v>
      </c>
      <c r="Y12" s="890">
        <v>6629.7</v>
      </c>
      <c r="Z12" s="890">
        <v>26174.6</v>
      </c>
      <c r="AA12" s="890">
        <v>12191.1</v>
      </c>
      <c r="AB12" s="890">
        <v>873.9</v>
      </c>
      <c r="AC12" s="890">
        <v>9647.6</v>
      </c>
      <c r="AD12" s="890">
        <v>4312.3</v>
      </c>
      <c r="AE12" s="890">
        <v>14331.9</v>
      </c>
      <c r="AF12" s="890">
        <v>17672.3</v>
      </c>
      <c r="AG12" s="890">
        <v>12378.5</v>
      </c>
      <c r="AH12" s="890">
        <v>28568.799999999999</v>
      </c>
      <c r="AI12" s="890">
        <v>4077.7</v>
      </c>
      <c r="AJ12" s="890">
        <v>22908.799999999999</v>
      </c>
      <c r="AK12" s="890">
        <v>20291.7</v>
      </c>
      <c r="AL12" s="890">
        <v>90398.1</v>
      </c>
      <c r="AM12" s="890">
        <v>302960.5</v>
      </c>
      <c r="AN12" s="890">
        <v>315184.7</v>
      </c>
      <c r="AO12" s="402">
        <f t="shared" si="0"/>
        <v>-88698.5</v>
      </c>
      <c r="AP12" s="319" t="s">
        <v>1070</v>
      </c>
    </row>
    <row r="13" spans="1:42" s="253" customFormat="1" ht="10.7" customHeight="1">
      <c r="A13" s="492" t="s">
        <v>1193</v>
      </c>
      <c r="B13" s="381">
        <v>1256.7</v>
      </c>
      <c r="C13" s="381">
        <v>5699.7</v>
      </c>
      <c r="D13" s="381">
        <v>14.9</v>
      </c>
      <c r="E13" s="381">
        <v>6496.9</v>
      </c>
      <c r="F13" s="381">
        <v>3559.2</v>
      </c>
      <c r="G13" s="381">
        <v>163120.5</v>
      </c>
      <c r="H13" s="381">
        <v>101.4</v>
      </c>
      <c r="I13" s="381">
        <v>0</v>
      </c>
      <c r="J13" s="381">
        <v>0</v>
      </c>
      <c r="K13" s="381">
        <v>56553.800000000017</v>
      </c>
      <c r="L13" s="381">
        <v>236803.1</v>
      </c>
      <c r="M13" s="381">
        <v>931.4</v>
      </c>
      <c r="N13" s="381">
        <v>7159.1</v>
      </c>
      <c r="O13" s="381">
        <v>8090.5</v>
      </c>
      <c r="P13" s="381">
        <v>1766.2</v>
      </c>
      <c r="Q13" s="381">
        <v>1597.8</v>
      </c>
      <c r="R13" s="381">
        <v>4083.2</v>
      </c>
      <c r="S13" s="381">
        <v>10409.299999999999</v>
      </c>
      <c r="T13" s="381">
        <v>3625.2</v>
      </c>
      <c r="U13" s="791" t="s">
        <v>1193</v>
      </c>
      <c r="V13" s="380" t="s">
        <v>1193</v>
      </c>
      <c r="W13" s="381">
        <v>5171.3999999999996</v>
      </c>
      <c r="X13" s="381">
        <v>3467.4</v>
      </c>
      <c r="Y13" s="381">
        <v>2985.2</v>
      </c>
      <c r="Z13" s="381">
        <v>17826.599999999999</v>
      </c>
      <c r="AA13" s="381">
        <v>13214.5</v>
      </c>
      <c r="AB13" s="381">
        <v>937.5</v>
      </c>
      <c r="AC13" s="381">
        <v>8170.1</v>
      </c>
      <c r="AD13" s="381">
        <v>4271.7</v>
      </c>
      <c r="AE13" s="381">
        <v>14233.1</v>
      </c>
      <c r="AF13" s="381">
        <v>16844</v>
      </c>
      <c r="AG13" s="381">
        <v>12884.7</v>
      </c>
      <c r="AH13" s="381">
        <v>32259.1</v>
      </c>
      <c r="AI13" s="381">
        <v>4713.1000000000004</v>
      </c>
      <c r="AJ13" s="381">
        <v>21924.9</v>
      </c>
      <c r="AK13" s="381">
        <v>23920.3</v>
      </c>
      <c r="AL13" s="381">
        <v>101483</v>
      </c>
      <c r="AM13" s="381">
        <v>305788.3</v>
      </c>
      <c r="AN13" s="381">
        <v>313878.8</v>
      </c>
      <c r="AO13" s="647">
        <f t="shared" si="0"/>
        <v>-77075.699999999983</v>
      </c>
      <c r="AP13" s="791" t="s">
        <v>1193</v>
      </c>
    </row>
    <row r="14" spans="1:42" s="253" customFormat="1" ht="10.7" customHeight="1">
      <c r="A14" s="318" t="s">
        <v>1225</v>
      </c>
      <c r="B14" s="402">
        <v>1381.5</v>
      </c>
      <c r="C14" s="402">
        <v>6116.2</v>
      </c>
      <c r="D14" s="402">
        <v>31.4</v>
      </c>
      <c r="E14" s="402">
        <v>6232.9</v>
      </c>
      <c r="F14" s="402">
        <v>3679.8</v>
      </c>
      <c r="G14" s="402">
        <v>166761.1</v>
      </c>
      <c r="H14" s="402">
        <v>130.4</v>
      </c>
      <c r="I14" s="402">
        <v>0</v>
      </c>
      <c r="J14" s="402">
        <v>44.1</v>
      </c>
      <c r="K14" s="402">
        <v>55278.800000000017</v>
      </c>
      <c r="L14" s="402">
        <v>239656.2</v>
      </c>
      <c r="M14" s="402">
        <v>604.1</v>
      </c>
      <c r="N14" s="402">
        <v>8157.1</v>
      </c>
      <c r="O14" s="402">
        <v>8761.2000000000007</v>
      </c>
      <c r="P14" s="402">
        <v>1998.9</v>
      </c>
      <c r="Q14" s="402">
        <v>2051.1</v>
      </c>
      <c r="R14" s="402">
        <v>3273.5</v>
      </c>
      <c r="S14" s="402">
        <v>11837.8</v>
      </c>
      <c r="T14" s="402">
        <v>4669.3999999999996</v>
      </c>
      <c r="U14" s="875" t="s">
        <v>1225</v>
      </c>
      <c r="V14" s="794" t="s">
        <v>1225</v>
      </c>
      <c r="W14" s="402">
        <v>6648</v>
      </c>
      <c r="X14" s="402">
        <v>3764.2</v>
      </c>
      <c r="Y14" s="402">
        <v>4222.1000000000004</v>
      </c>
      <c r="Z14" s="402">
        <v>21980.2</v>
      </c>
      <c r="AA14" s="402">
        <v>14792.9</v>
      </c>
      <c r="AB14" s="402">
        <v>1159.9000000000001</v>
      </c>
      <c r="AC14" s="402">
        <v>5742.4</v>
      </c>
      <c r="AD14" s="402">
        <v>4436.5</v>
      </c>
      <c r="AE14" s="402">
        <v>15330.1</v>
      </c>
      <c r="AF14" s="402">
        <v>20702.7</v>
      </c>
      <c r="AG14" s="402">
        <v>13181.2</v>
      </c>
      <c r="AH14" s="402">
        <v>32746.7</v>
      </c>
      <c r="AI14" s="402">
        <v>4836.8</v>
      </c>
      <c r="AJ14" s="402">
        <v>25854.7</v>
      </c>
      <c r="AK14" s="402">
        <v>28625.8</v>
      </c>
      <c r="AL14" s="402">
        <v>107961</v>
      </c>
      <c r="AM14" s="402">
        <v>335815.9</v>
      </c>
      <c r="AN14" s="402">
        <v>344577.10000000003</v>
      </c>
      <c r="AO14" s="402">
        <f t="shared" si="0"/>
        <v>-104920.90000000002</v>
      </c>
      <c r="AP14" s="875" t="s">
        <v>1225</v>
      </c>
    </row>
    <row r="15" spans="1:42" s="253" customFormat="1" ht="10.7" customHeight="1">
      <c r="A15" s="492" t="s">
        <v>1350</v>
      </c>
      <c r="B15" s="381">
        <v>1160.0999999999999</v>
      </c>
      <c r="C15" s="381">
        <v>6276.5</v>
      </c>
      <c r="D15" s="381">
        <v>21.6</v>
      </c>
      <c r="E15" s="381">
        <v>5805.8</v>
      </c>
      <c r="F15" s="381">
        <v>4087.7</v>
      </c>
      <c r="G15" s="381">
        <v>185411.8</v>
      </c>
      <c r="H15" s="381">
        <v>72.099999999999994</v>
      </c>
      <c r="I15" s="381">
        <v>13.6</v>
      </c>
      <c r="J15" s="381">
        <v>0</v>
      </c>
      <c r="K15" s="381">
        <v>64330.599999999977</v>
      </c>
      <c r="L15" s="381">
        <v>267179.8</v>
      </c>
      <c r="M15" s="381">
        <v>14319</v>
      </c>
      <c r="N15" s="381">
        <v>10064.5</v>
      </c>
      <c r="O15" s="381">
        <v>24383.5</v>
      </c>
      <c r="P15" s="381">
        <v>2371.4</v>
      </c>
      <c r="Q15" s="381">
        <v>2362.9</v>
      </c>
      <c r="R15" s="381">
        <v>4176.3</v>
      </c>
      <c r="S15" s="381">
        <v>14447.8</v>
      </c>
      <c r="T15" s="381">
        <v>3349</v>
      </c>
      <c r="U15" s="791" t="s">
        <v>1350</v>
      </c>
      <c r="V15" s="380" t="s">
        <v>1350</v>
      </c>
      <c r="W15" s="381">
        <v>7766.4</v>
      </c>
      <c r="X15" s="381">
        <v>4264</v>
      </c>
      <c r="Y15" s="381">
        <v>4577.5</v>
      </c>
      <c r="Z15" s="381">
        <v>34122.800000000003</v>
      </c>
      <c r="AA15" s="381">
        <v>17548</v>
      </c>
      <c r="AB15" s="381">
        <v>1251.8</v>
      </c>
      <c r="AC15" s="381">
        <v>7141.9</v>
      </c>
      <c r="AD15" s="381">
        <v>5078.1000000000004</v>
      </c>
      <c r="AE15" s="381">
        <v>17772.7</v>
      </c>
      <c r="AF15" s="381">
        <v>24249.8</v>
      </c>
      <c r="AG15" s="381">
        <v>15664.1</v>
      </c>
      <c r="AH15" s="381">
        <v>37509.1</v>
      </c>
      <c r="AI15" s="381">
        <v>5682</v>
      </c>
      <c r="AJ15" s="381">
        <v>31459</v>
      </c>
      <c r="AK15" s="381">
        <v>37712.400000000001</v>
      </c>
      <c r="AL15" s="381">
        <v>132150.9</v>
      </c>
      <c r="AM15" s="381">
        <v>410657.9</v>
      </c>
      <c r="AN15" s="381">
        <v>435041.4</v>
      </c>
      <c r="AO15" s="647">
        <f t="shared" si="0"/>
        <v>-167861.60000000003</v>
      </c>
      <c r="AP15" s="791" t="s">
        <v>1350</v>
      </c>
    </row>
    <row r="16" spans="1:42" s="253" customFormat="1" ht="10.7" customHeight="1">
      <c r="A16" s="1281" t="s">
        <v>1466</v>
      </c>
      <c r="B16" s="402">
        <v>964.2</v>
      </c>
      <c r="C16" s="402">
        <v>5468.7</v>
      </c>
      <c r="D16" s="402">
        <v>21.3</v>
      </c>
      <c r="E16" s="291">
        <v>5137.1000000000004</v>
      </c>
      <c r="F16" s="402">
        <v>3556.3</v>
      </c>
      <c r="G16" s="402">
        <v>212355.7</v>
      </c>
      <c r="H16" s="402">
        <v>181.2</v>
      </c>
      <c r="I16" s="402">
        <v>22.2</v>
      </c>
      <c r="J16" s="402">
        <v>0</v>
      </c>
      <c r="K16" s="402">
        <v>69277.199999999983</v>
      </c>
      <c r="L16" s="402">
        <v>296983.90000000002</v>
      </c>
      <c r="M16" s="402">
        <v>1043.9000000000001</v>
      </c>
      <c r="N16" s="402">
        <v>9641.6</v>
      </c>
      <c r="O16" s="402">
        <v>10685.5</v>
      </c>
      <c r="P16" s="402">
        <v>2820.7</v>
      </c>
      <c r="Q16" s="402">
        <v>2645.2</v>
      </c>
      <c r="R16" s="402">
        <v>5491.6</v>
      </c>
      <c r="S16" s="402">
        <v>14431.5</v>
      </c>
      <c r="T16" s="402">
        <v>3456.9</v>
      </c>
      <c r="U16" s="1282" t="s">
        <v>1466</v>
      </c>
      <c r="V16" s="1281" t="s">
        <v>1466</v>
      </c>
      <c r="W16" s="402">
        <v>5431.6</v>
      </c>
      <c r="X16" s="402">
        <v>6020.7</v>
      </c>
      <c r="Y16" s="402">
        <v>7816.6</v>
      </c>
      <c r="Z16" s="402">
        <v>48167.3</v>
      </c>
      <c r="AA16" s="402">
        <v>18668.2</v>
      </c>
      <c r="AB16" s="402">
        <v>1231.2</v>
      </c>
      <c r="AC16" s="402">
        <v>9402.2000000000007</v>
      </c>
      <c r="AD16" s="402">
        <v>5824.5</v>
      </c>
      <c r="AE16" s="402">
        <v>20030.7</v>
      </c>
      <c r="AF16" s="402">
        <v>24638.3</v>
      </c>
      <c r="AG16" s="402">
        <v>17750.5</v>
      </c>
      <c r="AH16" s="402">
        <v>41881.9</v>
      </c>
      <c r="AI16" s="402">
        <v>6817.7</v>
      </c>
      <c r="AJ16" s="402">
        <v>36363.199999999997</v>
      </c>
      <c r="AK16" s="402">
        <v>43242.5</v>
      </c>
      <c r="AL16" s="402">
        <v>138259.1</v>
      </c>
      <c r="AM16" s="402">
        <v>460392.1</v>
      </c>
      <c r="AN16" s="402">
        <v>471077.6</v>
      </c>
      <c r="AO16" s="402">
        <f t="shared" si="0"/>
        <v>-174093.69999999995</v>
      </c>
      <c r="AP16" s="1282" t="s">
        <v>1466</v>
      </c>
    </row>
    <row r="17" spans="1:42" s="263" customFormat="1" ht="10.7" customHeight="1">
      <c r="A17" s="142" t="s">
        <v>1550</v>
      </c>
      <c r="B17" s="381">
        <v>1040</v>
      </c>
      <c r="C17" s="381">
        <v>6146.1</v>
      </c>
      <c r="D17" s="381">
        <v>20.9</v>
      </c>
      <c r="E17" s="381">
        <v>4398.1000000000004</v>
      </c>
      <c r="F17" s="381">
        <v>3442.8</v>
      </c>
      <c r="G17" s="381">
        <v>190874.7</v>
      </c>
      <c r="H17" s="381">
        <v>0.1</v>
      </c>
      <c r="I17" s="381">
        <v>0</v>
      </c>
      <c r="J17" s="381">
        <v>4.5999999999999996</v>
      </c>
      <c r="K17" s="381">
        <v>59526.199999999983</v>
      </c>
      <c r="L17" s="381">
        <v>265453.5</v>
      </c>
      <c r="M17" s="381">
        <v>129.4</v>
      </c>
      <c r="N17" s="381">
        <v>12646</v>
      </c>
      <c r="O17" s="381">
        <v>12775.4</v>
      </c>
      <c r="P17" s="381">
        <v>2959.7</v>
      </c>
      <c r="Q17" s="381">
        <v>2773.6</v>
      </c>
      <c r="R17" s="381">
        <v>8209.6</v>
      </c>
      <c r="S17" s="381">
        <v>12283</v>
      </c>
      <c r="T17" s="381">
        <v>5004.1000000000004</v>
      </c>
      <c r="U17" s="209" t="s">
        <v>1550</v>
      </c>
      <c r="V17" s="162" t="s">
        <v>1550</v>
      </c>
      <c r="W17" s="381">
        <v>5339.5</v>
      </c>
      <c r="X17" s="381">
        <v>5611.1</v>
      </c>
      <c r="Y17" s="381">
        <v>3970.2</v>
      </c>
      <c r="Z17" s="381">
        <v>43098.400000000001</v>
      </c>
      <c r="AA17" s="381">
        <v>18777.7</v>
      </c>
      <c r="AB17" s="381">
        <v>1275.9000000000001</v>
      </c>
      <c r="AC17" s="381">
        <v>8034.1</v>
      </c>
      <c r="AD17" s="381">
        <v>5221.2</v>
      </c>
      <c r="AE17" s="381">
        <v>19694.5</v>
      </c>
      <c r="AF17" s="381">
        <v>22525.4</v>
      </c>
      <c r="AG17" s="381">
        <v>14213.6</v>
      </c>
      <c r="AH17" s="381">
        <v>35771.4</v>
      </c>
      <c r="AI17" s="381">
        <v>6134.2</v>
      </c>
      <c r="AJ17" s="381">
        <v>33033.300000000003</v>
      </c>
      <c r="AK17" s="381">
        <v>31480.5</v>
      </c>
      <c r="AL17" s="381">
        <v>114666.2</v>
      </c>
      <c r="AM17" s="381">
        <v>400077.2</v>
      </c>
      <c r="AN17" s="381">
        <v>412852.60000000003</v>
      </c>
      <c r="AO17" s="647">
        <f t="shared" si="0"/>
        <v>-147399.10000000003</v>
      </c>
      <c r="AP17" s="209" t="s">
        <v>1550</v>
      </c>
    </row>
    <row r="18" spans="1:42" s="263" customFormat="1" ht="10.7" customHeight="1">
      <c r="A18" s="313" t="s">
        <v>1606</v>
      </c>
      <c r="B18" s="402">
        <v>1051.4000000000001</v>
      </c>
      <c r="C18" s="402">
        <v>8249.4</v>
      </c>
      <c r="D18" s="402">
        <v>27.7</v>
      </c>
      <c r="E18" s="402">
        <v>7023.3</v>
      </c>
      <c r="F18" s="402">
        <v>3485.2</v>
      </c>
      <c r="G18" s="402">
        <v>238623.4</v>
      </c>
      <c r="H18" s="402">
        <v>86.6</v>
      </c>
      <c r="I18" s="402">
        <v>1.3</v>
      </c>
      <c r="J18" s="402">
        <v>108</v>
      </c>
      <c r="K18" s="402">
        <v>29423.799999999988</v>
      </c>
      <c r="L18" s="402">
        <v>288080.09999999998</v>
      </c>
      <c r="M18" s="402">
        <v>3159.8</v>
      </c>
      <c r="N18" s="402">
        <v>13211.6</v>
      </c>
      <c r="O18" s="402">
        <v>16371.400000000001</v>
      </c>
      <c r="P18" s="402">
        <v>2633.2</v>
      </c>
      <c r="Q18" s="402">
        <v>3391</v>
      </c>
      <c r="R18" s="402">
        <v>10913.8</v>
      </c>
      <c r="S18" s="402">
        <v>15142.9</v>
      </c>
      <c r="T18" s="402">
        <v>5578.4</v>
      </c>
      <c r="U18" s="305" t="s">
        <v>1606</v>
      </c>
      <c r="V18" s="304" t="s">
        <v>1606</v>
      </c>
      <c r="W18" s="402">
        <v>6923.6</v>
      </c>
      <c r="X18" s="402">
        <v>6565.8</v>
      </c>
      <c r="Y18" s="402">
        <v>6861.6</v>
      </c>
      <c r="Z18" s="402">
        <v>41886.6</v>
      </c>
      <c r="AA18" s="402">
        <v>22966.7</v>
      </c>
      <c r="AB18" s="402">
        <v>2474.4</v>
      </c>
      <c r="AC18" s="402">
        <v>8259.7999999999993</v>
      </c>
      <c r="AD18" s="402">
        <v>6329.7</v>
      </c>
      <c r="AE18" s="402">
        <v>25589.4</v>
      </c>
      <c r="AF18" s="402">
        <v>26634</v>
      </c>
      <c r="AG18" s="402">
        <v>18080.7</v>
      </c>
      <c r="AH18" s="402">
        <v>35694.1</v>
      </c>
      <c r="AI18" s="402">
        <v>6154.3</v>
      </c>
      <c r="AJ18" s="402">
        <v>35392.5</v>
      </c>
      <c r="AK18" s="402">
        <v>25701.7</v>
      </c>
      <c r="AL18" s="402">
        <v>131816</v>
      </c>
      <c r="AM18" s="402">
        <v>444990.2</v>
      </c>
      <c r="AN18" s="402">
        <v>461361.60000000003</v>
      </c>
      <c r="AO18" s="402">
        <f t="shared" si="0"/>
        <v>-173281.50000000006</v>
      </c>
      <c r="AP18" s="305" t="s">
        <v>1606</v>
      </c>
    </row>
    <row r="19" spans="1:42" s="263" customFormat="1" ht="10.7" customHeight="1">
      <c r="A19" s="1639" t="s">
        <v>1927</v>
      </c>
      <c r="B19" s="888">
        <v>1571.2</v>
      </c>
      <c r="C19" s="888">
        <v>7367.2999999999993</v>
      </c>
      <c r="D19" s="888">
        <v>18.399999999999999</v>
      </c>
      <c r="E19" s="888">
        <v>10258.299999999999</v>
      </c>
      <c r="F19" s="888">
        <v>4013.1</v>
      </c>
      <c r="G19" s="888">
        <v>315958.39999999997</v>
      </c>
      <c r="H19" s="888">
        <v>1.2</v>
      </c>
      <c r="I19" s="888">
        <v>1.2</v>
      </c>
      <c r="J19" s="888">
        <v>115.99999999999994</v>
      </c>
      <c r="K19" s="888">
        <v>37671.100000000057</v>
      </c>
      <c r="L19" s="888">
        <v>376976.20000000007</v>
      </c>
      <c r="M19" s="888">
        <v>4680</v>
      </c>
      <c r="N19" s="888">
        <v>17796.999999999996</v>
      </c>
      <c r="O19" s="888">
        <v>22477.000000000004</v>
      </c>
      <c r="P19" s="888">
        <v>3293.2</v>
      </c>
      <c r="Q19" s="888">
        <v>2910.7000000000003</v>
      </c>
      <c r="R19" s="888">
        <v>13854.100000000002</v>
      </c>
      <c r="S19" s="888">
        <v>22006.300000000003</v>
      </c>
      <c r="T19" s="888">
        <v>6184.4999999999991</v>
      </c>
      <c r="U19" s="474" t="s">
        <v>1927</v>
      </c>
      <c r="V19" s="102" t="s">
        <v>1927</v>
      </c>
      <c r="W19" s="888">
        <v>10237.1</v>
      </c>
      <c r="X19" s="888">
        <v>6627.4000000000005</v>
      </c>
      <c r="Y19" s="888">
        <v>7599.2000000000007</v>
      </c>
      <c r="Z19" s="888">
        <v>96956.7</v>
      </c>
      <c r="AA19" s="888">
        <v>28308.100000000002</v>
      </c>
      <c r="AB19" s="888">
        <v>5881.4999999999991</v>
      </c>
      <c r="AC19" s="888">
        <v>24973.3</v>
      </c>
      <c r="AD19" s="888">
        <v>8314.6</v>
      </c>
      <c r="AE19" s="888">
        <v>34454.5</v>
      </c>
      <c r="AF19" s="888">
        <v>35771.9</v>
      </c>
      <c r="AG19" s="888">
        <v>40439.700000000004</v>
      </c>
      <c r="AH19" s="888">
        <v>67384.799999999988</v>
      </c>
      <c r="AI19" s="888">
        <v>10875.800000000001</v>
      </c>
      <c r="AJ19" s="888">
        <v>51889.700000000004</v>
      </c>
      <c r="AK19" s="888">
        <v>42724.800000000003</v>
      </c>
      <c r="AL19" s="888">
        <v>139229.49999999997</v>
      </c>
      <c r="AM19" s="888">
        <v>659917.4</v>
      </c>
      <c r="AN19" s="888">
        <v>682394.4</v>
      </c>
      <c r="AO19" s="888">
        <v>-305418.19999999995</v>
      </c>
      <c r="AP19" s="474" t="s">
        <v>1927</v>
      </c>
    </row>
    <row r="20" spans="1:42" s="263" customFormat="1" ht="10.7" customHeight="1">
      <c r="A20" s="314" t="s">
        <v>2183</v>
      </c>
      <c r="B20" s="889">
        <f>SUM(B21:B32)</f>
        <v>1968.9</v>
      </c>
      <c r="C20" s="889">
        <f t="shared" ref="C20:T20" si="1">SUM(C21:C32)</f>
        <v>7108.4999999999991</v>
      </c>
      <c r="D20" s="889">
        <f t="shared" si="1"/>
        <v>25.400000000000002</v>
      </c>
      <c r="E20" s="889">
        <f t="shared" si="1"/>
        <v>12929.9</v>
      </c>
      <c r="F20" s="889">
        <f t="shared" si="1"/>
        <v>3684.6000000000004</v>
      </c>
      <c r="G20" s="889">
        <f t="shared" si="1"/>
        <v>366180.39999999997</v>
      </c>
      <c r="H20" s="889">
        <f t="shared" si="1"/>
        <v>1.2</v>
      </c>
      <c r="I20" s="889">
        <f t="shared" si="1"/>
        <v>1.2</v>
      </c>
      <c r="J20" s="889">
        <f t="shared" si="1"/>
        <v>1.2</v>
      </c>
      <c r="K20" s="889">
        <f t="shared" si="1"/>
        <v>39841.000000000058</v>
      </c>
      <c r="L20" s="889">
        <f t="shared" si="1"/>
        <v>431742.29999999993</v>
      </c>
      <c r="M20" s="889">
        <f t="shared" si="1"/>
        <v>5081.6000000000004</v>
      </c>
      <c r="N20" s="889">
        <f t="shared" si="1"/>
        <v>16544.399999999998</v>
      </c>
      <c r="O20" s="889">
        <f t="shared" si="1"/>
        <v>21625.999999999996</v>
      </c>
      <c r="P20" s="889">
        <f t="shared" si="1"/>
        <v>3980.4</v>
      </c>
      <c r="Q20" s="889">
        <f t="shared" si="1"/>
        <v>3581.8</v>
      </c>
      <c r="R20" s="889">
        <f t="shared" si="1"/>
        <v>12487.6</v>
      </c>
      <c r="S20" s="889">
        <f t="shared" si="1"/>
        <v>28761.600000000002</v>
      </c>
      <c r="T20" s="889">
        <f t="shared" si="1"/>
        <v>8165.9</v>
      </c>
      <c r="U20" s="307" t="s">
        <v>2183</v>
      </c>
      <c r="V20" s="306" t="s">
        <v>2183</v>
      </c>
      <c r="W20" s="889">
        <f t="shared" ref="W20:AO20" si="2">SUM(W21:W32)</f>
        <v>9138.6</v>
      </c>
      <c r="X20" s="889">
        <f t="shared" si="2"/>
        <v>8465.5</v>
      </c>
      <c r="Y20" s="889">
        <f t="shared" si="2"/>
        <v>12059.699999999999</v>
      </c>
      <c r="Z20" s="889">
        <f t="shared" si="2"/>
        <v>104521.09999999999</v>
      </c>
      <c r="AA20" s="889">
        <f t="shared" si="2"/>
        <v>30574.1</v>
      </c>
      <c r="AB20" s="889">
        <f t="shared" si="2"/>
        <v>1759.2</v>
      </c>
      <c r="AC20" s="889">
        <f t="shared" si="2"/>
        <v>33692.200000000004</v>
      </c>
      <c r="AD20" s="889">
        <f t="shared" si="2"/>
        <v>7764.3</v>
      </c>
      <c r="AE20" s="889">
        <f t="shared" si="2"/>
        <v>29525.299999999996</v>
      </c>
      <c r="AF20" s="889">
        <f t="shared" si="2"/>
        <v>38963.9</v>
      </c>
      <c r="AG20" s="889">
        <f t="shared" si="2"/>
        <v>27235</v>
      </c>
      <c r="AH20" s="889">
        <f t="shared" si="2"/>
        <v>68854.899999999994</v>
      </c>
      <c r="AI20" s="889">
        <f t="shared" si="2"/>
        <v>12361.699999999999</v>
      </c>
      <c r="AJ20" s="889">
        <f t="shared" si="2"/>
        <v>47027.4</v>
      </c>
      <c r="AK20" s="889">
        <f t="shared" si="2"/>
        <v>34936.200000000004</v>
      </c>
      <c r="AL20" s="889">
        <f t="shared" si="2"/>
        <v>133321.70000000001</v>
      </c>
      <c r="AM20" s="889">
        <f t="shared" si="2"/>
        <v>657178.10000000009</v>
      </c>
      <c r="AN20" s="889">
        <f t="shared" si="2"/>
        <v>678804.1</v>
      </c>
      <c r="AO20" s="889">
        <f t="shared" si="2"/>
        <v>-247061.8</v>
      </c>
      <c r="AP20" s="307" t="s">
        <v>2183</v>
      </c>
    </row>
    <row r="21" spans="1:42" s="263" customFormat="1" ht="10.7" customHeight="1">
      <c r="A21" s="163" t="s">
        <v>565</v>
      </c>
      <c r="B21" s="232">
        <v>210.3</v>
      </c>
      <c r="C21" s="232">
        <v>466.2</v>
      </c>
      <c r="D21" s="232">
        <v>3.7</v>
      </c>
      <c r="E21" s="232">
        <v>1061</v>
      </c>
      <c r="F21" s="232">
        <v>256.10000000000002</v>
      </c>
      <c r="G21" s="232">
        <v>29610.9</v>
      </c>
      <c r="H21" s="232">
        <v>0.1</v>
      </c>
      <c r="I21" s="232">
        <v>0.1</v>
      </c>
      <c r="J21" s="232">
        <v>0.1</v>
      </c>
      <c r="K21" s="232">
        <f t="shared" ref="K21:K25" si="3">L21-SUM(B21:J21)</f>
        <v>3720.9000000000051</v>
      </c>
      <c r="L21" s="232">
        <v>35329.4</v>
      </c>
      <c r="M21" s="232">
        <v>129.5</v>
      </c>
      <c r="N21" s="232">
        <v>881.5</v>
      </c>
      <c r="O21" s="232">
        <f>M21+N21</f>
        <v>1011</v>
      </c>
      <c r="P21" s="232">
        <v>299.3</v>
      </c>
      <c r="Q21" s="232">
        <v>313.89999999999998</v>
      </c>
      <c r="R21" s="232">
        <v>2604.6999999999998</v>
      </c>
      <c r="S21" s="232">
        <v>4220.8</v>
      </c>
      <c r="T21" s="232">
        <v>512.29999999999995</v>
      </c>
      <c r="U21" s="209" t="s">
        <v>565</v>
      </c>
      <c r="V21" s="162" t="s">
        <v>565</v>
      </c>
      <c r="W21" s="232">
        <v>524.1</v>
      </c>
      <c r="X21" s="232">
        <v>591.9</v>
      </c>
      <c r="Y21" s="232">
        <v>1213</v>
      </c>
      <c r="Z21" s="232">
        <v>14375.6</v>
      </c>
      <c r="AA21" s="232">
        <v>2802.7</v>
      </c>
      <c r="AB21" s="232">
        <v>129.30000000000001</v>
      </c>
      <c r="AC21" s="232">
        <v>1171.5</v>
      </c>
      <c r="AD21" s="232">
        <v>755.5</v>
      </c>
      <c r="AE21" s="232">
        <v>2904.6</v>
      </c>
      <c r="AF21" s="232">
        <v>3742.2</v>
      </c>
      <c r="AG21" s="232">
        <v>3242</v>
      </c>
      <c r="AH21" s="232">
        <v>5845.3</v>
      </c>
      <c r="AI21" s="232">
        <v>996.8</v>
      </c>
      <c r="AJ21" s="232">
        <v>4737</v>
      </c>
      <c r="AK21" s="232">
        <v>2914.1</v>
      </c>
      <c r="AL21" s="232">
        <v>11910.2</v>
      </c>
      <c r="AM21" s="232">
        <v>65806.8</v>
      </c>
      <c r="AN21" s="232">
        <f t="shared" ref="AN21:AN32" si="4">O21+AM21</f>
        <v>66817.8</v>
      </c>
      <c r="AO21" s="232">
        <f t="shared" ref="AO21:AO32" si="5">L21-AN21</f>
        <v>-31488.400000000001</v>
      </c>
      <c r="AP21" s="209" t="s">
        <v>565</v>
      </c>
    </row>
    <row r="22" spans="1:42" s="263" customFormat="1" ht="10.7" customHeight="1">
      <c r="A22" s="313" t="s">
        <v>112</v>
      </c>
      <c r="B22" s="291">
        <v>189.8</v>
      </c>
      <c r="C22" s="291">
        <v>584.5</v>
      </c>
      <c r="D22" s="291">
        <v>1.6</v>
      </c>
      <c r="E22" s="291">
        <v>1548.7</v>
      </c>
      <c r="F22" s="291">
        <v>346.6</v>
      </c>
      <c r="G22" s="291">
        <v>35570.6</v>
      </c>
      <c r="H22" s="291">
        <v>0.1</v>
      </c>
      <c r="I22" s="291">
        <v>0.1</v>
      </c>
      <c r="J22" s="291">
        <v>0.1</v>
      </c>
      <c r="K22" s="291">
        <f t="shared" si="3"/>
        <v>3481.3000000000102</v>
      </c>
      <c r="L22" s="291">
        <v>41723.4</v>
      </c>
      <c r="M22" s="291">
        <v>191.5</v>
      </c>
      <c r="N22" s="291">
        <v>621.6</v>
      </c>
      <c r="O22" s="291">
        <f t="shared" ref="O22:O43" si="6">M22+N22</f>
        <v>813.1</v>
      </c>
      <c r="P22" s="291">
        <v>237.7</v>
      </c>
      <c r="Q22" s="291">
        <v>229.2</v>
      </c>
      <c r="R22" s="291">
        <v>1402.4</v>
      </c>
      <c r="S22" s="291">
        <v>3339.4</v>
      </c>
      <c r="T22" s="291">
        <v>824.2</v>
      </c>
      <c r="U22" s="305" t="s">
        <v>112</v>
      </c>
      <c r="V22" s="304" t="s">
        <v>112</v>
      </c>
      <c r="W22" s="291">
        <v>704.9</v>
      </c>
      <c r="X22" s="291">
        <v>563</v>
      </c>
      <c r="Y22" s="291">
        <v>780.5</v>
      </c>
      <c r="Z22" s="291">
        <v>11215.7</v>
      </c>
      <c r="AA22" s="291">
        <v>2795.6</v>
      </c>
      <c r="AB22" s="291">
        <v>164.1</v>
      </c>
      <c r="AC22" s="291">
        <v>5448.8</v>
      </c>
      <c r="AD22" s="291">
        <v>822.1</v>
      </c>
      <c r="AE22" s="291">
        <v>3043.5</v>
      </c>
      <c r="AF22" s="291">
        <v>4298.2</v>
      </c>
      <c r="AG22" s="291">
        <v>3276</v>
      </c>
      <c r="AH22" s="291">
        <v>6748.5</v>
      </c>
      <c r="AI22" s="291">
        <v>1116.4000000000001</v>
      </c>
      <c r="AJ22" s="291">
        <v>5456.2</v>
      </c>
      <c r="AK22" s="291">
        <v>3162.4</v>
      </c>
      <c r="AL22" s="291">
        <v>12378.2</v>
      </c>
      <c r="AM22" s="291">
        <v>68007</v>
      </c>
      <c r="AN22" s="291">
        <f>O22+AM22</f>
        <v>68820.100000000006</v>
      </c>
      <c r="AO22" s="291">
        <f t="shared" si="5"/>
        <v>-27096.700000000004</v>
      </c>
      <c r="AP22" s="305" t="s">
        <v>112</v>
      </c>
    </row>
    <row r="23" spans="1:42" s="263" customFormat="1" ht="10.7" customHeight="1">
      <c r="A23" s="163" t="s">
        <v>560</v>
      </c>
      <c r="B23" s="232">
        <v>143.4</v>
      </c>
      <c r="C23" s="232">
        <v>676.4</v>
      </c>
      <c r="D23" s="232">
        <v>0.2</v>
      </c>
      <c r="E23" s="232">
        <v>1296</v>
      </c>
      <c r="F23" s="232">
        <v>333.4</v>
      </c>
      <c r="G23" s="232">
        <v>34001.300000000003</v>
      </c>
      <c r="H23" s="232">
        <v>0.1</v>
      </c>
      <c r="I23" s="232">
        <v>0.1</v>
      </c>
      <c r="J23" s="232">
        <v>0.1</v>
      </c>
      <c r="K23" s="232">
        <f t="shared" si="3"/>
        <v>3309.1999999999971</v>
      </c>
      <c r="L23" s="232">
        <v>39760.199999999997</v>
      </c>
      <c r="M23" s="232">
        <v>400.6</v>
      </c>
      <c r="N23" s="232">
        <v>1145.8</v>
      </c>
      <c r="O23" s="232">
        <f t="shared" si="6"/>
        <v>1546.4</v>
      </c>
      <c r="P23" s="232">
        <v>396.7</v>
      </c>
      <c r="Q23" s="232">
        <v>186.8</v>
      </c>
      <c r="R23" s="232">
        <v>923.2</v>
      </c>
      <c r="S23" s="232">
        <v>2600.9</v>
      </c>
      <c r="T23" s="232">
        <v>131.4</v>
      </c>
      <c r="U23" s="209" t="s">
        <v>560</v>
      </c>
      <c r="V23" s="162" t="s">
        <v>560</v>
      </c>
      <c r="W23" s="232">
        <v>367.7</v>
      </c>
      <c r="X23" s="232">
        <v>807.3</v>
      </c>
      <c r="Y23" s="232">
        <v>742.2</v>
      </c>
      <c r="Z23" s="232">
        <v>9261.7999999999993</v>
      </c>
      <c r="AA23" s="232">
        <v>2318</v>
      </c>
      <c r="AB23" s="232">
        <v>146.6</v>
      </c>
      <c r="AC23" s="232">
        <v>6009.4</v>
      </c>
      <c r="AD23" s="232">
        <v>684.3</v>
      </c>
      <c r="AE23" s="232">
        <v>2654.2</v>
      </c>
      <c r="AF23" s="232">
        <v>4587.3</v>
      </c>
      <c r="AG23" s="232">
        <v>2775</v>
      </c>
      <c r="AH23" s="232">
        <v>6302.7</v>
      </c>
      <c r="AI23" s="232">
        <v>1019.6</v>
      </c>
      <c r="AJ23" s="232">
        <v>4633</v>
      </c>
      <c r="AK23" s="232">
        <v>3017.6</v>
      </c>
      <c r="AL23" s="232">
        <v>11557.6</v>
      </c>
      <c r="AM23" s="232">
        <v>61123.299999999996</v>
      </c>
      <c r="AN23" s="232">
        <f t="shared" si="4"/>
        <v>62669.7</v>
      </c>
      <c r="AO23" s="232">
        <f t="shared" si="5"/>
        <v>-22909.5</v>
      </c>
      <c r="AP23" s="209" t="s">
        <v>560</v>
      </c>
    </row>
    <row r="24" spans="1:42" s="263" customFormat="1" ht="10.7" customHeight="1">
      <c r="A24" s="313" t="s">
        <v>567</v>
      </c>
      <c r="B24" s="291">
        <v>152.69999999999999</v>
      </c>
      <c r="C24" s="291">
        <v>710</v>
      </c>
      <c r="D24" s="291">
        <v>1.3</v>
      </c>
      <c r="E24" s="291">
        <v>1161.0999999999999</v>
      </c>
      <c r="F24" s="291">
        <v>365.3</v>
      </c>
      <c r="G24" s="291">
        <v>32038</v>
      </c>
      <c r="H24" s="291">
        <v>0.1</v>
      </c>
      <c r="I24" s="291">
        <v>0.1</v>
      </c>
      <c r="J24" s="291">
        <v>0.1</v>
      </c>
      <c r="K24" s="291">
        <f t="shared" si="3"/>
        <v>3426.1000000000058</v>
      </c>
      <c r="L24" s="291">
        <v>37854.800000000003</v>
      </c>
      <c r="M24" s="291">
        <v>486.8</v>
      </c>
      <c r="N24" s="291">
        <v>1427.9</v>
      </c>
      <c r="O24" s="291">
        <f t="shared" si="6"/>
        <v>1914.7</v>
      </c>
      <c r="P24" s="291">
        <v>342.2</v>
      </c>
      <c r="Q24" s="291">
        <v>232.1</v>
      </c>
      <c r="R24" s="291">
        <v>595.20000000000005</v>
      </c>
      <c r="S24" s="291">
        <v>3320.8</v>
      </c>
      <c r="T24" s="291">
        <v>869</v>
      </c>
      <c r="U24" s="305" t="s">
        <v>567</v>
      </c>
      <c r="V24" s="304" t="s">
        <v>567</v>
      </c>
      <c r="W24" s="291">
        <v>402.1</v>
      </c>
      <c r="X24" s="291">
        <v>830.8</v>
      </c>
      <c r="Y24" s="291">
        <v>1469</v>
      </c>
      <c r="Z24" s="291">
        <v>10464.6</v>
      </c>
      <c r="AA24" s="291">
        <v>2737.6</v>
      </c>
      <c r="AB24" s="291">
        <v>148.6</v>
      </c>
      <c r="AC24" s="291">
        <v>4577.2</v>
      </c>
      <c r="AD24" s="291">
        <v>656.2</v>
      </c>
      <c r="AE24" s="291">
        <v>2348.8000000000002</v>
      </c>
      <c r="AF24" s="291">
        <v>4137.3999999999996</v>
      </c>
      <c r="AG24" s="291">
        <v>2370.1</v>
      </c>
      <c r="AH24" s="291">
        <v>5737.1</v>
      </c>
      <c r="AI24" s="291">
        <v>866</v>
      </c>
      <c r="AJ24" s="291">
        <v>4102.6000000000004</v>
      </c>
      <c r="AK24" s="291">
        <v>3203.8</v>
      </c>
      <c r="AL24" s="291">
        <v>10815.5</v>
      </c>
      <c r="AM24" s="291">
        <v>60226.7</v>
      </c>
      <c r="AN24" s="291">
        <f t="shared" si="4"/>
        <v>62141.399999999994</v>
      </c>
      <c r="AO24" s="291">
        <f t="shared" si="5"/>
        <v>-24286.599999999991</v>
      </c>
      <c r="AP24" s="305" t="s">
        <v>567</v>
      </c>
    </row>
    <row r="25" spans="1:42" s="263" customFormat="1" ht="10.7" customHeight="1">
      <c r="A25" s="163" t="s">
        <v>568</v>
      </c>
      <c r="B25" s="232">
        <v>156.1</v>
      </c>
      <c r="C25" s="232">
        <v>710.2</v>
      </c>
      <c r="D25" s="232">
        <v>0.5</v>
      </c>
      <c r="E25" s="232">
        <v>997.1</v>
      </c>
      <c r="F25" s="232">
        <v>366.7</v>
      </c>
      <c r="G25" s="232">
        <v>30739.5</v>
      </c>
      <c r="H25" s="232">
        <v>0.1</v>
      </c>
      <c r="I25" s="232">
        <v>0.1</v>
      </c>
      <c r="J25" s="232">
        <v>0.1</v>
      </c>
      <c r="K25" s="232">
        <f t="shared" si="3"/>
        <v>3196.6000000000058</v>
      </c>
      <c r="L25" s="232">
        <v>36167</v>
      </c>
      <c r="M25" s="232">
        <v>747.7</v>
      </c>
      <c r="N25" s="232">
        <v>1634.3</v>
      </c>
      <c r="O25" s="232">
        <f t="shared" si="6"/>
        <v>2382</v>
      </c>
      <c r="P25" s="232">
        <v>299.39999999999998</v>
      </c>
      <c r="Q25" s="232">
        <v>228.3</v>
      </c>
      <c r="R25" s="232">
        <v>822.2</v>
      </c>
      <c r="S25" s="232">
        <v>1989.3</v>
      </c>
      <c r="T25" s="232">
        <v>462.1</v>
      </c>
      <c r="U25" s="209" t="s">
        <v>568</v>
      </c>
      <c r="V25" s="162" t="s">
        <v>568</v>
      </c>
      <c r="W25" s="232">
        <v>614.29999999999995</v>
      </c>
      <c r="X25" s="232">
        <v>802</v>
      </c>
      <c r="Y25" s="232">
        <v>722.6</v>
      </c>
      <c r="Z25" s="232">
        <v>9106.2999999999993</v>
      </c>
      <c r="AA25" s="232">
        <v>2420.1</v>
      </c>
      <c r="AB25" s="232">
        <v>163.69999999999999</v>
      </c>
      <c r="AC25" s="232">
        <v>5000.3</v>
      </c>
      <c r="AD25" s="232">
        <v>576.20000000000005</v>
      </c>
      <c r="AE25" s="232">
        <v>2412.1</v>
      </c>
      <c r="AF25" s="232">
        <v>3925.1</v>
      </c>
      <c r="AG25" s="232">
        <v>2340.8000000000002</v>
      </c>
      <c r="AH25" s="232">
        <v>6019</v>
      </c>
      <c r="AI25" s="232">
        <v>983</v>
      </c>
      <c r="AJ25" s="232">
        <v>3715.8</v>
      </c>
      <c r="AK25" s="232">
        <v>2752.7</v>
      </c>
      <c r="AL25" s="232">
        <v>9895.2000000000007</v>
      </c>
      <c r="AM25" s="232">
        <v>55250.5</v>
      </c>
      <c r="AN25" s="232">
        <f t="shared" si="4"/>
        <v>57632.5</v>
      </c>
      <c r="AO25" s="232">
        <f t="shared" si="5"/>
        <v>-21465.5</v>
      </c>
      <c r="AP25" s="209" t="s">
        <v>568</v>
      </c>
    </row>
    <row r="26" spans="1:42" s="263" customFormat="1" ht="10.7" customHeight="1">
      <c r="A26" s="313" t="s">
        <v>561</v>
      </c>
      <c r="B26" s="291">
        <v>150.80000000000001</v>
      </c>
      <c r="C26" s="291">
        <v>656.6</v>
      </c>
      <c r="D26" s="291">
        <v>4.5999999999999996</v>
      </c>
      <c r="E26" s="291">
        <v>1044.9000000000001</v>
      </c>
      <c r="F26" s="291">
        <v>357.8</v>
      </c>
      <c r="G26" s="291">
        <v>32266.400000000001</v>
      </c>
      <c r="H26" s="291">
        <v>0.1</v>
      </c>
      <c r="I26" s="291">
        <v>0.1</v>
      </c>
      <c r="J26" s="291">
        <v>0.1</v>
      </c>
      <c r="K26" s="291">
        <f>L26-SUM(B26:J26)</f>
        <v>3269.9000000000087</v>
      </c>
      <c r="L26" s="291">
        <v>37751.300000000003</v>
      </c>
      <c r="M26" s="291">
        <v>814.3</v>
      </c>
      <c r="N26" s="291">
        <v>1882.6</v>
      </c>
      <c r="O26" s="291">
        <f t="shared" si="6"/>
        <v>2696.8999999999996</v>
      </c>
      <c r="P26" s="291">
        <v>341.2</v>
      </c>
      <c r="Q26" s="291">
        <v>232.4</v>
      </c>
      <c r="R26" s="291">
        <v>379.9</v>
      </c>
      <c r="S26" s="291">
        <v>1596.5</v>
      </c>
      <c r="T26" s="291">
        <v>459.2</v>
      </c>
      <c r="U26" s="305" t="s">
        <v>561</v>
      </c>
      <c r="V26" s="304" t="s">
        <v>561</v>
      </c>
      <c r="W26" s="291">
        <v>503.6</v>
      </c>
      <c r="X26" s="291">
        <v>549.9</v>
      </c>
      <c r="Y26" s="291">
        <v>661.8</v>
      </c>
      <c r="Z26" s="291">
        <v>7962.4</v>
      </c>
      <c r="AA26" s="291">
        <v>2226.5</v>
      </c>
      <c r="AB26" s="291">
        <v>128.30000000000001</v>
      </c>
      <c r="AC26" s="291">
        <v>3738.2</v>
      </c>
      <c r="AD26" s="291">
        <v>648.6</v>
      </c>
      <c r="AE26" s="291">
        <v>2090.1999999999998</v>
      </c>
      <c r="AF26" s="291">
        <v>2811.3</v>
      </c>
      <c r="AG26" s="291">
        <v>1819.1</v>
      </c>
      <c r="AH26" s="291">
        <v>5609.4</v>
      </c>
      <c r="AI26" s="291">
        <v>948.5</v>
      </c>
      <c r="AJ26" s="291">
        <v>3061.7</v>
      </c>
      <c r="AK26" s="291">
        <v>3471</v>
      </c>
      <c r="AL26" s="291">
        <v>10395.5</v>
      </c>
      <c r="AM26" s="291">
        <v>49635.19999999999</v>
      </c>
      <c r="AN26" s="291">
        <f t="shared" si="4"/>
        <v>52332.099999999991</v>
      </c>
      <c r="AO26" s="291">
        <f t="shared" si="5"/>
        <v>-14580.799999999988</v>
      </c>
      <c r="AP26" s="305" t="s">
        <v>561</v>
      </c>
    </row>
    <row r="27" spans="1:42" s="263" customFormat="1" ht="10.7" customHeight="1">
      <c r="A27" s="163" t="s">
        <v>569</v>
      </c>
      <c r="B27" s="232">
        <v>133.19999999999999</v>
      </c>
      <c r="C27" s="232">
        <v>564</v>
      </c>
      <c r="D27" s="232">
        <v>2.2000000000000002</v>
      </c>
      <c r="E27" s="232">
        <v>974.6</v>
      </c>
      <c r="F27" s="232">
        <v>307.5</v>
      </c>
      <c r="G27" s="232">
        <v>32242.3</v>
      </c>
      <c r="H27" s="232">
        <v>0.1</v>
      </c>
      <c r="I27" s="232">
        <v>0.1</v>
      </c>
      <c r="J27" s="232">
        <v>0.1</v>
      </c>
      <c r="K27" s="232">
        <f t="shared" ref="K27:K31" si="7">L27-SUM(B27:J27)</f>
        <v>3356.4000000000015</v>
      </c>
      <c r="L27" s="232">
        <v>37580.5</v>
      </c>
      <c r="M27" s="232">
        <v>778.1</v>
      </c>
      <c r="N27" s="232">
        <v>1352.9</v>
      </c>
      <c r="O27" s="232">
        <f t="shared" si="6"/>
        <v>2131</v>
      </c>
      <c r="P27" s="232">
        <v>351.5</v>
      </c>
      <c r="Q27" s="232">
        <v>242.9</v>
      </c>
      <c r="R27" s="232">
        <v>1097.9000000000001</v>
      </c>
      <c r="S27" s="232">
        <v>1984.4</v>
      </c>
      <c r="T27" s="232">
        <v>432.4</v>
      </c>
      <c r="U27" s="209" t="s">
        <v>569</v>
      </c>
      <c r="V27" s="162" t="s">
        <v>569</v>
      </c>
      <c r="W27" s="232">
        <v>701.5</v>
      </c>
      <c r="X27" s="232">
        <v>674.6</v>
      </c>
      <c r="Y27" s="232">
        <v>1584</v>
      </c>
      <c r="Z27" s="232">
        <v>5787.4</v>
      </c>
      <c r="AA27" s="232">
        <v>2775.8</v>
      </c>
      <c r="AB27" s="232">
        <v>138.6</v>
      </c>
      <c r="AC27" s="232">
        <v>3128.3</v>
      </c>
      <c r="AD27" s="232">
        <v>625</v>
      </c>
      <c r="AE27" s="232">
        <v>2230.6999999999998</v>
      </c>
      <c r="AF27" s="232">
        <v>2513.6</v>
      </c>
      <c r="AG27" s="232">
        <v>1956.7</v>
      </c>
      <c r="AH27" s="232">
        <v>6515.5</v>
      </c>
      <c r="AI27" s="232">
        <v>1199.5999999999999</v>
      </c>
      <c r="AJ27" s="232">
        <v>2963</v>
      </c>
      <c r="AK27" s="232">
        <v>3336.3</v>
      </c>
      <c r="AL27" s="232">
        <v>12124.5</v>
      </c>
      <c r="AM27" s="232">
        <v>52364.200000000004</v>
      </c>
      <c r="AN27" s="232">
        <f t="shared" si="4"/>
        <v>54495.200000000004</v>
      </c>
      <c r="AO27" s="232">
        <f t="shared" si="5"/>
        <v>-16914.700000000004</v>
      </c>
      <c r="AP27" s="209" t="s">
        <v>569</v>
      </c>
    </row>
    <row r="28" spans="1:42" s="263" customFormat="1" ht="10.7" customHeight="1">
      <c r="A28" s="313" t="s">
        <v>570</v>
      </c>
      <c r="B28" s="291">
        <v>117.1</v>
      </c>
      <c r="C28" s="291">
        <v>483.7</v>
      </c>
      <c r="D28" s="291">
        <v>2.8</v>
      </c>
      <c r="E28" s="291">
        <v>843.6</v>
      </c>
      <c r="F28" s="291">
        <v>291.5</v>
      </c>
      <c r="G28" s="291">
        <v>28792.1</v>
      </c>
      <c r="H28" s="291">
        <v>0.1</v>
      </c>
      <c r="I28" s="291">
        <v>0.1</v>
      </c>
      <c r="J28" s="291">
        <v>0.1</v>
      </c>
      <c r="K28" s="291">
        <f t="shared" si="7"/>
        <v>3177.1000000000022</v>
      </c>
      <c r="L28" s="291">
        <v>33708.199999999997</v>
      </c>
      <c r="M28" s="291">
        <v>660.5</v>
      </c>
      <c r="N28" s="291">
        <v>1209</v>
      </c>
      <c r="O28" s="291">
        <f t="shared" si="6"/>
        <v>1869.5</v>
      </c>
      <c r="P28" s="291">
        <v>282.60000000000002</v>
      </c>
      <c r="Q28" s="291">
        <v>320.5</v>
      </c>
      <c r="R28" s="291">
        <v>1015.5</v>
      </c>
      <c r="S28" s="291">
        <v>1375.6</v>
      </c>
      <c r="T28" s="291">
        <v>659.3</v>
      </c>
      <c r="U28" s="305" t="s">
        <v>570</v>
      </c>
      <c r="V28" s="304" t="s">
        <v>570</v>
      </c>
      <c r="W28" s="291">
        <v>1535.9</v>
      </c>
      <c r="X28" s="291">
        <v>609.29999999999995</v>
      </c>
      <c r="Y28" s="291">
        <v>625.6</v>
      </c>
      <c r="Z28" s="291">
        <v>6898.9</v>
      </c>
      <c r="AA28" s="291">
        <v>2005.5</v>
      </c>
      <c r="AB28" s="291">
        <v>140.6</v>
      </c>
      <c r="AC28" s="291">
        <v>1396</v>
      </c>
      <c r="AD28" s="291">
        <v>480.3</v>
      </c>
      <c r="AE28" s="291">
        <v>1985.6</v>
      </c>
      <c r="AF28" s="291">
        <v>2283.9</v>
      </c>
      <c r="AG28" s="291">
        <v>1699.5</v>
      </c>
      <c r="AH28" s="291">
        <v>4921.5</v>
      </c>
      <c r="AI28" s="291">
        <v>875.2</v>
      </c>
      <c r="AJ28" s="291">
        <v>2340.8000000000002</v>
      </c>
      <c r="AK28" s="291">
        <v>2215.9</v>
      </c>
      <c r="AL28" s="291">
        <v>9168.5</v>
      </c>
      <c r="AM28" s="291">
        <v>42836.5</v>
      </c>
      <c r="AN28" s="291">
        <f t="shared" si="4"/>
        <v>44706</v>
      </c>
      <c r="AO28" s="291">
        <f t="shared" si="5"/>
        <v>-10997.800000000003</v>
      </c>
      <c r="AP28" s="305" t="s">
        <v>570</v>
      </c>
    </row>
    <row r="29" spans="1:42" s="263" customFormat="1" ht="10.7" customHeight="1">
      <c r="A29" s="163" t="s">
        <v>562</v>
      </c>
      <c r="B29" s="232">
        <v>206.1</v>
      </c>
      <c r="C29" s="232">
        <v>536.29999999999995</v>
      </c>
      <c r="D29" s="232">
        <v>2.2000000000000002</v>
      </c>
      <c r="E29" s="232">
        <v>1096.0999999999999</v>
      </c>
      <c r="F29" s="232">
        <v>279.8</v>
      </c>
      <c r="G29" s="232">
        <v>30011</v>
      </c>
      <c r="H29" s="232">
        <v>0.1</v>
      </c>
      <c r="I29" s="232">
        <v>0.1</v>
      </c>
      <c r="J29" s="232">
        <v>0.1</v>
      </c>
      <c r="K29" s="232">
        <f t="shared" si="7"/>
        <v>3604.5000000000073</v>
      </c>
      <c r="L29" s="232">
        <v>35736.300000000003</v>
      </c>
      <c r="M29" s="232">
        <v>634.29999999999995</v>
      </c>
      <c r="N29" s="232">
        <v>2141.8000000000002</v>
      </c>
      <c r="O29" s="232">
        <f t="shared" si="6"/>
        <v>2776.1000000000004</v>
      </c>
      <c r="P29" s="232">
        <v>314.39999999999998</v>
      </c>
      <c r="Q29" s="232">
        <v>390.2</v>
      </c>
      <c r="R29" s="232">
        <v>993.7</v>
      </c>
      <c r="S29" s="232">
        <v>2426.1</v>
      </c>
      <c r="T29" s="232">
        <v>1002.4</v>
      </c>
      <c r="U29" s="209" t="s">
        <v>562</v>
      </c>
      <c r="V29" s="162" t="s">
        <v>562</v>
      </c>
      <c r="W29" s="232">
        <v>721.2</v>
      </c>
      <c r="X29" s="232">
        <v>828.3</v>
      </c>
      <c r="Y29" s="232">
        <v>1187.3</v>
      </c>
      <c r="Z29" s="232">
        <v>8595.9</v>
      </c>
      <c r="AA29" s="232">
        <v>2717.3</v>
      </c>
      <c r="AB29" s="232">
        <v>130.69999999999999</v>
      </c>
      <c r="AC29" s="232">
        <v>503.8</v>
      </c>
      <c r="AD29" s="232">
        <v>572.79999999999995</v>
      </c>
      <c r="AE29" s="232">
        <v>2458</v>
      </c>
      <c r="AF29" s="232">
        <v>2536.9</v>
      </c>
      <c r="AG29" s="232">
        <v>1840.6</v>
      </c>
      <c r="AH29" s="232">
        <v>5449.7</v>
      </c>
      <c r="AI29" s="232">
        <v>1222.0999999999999</v>
      </c>
      <c r="AJ29" s="232">
        <v>3404.2</v>
      </c>
      <c r="AK29" s="232">
        <v>2886</v>
      </c>
      <c r="AL29" s="232">
        <v>11256.5</v>
      </c>
      <c r="AM29" s="232">
        <v>51438.1</v>
      </c>
      <c r="AN29" s="232">
        <f t="shared" si="4"/>
        <v>54214.2</v>
      </c>
      <c r="AO29" s="232">
        <f t="shared" si="5"/>
        <v>-18477.899999999994</v>
      </c>
      <c r="AP29" s="209" t="s">
        <v>562</v>
      </c>
    </row>
    <row r="30" spans="1:42" s="263" customFormat="1" ht="10.7" customHeight="1">
      <c r="A30" s="1376" t="s">
        <v>571</v>
      </c>
      <c r="B30" s="291">
        <v>193.4</v>
      </c>
      <c r="C30" s="291">
        <v>574.9</v>
      </c>
      <c r="D30" s="291">
        <v>2</v>
      </c>
      <c r="E30" s="291">
        <v>866.8</v>
      </c>
      <c r="F30" s="291">
        <v>252.1</v>
      </c>
      <c r="G30" s="291">
        <v>24827.8</v>
      </c>
      <c r="H30" s="291">
        <v>0.1</v>
      </c>
      <c r="I30" s="291">
        <v>0.1</v>
      </c>
      <c r="J30" s="291">
        <v>0.1</v>
      </c>
      <c r="K30" s="291">
        <f t="shared" si="7"/>
        <v>2967.5000000000036</v>
      </c>
      <c r="L30" s="291">
        <v>29684.799999999999</v>
      </c>
      <c r="M30" s="291">
        <v>161.5</v>
      </c>
      <c r="N30" s="291">
        <v>1447.5</v>
      </c>
      <c r="O30" s="291">
        <f t="shared" si="6"/>
        <v>1609</v>
      </c>
      <c r="P30" s="291">
        <v>373.9</v>
      </c>
      <c r="Q30" s="291">
        <v>402.7</v>
      </c>
      <c r="R30" s="291">
        <v>267.8</v>
      </c>
      <c r="S30" s="291">
        <v>2494</v>
      </c>
      <c r="T30" s="291">
        <v>1277</v>
      </c>
      <c r="U30" s="305" t="s">
        <v>571</v>
      </c>
      <c r="V30" s="304" t="s">
        <v>571</v>
      </c>
      <c r="W30" s="291">
        <v>822.4</v>
      </c>
      <c r="X30" s="291">
        <v>849.9</v>
      </c>
      <c r="Y30" s="291">
        <v>605.5</v>
      </c>
      <c r="Z30" s="291">
        <v>6868.1</v>
      </c>
      <c r="AA30" s="291">
        <v>2516.5</v>
      </c>
      <c r="AB30" s="291">
        <v>157.9</v>
      </c>
      <c r="AC30" s="291">
        <v>363.2</v>
      </c>
      <c r="AD30" s="291">
        <v>575.29999999999995</v>
      </c>
      <c r="AE30" s="291">
        <v>2348.6</v>
      </c>
      <c r="AF30" s="291">
        <v>2284.6999999999998</v>
      </c>
      <c r="AG30" s="291">
        <v>1739.2</v>
      </c>
      <c r="AH30" s="291">
        <v>4919.7</v>
      </c>
      <c r="AI30" s="291">
        <v>1068.0999999999999</v>
      </c>
      <c r="AJ30" s="291">
        <v>3390.9</v>
      </c>
      <c r="AK30" s="291">
        <v>2796.2999999999997</v>
      </c>
      <c r="AL30" s="291">
        <v>10656.3</v>
      </c>
      <c r="AM30" s="291">
        <v>46778</v>
      </c>
      <c r="AN30" s="291">
        <f t="shared" si="4"/>
        <v>48387</v>
      </c>
      <c r="AO30" s="291">
        <f t="shared" si="5"/>
        <v>-18702.2</v>
      </c>
      <c r="AP30" s="305" t="s">
        <v>571</v>
      </c>
    </row>
    <row r="31" spans="1:42" s="263" customFormat="1" ht="10.7" customHeight="1">
      <c r="A31" s="530" t="s">
        <v>572</v>
      </c>
      <c r="B31" s="232">
        <v>164</v>
      </c>
      <c r="C31" s="232">
        <v>621.4</v>
      </c>
      <c r="D31" s="232">
        <v>3.8</v>
      </c>
      <c r="E31" s="232">
        <v>942.9</v>
      </c>
      <c r="F31" s="232">
        <v>279.5</v>
      </c>
      <c r="G31" s="232">
        <v>28920.6</v>
      </c>
      <c r="H31" s="232">
        <v>0.1</v>
      </c>
      <c r="I31" s="232">
        <v>0.1</v>
      </c>
      <c r="J31" s="232">
        <v>0.1</v>
      </c>
      <c r="K31" s="232">
        <f t="shared" si="7"/>
        <v>3231.3000000000102</v>
      </c>
      <c r="L31" s="232">
        <v>34163.800000000003</v>
      </c>
      <c r="M31" s="232">
        <v>61.5</v>
      </c>
      <c r="N31" s="232">
        <v>1901.1</v>
      </c>
      <c r="O31" s="232">
        <f t="shared" si="6"/>
        <v>1962.6</v>
      </c>
      <c r="P31" s="232">
        <v>395.1</v>
      </c>
      <c r="Q31" s="232">
        <v>399.5</v>
      </c>
      <c r="R31" s="232">
        <v>1470.4</v>
      </c>
      <c r="S31" s="232">
        <v>1998.9</v>
      </c>
      <c r="T31" s="232">
        <v>721.6</v>
      </c>
      <c r="U31" s="209" t="s">
        <v>572</v>
      </c>
      <c r="V31" s="162" t="s">
        <v>572</v>
      </c>
      <c r="W31" s="232">
        <v>1360.5</v>
      </c>
      <c r="X31" s="232">
        <v>733.6</v>
      </c>
      <c r="Y31" s="232">
        <v>1507.4</v>
      </c>
      <c r="Z31" s="232">
        <v>7407.9</v>
      </c>
      <c r="AA31" s="232">
        <v>3040.9</v>
      </c>
      <c r="AB31" s="232">
        <v>167.8</v>
      </c>
      <c r="AC31" s="232">
        <v>1194.2</v>
      </c>
      <c r="AD31" s="232">
        <v>761.7</v>
      </c>
      <c r="AE31" s="232">
        <v>2809.7</v>
      </c>
      <c r="AF31" s="232">
        <v>2857.8</v>
      </c>
      <c r="AG31" s="232">
        <v>2280.5</v>
      </c>
      <c r="AH31" s="232">
        <v>6047.4</v>
      </c>
      <c r="AI31" s="232">
        <v>1083.3</v>
      </c>
      <c r="AJ31" s="232">
        <v>5234.2</v>
      </c>
      <c r="AK31" s="232">
        <v>2678.7</v>
      </c>
      <c r="AL31" s="232">
        <v>12644.8</v>
      </c>
      <c r="AM31" s="232">
        <v>56795.899999999994</v>
      </c>
      <c r="AN31" s="232">
        <f t="shared" si="4"/>
        <v>58758.499999999993</v>
      </c>
      <c r="AO31" s="232">
        <f t="shared" si="5"/>
        <v>-24594.69999999999</v>
      </c>
      <c r="AP31" s="209" t="s">
        <v>572</v>
      </c>
    </row>
    <row r="32" spans="1:42" s="263" customFormat="1" ht="10.7" customHeight="1">
      <c r="A32" s="1376" t="s">
        <v>563</v>
      </c>
      <c r="B32" s="291">
        <v>152</v>
      </c>
      <c r="C32" s="291">
        <v>524.29999999999995</v>
      </c>
      <c r="D32" s="291">
        <v>0.5</v>
      </c>
      <c r="E32" s="291">
        <v>1097.0999999999999</v>
      </c>
      <c r="F32" s="291">
        <v>248.3</v>
      </c>
      <c r="G32" s="291">
        <v>27159.9</v>
      </c>
      <c r="H32" s="291">
        <v>0.1</v>
      </c>
      <c r="I32" s="291">
        <v>0.1</v>
      </c>
      <c r="J32" s="291">
        <v>0.1</v>
      </c>
      <c r="K32" s="291">
        <f>L32-SUM(B32:J32)</f>
        <v>3100.2000000000007</v>
      </c>
      <c r="L32" s="291">
        <v>32282.6</v>
      </c>
      <c r="M32" s="291">
        <v>15.3</v>
      </c>
      <c r="N32" s="291">
        <v>898.4</v>
      </c>
      <c r="O32" s="291">
        <f t="shared" si="6"/>
        <v>913.69999999999993</v>
      </c>
      <c r="P32" s="291">
        <v>346.4</v>
      </c>
      <c r="Q32" s="291">
        <v>403.3</v>
      </c>
      <c r="R32" s="291">
        <v>914.7</v>
      </c>
      <c r="S32" s="291">
        <v>1414.9</v>
      </c>
      <c r="T32" s="291">
        <v>815</v>
      </c>
      <c r="U32" s="305" t="s">
        <v>563</v>
      </c>
      <c r="V32" s="304" t="s">
        <v>563</v>
      </c>
      <c r="W32" s="291">
        <v>880.4</v>
      </c>
      <c r="X32" s="291">
        <v>624.9</v>
      </c>
      <c r="Y32" s="291">
        <v>960.8</v>
      </c>
      <c r="Z32" s="291">
        <v>6576.5</v>
      </c>
      <c r="AA32" s="291">
        <v>2217.6</v>
      </c>
      <c r="AB32" s="291">
        <v>143</v>
      </c>
      <c r="AC32" s="291">
        <v>1161.3</v>
      </c>
      <c r="AD32" s="291">
        <v>606.29999999999995</v>
      </c>
      <c r="AE32" s="291">
        <v>2239.3000000000002</v>
      </c>
      <c r="AF32" s="291">
        <v>2985.5</v>
      </c>
      <c r="AG32" s="291">
        <v>1895.5</v>
      </c>
      <c r="AH32" s="291">
        <v>4739.1000000000004</v>
      </c>
      <c r="AI32" s="291">
        <v>983.1</v>
      </c>
      <c r="AJ32" s="291">
        <v>3988</v>
      </c>
      <c r="AK32" s="291">
        <v>2501.4</v>
      </c>
      <c r="AL32" s="291">
        <v>10518.9</v>
      </c>
      <c r="AM32" s="291">
        <v>46915.9</v>
      </c>
      <c r="AN32" s="291">
        <f t="shared" si="4"/>
        <v>47829.599999999999</v>
      </c>
      <c r="AO32" s="291">
        <f t="shared" si="5"/>
        <v>-15547</v>
      </c>
      <c r="AP32" s="305" t="s">
        <v>563</v>
      </c>
    </row>
    <row r="33" spans="1:42" s="277" customFormat="1" ht="10.7" customHeight="1">
      <c r="A33" s="1639" t="s">
        <v>2344</v>
      </c>
      <c r="B33" s="888">
        <f>SUM(B34:B45)</f>
        <v>1749.5779</v>
      </c>
      <c r="C33" s="888">
        <f t="shared" ref="C33:T33" si="8">SUM(C34:C45)</f>
        <v>7642.9600000000009</v>
      </c>
      <c r="D33" s="888">
        <f t="shared" si="8"/>
        <v>30.014299999999999</v>
      </c>
      <c r="E33" s="888">
        <f t="shared" si="8"/>
        <v>12158.21</v>
      </c>
      <c r="F33" s="888">
        <f t="shared" si="8"/>
        <v>3389.51</v>
      </c>
      <c r="G33" s="888">
        <f t="shared" si="8"/>
        <v>369178.39900000003</v>
      </c>
      <c r="H33" s="888">
        <f t="shared" si="8"/>
        <v>0.6</v>
      </c>
      <c r="I33" s="888">
        <f t="shared" si="8"/>
        <v>0.6</v>
      </c>
      <c r="J33" s="888">
        <f t="shared" si="8"/>
        <v>0.7</v>
      </c>
      <c r="K33" s="888">
        <f t="shared" si="8"/>
        <v>38979.238800000036</v>
      </c>
      <c r="L33" s="888">
        <f t="shared" si="8"/>
        <v>433129.80999999994</v>
      </c>
      <c r="M33" s="888">
        <f t="shared" si="8"/>
        <v>206.50559999999996</v>
      </c>
      <c r="N33" s="888">
        <f t="shared" si="8"/>
        <v>19536.904499999997</v>
      </c>
      <c r="O33" s="888">
        <f t="shared" si="8"/>
        <v>19743.410099999997</v>
      </c>
      <c r="P33" s="888">
        <f t="shared" si="8"/>
        <v>4371.2961999999998</v>
      </c>
      <c r="Q33" s="888">
        <f t="shared" si="8"/>
        <v>5324.6283999999996</v>
      </c>
      <c r="R33" s="888">
        <f t="shared" si="8"/>
        <v>12355.735400000001</v>
      </c>
      <c r="S33" s="888">
        <f t="shared" si="8"/>
        <v>24089.351199999997</v>
      </c>
      <c r="T33" s="888">
        <f t="shared" si="8"/>
        <v>7780.5681000000013</v>
      </c>
      <c r="U33" s="1452" t="s">
        <v>2344</v>
      </c>
      <c r="V33" s="1451" t="s">
        <v>2344</v>
      </c>
      <c r="W33" s="888">
        <f t="shared" ref="W33:AO33" si="9">SUM(W34:W45)</f>
        <v>12545.7693</v>
      </c>
      <c r="X33" s="888">
        <f t="shared" si="9"/>
        <v>7511.2033999999994</v>
      </c>
      <c r="Y33" s="888">
        <f t="shared" si="9"/>
        <v>12082.529399999999</v>
      </c>
      <c r="Z33" s="888">
        <f t="shared" si="9"/>
        <v>104140.8509</v>
      </c>
      <c r="AA33" s="888">
        <f t="shared" si="9"/>
        <v>33823.090700000001</v>
      </c>
      <c r="AB33" s="888">
        <f t="shared" si="9"/>
        <v>2030.5640000000001</v>
      </c>
      <c r="AC33" s="888">
        <f t="shared" si="9"/>
        <v>18393.328700000002</v>
      </c>
      <c r="AD33" s="888">
        <f t="shared" si="9"/>
        <v>8193.0186000000012</v>
      </c>
      <c r="AE33" s="888">
        <f t="shared" si="9"/>
        <v>30116.716799999995</v>
      </c>
      <c r="AF33" s="888">
        <f t="shared" si="9"/>
        <v>39097.766900000002</v>
      </c>
      <c r="AG33" s="888">
        <f t="shared" si="9"/>
        <v>30565.176599999999</v>
      </c>
      <c r="AH33" s="888">
        <f t="shared" si="9"/>
        <v>57709.447899999999</v>
      </c>
      <c r="AI33" s="888">
        <f t="shared" si="9"/>
        <v>11633.240100000001</v>
      </c>
      <c r="AJ33" s="888">
        <f t="shared" si="9"/>
        <v>55912.0694</v>
      </c>
      <c r="AK33" s="888">
        <f t="shared" si="9"/>
        <v>31645.848086091344</v>
      </c>
      <c r="AL33" s="888">
        <f t="shared" si="9"/>
        <v>173164.06230000002</v>
      </c>
      <c r="AM33" s="888">
        <f t="shared" si="9"/>
        <v>682486.26238609129</v>
      </c>
      <c r="AN33" s="888">
        <f t="shared" si="9"/>
        <v>702229.67248609138</v>
      </c>
      <c r="AO33" s="888">
        <f t="shared" si="9"/>
        <v>-269099.86248609133</v>
      </c>
      <c r="AP33" s="1452" t="s">
        <v>2344</v>
      </c>
    </row>
    <row r="34" spans="1:42" s="263" customFormat="1" ht="10.7" customHeight="1">
      <c r="A34" s="1376" t="s">
        <v>565</v>
      </c>
      <c r="B34" s="291">
        <f>216.38+0</f>
        <v>216.38</v>
      </c>
      <c r="C34" s="291">
        <f>658.01+21.14</f>
        <v>679.15</v>
      </c>
      <c r="D34" s="291">
        <f>2+0</f>
        <v>2</v>
      </c>
      <c r="E34" s="291">
        <f>794.44+349.39</f>
        <v>1143.83</v>
      </c>
      <c r="F34" s="291">
        <f>86.25+191.6+0+0</f>
        <v>277.85000000000002</v>
      </c>
      <c r="G34" s="291">
        <f>30106.26+3516.25</f>
        <v>33622.509999999995</v>
      </c>
      <c r="H34" s="291">
        <v>0.1</v>
      </c>
      <c r="I34" s="291">
        <v>0.1</v>
      </c>
      <c r="J34" s="291">
        <v>0.1</v>
      </c>
      <c r="K34" s="291">
        <f t="shared" ref="K34:K38" si="10">L34-SUM(B34:J34)</f>
        <v>3329.4000000000087</v>
      </c>
      <c r="L34" s="291">
        <f>34753.74+4517.68</f>
        <v>39271.42</v>
      </c>
      <c r="M34" s="291">
        <v>18.433499999999999</v>
      </c>
      <c r="N34" s="291">
        <v>1917.3198000000002</v>
      </c>
      <c r="O34" s="291">
        <f t="shared" si="6"/>
        <v>1935.7533000000003</v>
      </c>
      <c r="P34" s="291">
        <v>318.9341</v>
      </c>
      <c r="Q34" s="291">
        <v>531.11860000000001</v>
      </c>
      <c r="R34" s="291">
        <v>1179.9813999999999</v>
      </c>
      <c r="S34" s="291">
        <v>2083.6</v>
      </c>
      <c r="T34" s="291">
        <v>300.19889999999998</v>
      </c>
      <c r="U34" s="1462" t="s">
        <v>565</v>
      </c>
      <c r="V34" s="1376" t="s">
        <v>565</v>
      </c>
      <c r="W34" s="291">
        <v>1292.3577</v>
      </c>
      <c r="X34" s="291">
        <v>713.45060000000001</v>
      </c>
      <c r="Y34" s="291">
        <v>1599.3253999999999</v>
      </c>
      <c r="Z34" s="291">
        <v>9659.6384000000016</v>
      </c>
      <c r="AA34" s="291">
        <v>3081.1489999999999</v>
      </c>
      <c r="AB34" s="291">
        <v>192.96600000000001</v>
      </c>
      <c r="AC34" s="291">
        <v>2674.1</v>
      </c>
      <c r="AD34" s="291">
        <v>805.79340000000002</v>
      </c>
      <c r="AE34" s="291">
        <v>2487.2531999999997</v>
      </c>
      <c r="AF34" s="291">
        <v>3541.5932000000003</v>
      </c>
      <c r="AG34" s="291">
        <v>2261.6023999999998</v>
      </c>
      <c r="AH34" s="291">
        <v>4735.8582999999999</v>
      </c>
      <c r="AI34" s="291">
        <v>1017.2111</v>
      </c>
      <c r="AJ34" s="291">
        <v>5452.3512000000001</v>
      </c>
      <c r="AK34" s="291">
        <v>3335.9240885386926</v>
      </c>
      <c r="AL34" s="291">
        <v>15846.396299999995</v>
      </c>
      <c r="AM34" s="291">
        <f t="shared" ref="AM34:AM37" si="11">SUM(P34:T34)+SUM(W34:AL34)</f>
        <v>63110.803288538678</v>
      </c>
      <c r="AN34" s="291">
        <f t="shared" ref="AN34:AN37" si="12">O34+AM34</f>
        <v>65046.556588538675</v>
      </c>
      <c r="AO34" s="291">
        <f t="shared" ref="AO34:AO37" si="13">L34-AN34</f>
        <v>-25775.136588538677</v>
      </c>
      <c r="AP34" s="1462" t="s">
        <v>565</v>
      </c>
    </row>
    <row r="35" spans="1:42" s="263" customFormat="1" ht="10.7" customHeight="1">
      <c r="A35" s="530" t="s">
        <v>112</v>
      </c>
      <c r="B35" s="232">
        <f>163.96+0</f>
        <v>163.96</v>
      </c>
      <c r="C35" s="232">
        <f>620.46+12.06</f>
        <v>632.52</v>
      </c>
      <c r="D35" s="232">
        <f>0+3</f>
        <v>3</v>
      </c>
      <c r="E35" s="232">
        <f>669.96+446.28</f>
        <v>1116.24</v>
      </c>
      <c r="F35" s="232">
        <f>100.11+187.75+0+0</f>
        <v>287.86</v>
      </c>
      <c r="G35" s="232">
        <f>29379.17+3736.899</f>
        <v>33116.068999999996</v>
      </c>
      <c r="H35" s="232">
        <v>0.1</v>
      </c>
      <c r="I35" s="232">
        <v>0.1</v>
      </c>
      <c r="J35" s="232">
        <v>0.1</v>
      </c>
      <c r="K35" s="232">
        <f t="shared" si="10"/>
        <v>3291.3410000000076</v>
      </c>
      <c r="L35" s="232">
        <f>33852.94+4758.35</f>
        <v>38611.29</v>
      </c>
      <c r="M35" s="232">
        <v>6.1</v>
      </c>
      <c r="N35" s="232">
        <v>1108.8440000000001</v>
      </c>
      <c r="O35" s="232">
        <f t="shared" si="6"/>
        <v>1114.944</v>
      </c>
      <c r="P35" s="232">
        <v>350.4622</v>
      </c>
      <c r="Q35" s="232">
        <v>454.65260000000001</v>
      </c>
      <c r="R35" s="232">
        <v>776.8546</v>
      </c>
      <c r="S35" s="232">
        <v>2454.5187000000001</v>
      </c>
      <c r="T35" s="232">
        <v>468.29640000000001</v>
      </c>
      <c r="U35" s="1467" t="s">
        <v>112</v>
      </c>
      <c r="V35" s="530" t="s">
        <v>112</v>
      </c>
      <c r="W35" s="232">
        <v>1767.6775</v>
      </c>
      <c r="X35" s="232">
        <v>664.78539999999998</v>
      </c>
      <c r="Y35" s="232">
        <v>213.8852</v>
      </c>
      <c r="Z35" s="232">
        <v>9796.7070999999996</v>
      </c>
      <c r="AA35" s="232">
        <v>2839.3631999999998</v>
      </c>
      <c r="AB35" s="232">
        <v>194.1808</v>
      </c>
      <c r="AC35" s="232">
        <v>1086.5346999999999</v>
      </c>
      <c r="AD35" s="232">
        <v>671.2133</v>
      </c>
      <c r="AE35" s="232">
        <v>2614.9663999999998</v>
      </c>
      <c r="AF35" s="232">
        <v>2924.1914000000002</v>
      </c>
      <c r="AG35" s="232">
        <v>2345.8516</v>
      </c>
      <c r="AH35" s="232">
        <v>4851.4759999999997</v>
      </c>
      <c r="AI35" s="232">
        <v>965.85900000000004</v>
      </c>
      <c r="AJ35" s="232">
        <v>4951.4529000000002</v>
      </c>
      <c r="AK35" s="232">
        <v>2791.4335514622871</v>
      </c>
      <c r="AL35" s="232">
        <v>14747.184799999992</v>
      </c>
      <c r="AM35" s="232">
        <f t="shared" si="11"/>
        <v>57931.547351462279</v>
      </c>
      <c r="AN35" s="232">
        <f t="shared" si="12"/>
        <v>59046.491351462282</v>
      </c>
      <c r="AO35" s="232">
        <f t="shared" si="13"/>
        <v>-20435.201351462281</v>
      </c>
      <c r="AP35" s="1467" t="s">
        <v>112</v>
      </c>
    </row>
    <row r="36" spans="1:42" s="263" customFormat="1" ht="10.7" customHeight="1">
      <c r="A36" s="1376" t="s">
        <v>560</v>
      </c>
      <c r="B36" s="291">
        <f>114.46+0</f>
        <v>114.46</v>
      </c>
      <c r="C36" s="291">
        <f>543.45+12.1</f>
        <v>555.55000000000007</v>
      </c>
      <c r="D36" s="291">
        <f>2+0</f>
        <v>2</v>
      </c>
      <c r="E36" s="291">
        <f>560.89+439.48</f>
        <v>1000.37</v>
      </c>
      <c r="F36" s="291">
        <f>85.88+140.47+0+0</f>
        <v>226.35</v>
      </c>
      <c r="G36" s="291">
        <f>23949.58+2771.89</f>
        <v>26721.47</v>
      </c>
      <c r="H36" s="291">
        <v>0.1</v>
      </c>
      <c r="I36" s="291">
        <v>0.1</v>
      </c>
      <c r="J36" s="291">
        <v>0.1</v>
      </c>
      <c r="K36" s="291">
        <f t="shared" si="10"/>
        <v>2726.7700000000041</v>
      </c>
      <c r="L36" s="291">
        <f>27697.3+3649.97</f>
        <v>31347.27</v>
      </c>
      <c r="M36" s="291">
        <v>3.6</v>
      </c>
      <c r="N36" s="291">
        <v>1478.7912000000001</v>
      </c>
      <c r="O36" s="291">
        <f t="shared" si="6"/>
        <v>1482.3912</v>
      </c>
      <c r="P36" s="291">
        <v>279.73929999999996</v>
      </c>
      <c r="Q36" s="291">
        <v>296.3621</v>
      </c>
      <c r="R36" s="291">
        <v>982.15790000000004</v>
      </c>
      <c r="S36" s="291">
        <v>1174.4279999999999</v>
      </c>
      <c r="T36" s="291">
        <v>425.26159999999999</v>
      </c>
      <c r="U36" s="1462" t="s">
        <v>560</v>
      </c>
      <c r="V36" s="1376" t="s">
        <v>560</v>
      </c>
      <c r="W36" s="291">
        <v>883.65249999999992</v>
      </c>
      <c r="X36" s="291">
        <v>497.31989999999996</v>
      </c>
      <c r="Y36" s="291">
        <v>1678.7599</v>
      </c>
      <c r="Z36" s="291">
        <v>7764.0231999999996</v>
      </c>
      <c r="AA36" s="291">
        <v>2428.7255</v>
      </c>
      <c r="AB36" s="291">
        <v>133.9605</v>
      </c>
      <c r="AC36" s="291">
        <v>785.21180000000004</v>
      </c>
      <c r="AD36" s="291">
        <v>607.55560000000003</v>
      </c>
      <c r="AE36" s="291">
        <v>2262.3613999999998</v>
      </c>
      <c r="AF36" s="291">
        <v>2150.5488999999998</v>
      </c>
      <c r="AG36" s="291">
        <v>2162.4367999999999</v>
      </c>
      <c r="AH36" s="291">
        <v>4250.8662999999997</v>
      </c>
      <c r="AI36" s="291">
        <v>751.50760000000002</v>
      </c>
      <c r="AJ36" s="291">
        <v>3834.1774999999998</v>
      </c>
      <c r="AK36" s="291">
        <v>2074.4460460658129</v>
      </c>
      <c r="AL36" s="291">
        <v>12682.300300000006</v>
      </c>
      <c r="AM36" s="291">
        <f t="shared" si="11"/>
        <v>48105.802646065822</v>
      </c>
      <c r="AN36" s="291">
        <f t="shared" si="12"/>
        <v>49588.19384606582</v>
      </c>
      <c r="AO36" s="291">
        <f t="shared" si="13"/>
        <v>-18240.92384606582</v>
      </c>
      <c r="AP36" s="1462" t="s">
        <v>560</v>
      </c>
    </row>
    <row r="37" spans="1:42" s="263" customFormat="1" ht="10.7" customHeight="1">
      <c r="A37" s="530" t="s">
        <v>567</v>
      </c>
      <c r="B37" s="232">
        <f>106.89+0</f>
        <v>106.89</v>
      </c>
      <c r="C37" s="232">
        <f>730.41+13.61</f>
        <v>744.02</v>
      </c>
      <c r="D37" s="232">
        <f>2+0</f>
        <v>2</v>
      </c>
      <c r="E37" s="232">
        <f>644.42+343.63</f>
        <v>988.05</v>
      </c>
      <c r="F37" s="232">
        <f>109.54+201+0+0</f>
        <v>310.54000000000002</v>
      </c>
      <c r="G37" s="232">
        <f>26779.67+4213.6</f>
        <v>30993.269999999997</v>
      </c>
      <c r="H37" s="232">
        <v>0.1</v>
      </c>
      <c r="I37" s="232">
        <v>0.1</v>
      </c>
      <c r="J37" s="232">
        <v>0.1</v>
      </c>
      <c r="K37" s="232">
        <f t="shared" si="10"/>
        <v>3237.0900000000038</v>
      </c>
      <c r="L37" s="232">
        <f>31371.78+5010.38</f>
        <v>36382.159999999996</v>
      </c>
      <c r="M37" s="232">
        <v>38.843000000000004</v>
      </c>
      <c r="N37" s="232">
        <v>1109.0405000000001</v>
      </c>
      <c r="O37" s="232">
        <f t="shared" si="6"/>
        <v>1147.8835000000001</v>
      </c>
      <c r="P37" s="232">
        <v>318.36009999999999</v>
      </c>
      <c r="Q37" s="232">
        <v>338.81099999999998</v>
      </c>
      <c r="R37" s="232">
        <v>557.70139999999992</v>
      </c>
      <c r="S37" s="232">
        <v>2727.1300999999999</v>
      </c>
      <c r="T37" s="232">
        <v>392.983</v>
      </c>
      <c r="U37" s="1467" t="s">
        <v>567</v>
      </c>
      <c r="V37" s="530" t="s">
        <v>567</v>
      </c>
      <c r="W37" s="232">
        <v>963.42059999999992</v>
      </c>
      <c r="X37" s="232">
        <v>726.58249999999998</v>
      </c>
      <c r="Y37" s="232">
        <v>1056.7507000000001</v>
      </c>
      <c r="Z37" s="232">
        <v>9728.2060999999994</v>
      </c>
      <c r="AA37" s="232">
        <v>3087.7865999999999</v>
      </c>
      <c r="AB37" s="232">
        <v>187.96600000000001</v>
      </c>
      <c r="AC37" s="232">
        <v>1170.1016000000002</v>
      </c>
      <c r="AD37" s="232">
        <v>678.22370000000001</v>
      </c>
      <c r="AE37" s="232">
        <v>2607.5160000000001</v>
      </c>
      <c r="AF37" s="232">
        <v>2720.6759000000002</v>
      </c>
      <c r="AG37" s="232">
        <v>2487.8404</v>
      </c>
      <c r="AH37" s="232">
        <v>4625.7071000000014</v>
      </c>
      <c r="AI37" s="232">
        <v>822.43499999999995</v>
      </c>
      <c r="AJ37" s="232">
        <v>5214.2097999999996</v>
      </c>
      <c r="AK37" s="232">
        <v>2734.3114620514525</v>
      </c>
      <c r="AL37" s="232">
        <v>15052.3917</v>
      </c>
      <c r="AM37" s="232">
        <f t="shared" si="11"/>
        <v>58199.110762051452</v>
      </c>
      <c r="AN37" s="232">
        <f t="shared" si="12"/>
        <v>59346.994262051456</v>
      </c>
      <c r="AO37" s="232">
        <f t="shared" si="13"/>
        <v>-22964.83426205146</v>
      </c>
      <c r="AP37" s="1467" t="s">
        <v>567</v>
      </c>
    </row>
    <row r="38" spans="1:42" s="263" customFormat="1" ht="10.7" customHeight="1">
      <c r="A38" s="1376" t="s">
        <v>568</v>
      </c>
      <c r="B38" s="291">
        <f>102.01+0</f>
        <v>102.01</v>
      </c>
      <c r="C38" s="291">
        <f>700.4+13.48</f>
        <v>713.88</v>
      </c>
      <c r="D38" s="291">
        <f>0.797+0</f>
        <v>0.79700000000000004</v>
      </c>
      <c r="E38" s="291">
        <f>690.69+385.85</f>
        <v>1076.54</v>
      </c>
      <c r="F38" s="291">
        <f>90.05+239.38+0+0</f>
        <v>329.43</v>
      </c>
      <c r="G38" s="291">
        <f>24059.23+3071.09</f>
        <v>27130.32</v>
      </c>
      <c r="H38" s="291">
        <v>0.1</v>
      </c>
      <c r="I38" s="291">
        <v>0.1</v>
      </c>
      <c r="J38" s="291">
        <v>0.1</v>
      </c>
      <c r="K38" s="291">
        <f t="shared" si="10"/>
        <v>3045.9230000000061</v>
      </c>
      <c r="L38" s="291">
        <f>28402.41+3996.79</f>
        <v>32399.200000000001</v>
      </c>
      <c r="M38" s="291">
        <v>16.543700000000001</v>
      </c>
      <c r="N38" s="291">
        <v>1428.8142</v>
      </c>
      <c r="O38" s="291">
        <f t="shared" si="6"/>
        <v>1445.3579</v>
      </c>
      <c r="P38" s="291">
        <v>427.49810000000002</v>
      </c>
      <c r="Q38" s="291">
        <v>335.12199999999996</v>
      </c>
      <c r="R38" s="291">
        <v>1085.6035999999999</v>
      </c>
      <c r="S38" s="291">
        <v>2500.674</v>
      </c>
      <c r="T38" s="291">
        <v>508.72349999999994</v>
      </c>
      <c r="U38" s="1462" t="s">
        <v>568</v>
      </c>
      <c r="V38" s="1376" t="s">
        <v>568</v>
      </c>
      <c r="W38" s="291">
        <v>1133.463</v>
      </c>
      <c r="X38" s="291">
        <v>606.45119999999997</v>
      </c>
      <c r="Y38" s="291">
        <v>609.73109999999997</v>
      </c>
      <c r="Z38" s="291">
        <v>11431.052</v>
      </c>
      <c r="AA38" s="291">
        <v>2895.7420999999999</v>
      </c>
      <c r="AB38" s="291">
        <v>171.94629999999998</v>
      </c>
      <c r="AC38" s="291">
        <v>2596.4012000000002</v>
      </c>
      <c r="AD38" s="291">
        <v>650.93039999999996</v>
      </c>
      <c r="AE38" s="291">
        <v>2756.5395999999996</v>
      </c>
      <c r="AF38" s="291">
        <v>3165.5846000000001</v>
      </c>
      <c r="AG38" s="291">
        <v>2514.9749999999999</v>
      </c>
      <c r="AH38" s="291">
        <v>4607.8295000000007</v>
      </c>
      <c r="AI38" s="291">
        <v>905.73469999999998</v>
      </c>
      <c r="AJ38" s="291">
        <v>4949.3924999999999</v>
      </c>
      <c r="AK38" s="291">
        <v>2838.8674825069502</v>
      </c>
      <c r="AL38" s="291">
        <v>15172.2088</v>
      </c>
      <c r="AM38" s="291">
        <f>SUM(P38:T38)+SUM(W38:AL38)</f>
        <v>61864.470682506959</v>
      </c>
      <c r="AN38" s="291">
        <f>O38+AM38</f>
        <v>63309.828582506962</v>
      </c>
      <c r="AO38" s="291">
        <f>L38-AN38</f>
        <v>-30910.628582506961</v>
      </c>
      <c r="AP38" s="1462" t="s">
        <v>568</v>
      </c>
    </row>
    <row r="39" spans="1:42" s="263" customFormat="1" ht="10.7" customHeight="1">
      <c r="A39" s="530" t="s">
        <v>561</v>
      </c>
      <c r="B39" s="232">
        <f>123.76+0.43</f>
        <v>124.19000000000001</v>
      </c>
      <c r="C39" s="232">
        <f>641.57+16.09</f>
        <v>657.66000000000008</v>
      </c>
      <c r="D39" s="232">
        <f>3+0</f>
        <v>3</v>
      </c>
      <c r="E39" s="232">
        <f>602.02+388.69</f>
        <v>990.71</v>
      </c>
      <c r="F39" s="232">
        <f>91.78+211.91+0+0</f>
        <v>303.69</v>
      </c>
      <c r="G39" s="232">
        <f>23673.63+3213.52</f>
        <v>26887.15</v>
      </c>
      <c r="H39" s="232">
        <v>0.1</v>
      </c>
      <c r="I39" s="232">
        <v>0.1</v>
      </c>
      <c r="J39" s="232">
        <v>0.1</v>
      </c>
      <c r="K39" s="232">
        <f>L39-SUM(B39:J39)</f>
        <v>3248.25</v>
      </c>
      <c r="L39" s="232">
        <f>28082.92+4132.03</f>
        <v>32214.949999999997</v>
      </c>
      <c r="M39" s="232">
        <v>16.5</v>
      </c>
      <c r="N39" s="232">
        <v>1106.4308000000001</v>
      </c>
      <c r="O39" s="232">
        <f t="shared" si="6"/>
        <v>1122.9308000000001</v>
      </c>
      <c r="P39" s="232">
        <v>332.49610000000001</v>
      </c>
      <c r="Q39" s="232">
        <v>298.60880000000003</v>
      </c>
      <c r="R39" s="232">
        <v>1272.3896999999999</v>
      </c>
      <c r="S39" s="232">
        <v>1725.5778</v>
      </c>
      <c r="T39" s="232">
        <v>482.19899999999996</v>
      </c>
      <c r="U39" s="1467" t="s">
        <v>561</v>
      </c>
      <c r="V39" s="530" t="s">
        <v>561</v>
      </c>
      <c r="W39" s="232">
        <v>764.7559</v>
      </c>
      <c r="X39" s="232">
        <v>558.36660000000006</v>
      </c>
      <c r="Y39" s="232">
        <v>596.91030000000001</v>
      </c>
      <c r="Z39" s="232">
        <v>7877.3924999999999</v>
      </c>
      <c r="AA39" s="232">
        <v>2550.1014</v>
      </c>
      <c r="AB39" s="232">
        <v>114.51570000000001</v>
      </c>
      <c r="AC39" s="232">
        <v>1896.7918</v>
      </c>
      <c r="AD39" s="232">
        <v>612.81359999999995</v>
      </c>
      <c r="AE39" s="232">
        <v>2162.2721999999999</v>
      </c>
      <c r="AF39" s="232">
        <v>3059.6286</v>
      </c>
      <c r="AG39" s="232">
        <v>2225.0033000000003</v>
      </c>
      <c r="AH39" s="232">
        <v>4336.6778999999997</v>
      </c>
      <c r="AI39" s="232">
        <v>837.26080000000013</v>
      </c>
      <c r="AJ39" s="232">
        <v>4806.3581000000004</v>
      </c>
      <c r="AK39" s="232">
        <v>4318.427334409017</v>
      </c>
      <c r="AL39" s="232">
        <v>13224.920299999994</v>
      </c>
      <c r="AM39" s="232">
        <f t="shared" ref="AM39:AM45" si="14">SUM(P39:T39)+SUM(W39:AL39)</f>
        <v>54053.467734409001</v>
      </c>
      <c r="AN39" s="232">
        <f t="shared" ref="AN39:AN45" si="15">O39+AM39</f>
        <v>55176.398534409003</v>
      </c>
      <c r="AO39" s="232">
        <f t="shared" ref="AO39:AO45" si="16">L39-AN39</f>
        <v>-22961.448534409006</v>
      </c>
      <c r="AP39" s="1467" t="s">
        <v>561</v>
      </c>
    </row>
    <row r="40" spans="1:42" s="263" customFormat="1" ht="10.7" customHeight="1">
      <c r="A40" s="1376" t="s">
        <v>569</v>
      </c>
      <c r="B40" s="291">
        <f>118+0</f>
        <v>118</v>
      </c>
      <c r="C40" s="291">
        <f>609.41+8.47</f>
        <v>617.88</v>
      </c>
      <c r="D40" s="291">
        <f>1+0</f>
        <v>1</v>
      </c>
      <c r="E40" s="291">
        <f>707.41+278.35</f>
        <v>985.76</v>
      </c>
      <c r="F40" s="291">
        <f>92.4+242.71+0+0</f>
        <v>335.11</v>
      </c>
      <c r="G40" s="291">
        <f>28555.39+3595.7</f>
        <v>32151.09</v>
      </c>
      <c r="H40" s="291">
        <v>0</v>
      </c>
      <c r="I40" s="291">
        <v>0</v>
      </c>
      <c r="J40" s="291">
        <v>0</v>
      </c>
      <c r="K40" s="291">
        <f>L40-SUM(B40:J40)</f>
        <v>3217.1900000000096</v>
      </c>
      <c r="L40" s="291">
        <f>33014.98+4411.05</f>
        <v>37426.030000000006</v>
      </c>
      <c r="M40" s="291">
        <v>30.3</v>
      </c>
      <c r="N40" s="291">
        <v>1670.3949</v>
      </c>
      <c r="O40" s="291">
        <f t="shared" si="6"/>
        <v>1700.6949</v>
      </c>
      <c r="P40" s="291">
        <v>322.50710000000004</v>
      </c>
      <c r="Q40" s="291">
        <v>439.33660000000003</v>
      </c>
      <c r="R40" s="291">
        <v>1220.0185000000001</v>
      </c>
      <c r="S40" s="291">
        <v>1826.3262</v>
      </c>
      <c r="T40" s="291">
        <v>994.12699999999995</v>
      </c>
      <c r="U40" s="1462" t="s">
        <v>569</v>
      </c>
      <c r="V40" s="1376" t="s">
        <v>569</v>
      </c>
      <c r="W40" s="291">
        <v>741.00919999999996</v>
      </c>
      <c r="X40" s="291">
        <v>609.40639999999996</v>
      </c>
      <c r="Y40" s="291">
        <v>2012.4019999999998</v>
      </c>
      <c r="Z40" s="291">
        <v>8650.6638000000003</v>
      </c>
      <c r="AA40" s="291">
        <v>2980.1902</v>
      </c>
      <c r="AB40" s="291">
        <v>188.9641</v>
      </c>
      <c r="AC40" s="291">
        <v>2786.0089000000003</v>
      </c>
      <c r="AD40" s="291">
        <v>709.08249999999998</v>
      </c>
      <c r="AE40" s="291">
        <v>2585.1990000000001</v>
      </c>
      <c r="AF40" s="291">
        <v>3030.2914000000001</v>
      </c>
      <c r="AG40" s="291">
        <v>2789.3629000000001</v>
      </c>
      <c r="AH40" s="291">
        <v>5209.2505000000001</v>
      </c>
      <c r="AI40" s="291">
        <v>1064.0033000000001</v>
      </c>
      <c r="AJ40" s="291">
        <v>4279.8973999999998</v>
      </c>
      <c r="AK40" s="291">
        <v>2783.821303221283</v>
      </c>
      <c r="AL40" s="291">
        <v>15405.290300000002</v>
      </c>
      <c r="AM40" s="291">
        <f t="shared" si="14"/>
        <v>60627.15860322128</v>
      </c>
      <c r="AN40" s="291">
        <f t="shared" si="15"/>
        <v>62327.853503221282</v>
      </c>
      <c r="AO40" s="291">
        <f t="shared" si="16"/>
        <v>-24901.823503221276</v>
      </c>
      <c r="AP40" s="1462" t="s">
        <v>569</v>
      </c>
    </row>
    <row r="41" spans="1:42" s="263" customFormat="1" ht="10.7" customHeight="1">
      <c r="A41" s="530" t="s">
        <v>570</v>
      </c>
      <c r="B41" s="232">
        <v>138.96</v>
      </c>
      <c r="C41" s="232">
        <f>543.93+17.33</f>
        <v>561.26</v>
      </c>
      <c r="D41" s="232">
        <v>1.7</v>
      </c>
      <c r="E41" s="232">
        <f>614.37+346.69</f>
        <v>961.06</v>
      </c>
      <c r="F41" s="232">
        <f>138.96+193.12</f>
        <v>332.08000000000004</v>
      </c>
      <c r="G41" s="232">
        <f>26164.15+3175.67</f>
        <v>29339.82</v>
      </c>
      <c r="H41" s="232">
        <v>0</v>
      </c>
      <c r="I41" s="232">
        <v>0</v>
      </c>
      <c r="J41" s="232">
        <v>0.1</v>
      </c>
      <c r="K41" s="232">
        <f t="shared" ref="K41:K45" si="17">L41-SUM(B41:J41)</f>
        <v>2732.5600000000013</v>
      </c>
      <c r="L41" s="232">
        <f>29904.79+4162.75</f>
        <v>34067.54</v>
      </c>
      <c r="M41" s="232">
        <v>21.805999999999997</v>
      </c>
      <c r="N41" s="232">
        <v>1552.6215999999999</v>
      </c>
      <c r="O41" s="232">
        <f t="shared" si="6"/>
        <v>1574.4276</v>
      </c>
      <c r="P41" s="232">
        <v>253.02880000000002</v>
      </c>
      <c r="Q41" s="232">
        <v>408.73570000000001</v>
      </c>
      <c r="R41" s="232">
        <v>664.56090000000006</v>
      </c>
      <c r="S41" s="232">
        <v>1737.8710999999998</v>
      </c>
      <c r="T41" s="232">
        <v>466.56359999999995</v>
      </c>
      <c r="U41" s="1467" t="s">
        <v>570</v>
      </c>
      <c r="V41" s="530" t="s">
        <v>570</v>
      </c>
      <c r="W41" s="232">
        <v>1234.4953999999998</v>
      </c>
      <c r="X41" s="232">
        <v>485.12380000000002</v>
      </c>
      <c r="Y41" s="232">
        <v>203.64049999999997</v>
      </c>
      <c r="Z41" s="232">
        <v>5573.6396999999997</v>
      </c>
      <c r="AA41" s="232">
        <v>2449.6527000000001</v>
      </c>
      <c r="AB41" s="232">
        <v>195.0795</v>
      </c>
      <c r="AC41" s="232">
        <v>1320.6242</v>
      </c>
      <c r="AD41" s="232">
        <v>609.75839999999994</v>
      </c>
      <c r="AE41" s="232">
        <v>2049.3261000000002</v>
      </c>
      <c r="AF41" s="232">
        <v>3167.4404999999997</v>
      </c>
      <c r="AG41" s="232">
        <v>2637.1331</v>
      </c>
      <c r="AH41" s="232">
        <v>4869.3634999999995</v>
      </c>
      <c r="AI41" s="232">
        <v>1033.8253</v>
      </c>
      <c r="AJ41" s="232">
        <v>3412.3022000000001</v>
      </c>
      <c r="AK41" s="232">
        <v>2071.5278564616801</v>
      </c>
      <c r="AL41" s="232">
        <v>12958.869000000001</v>
      </c>
      <c r="AM41" s="232">
        <f t="shared" si="14"/>
        <v>47802.561856461682</v>
      </c>
      <c r="AN41" s="232">
        <f t="shared" si="15"/>
        <v>49376.989456461684</v>
      </c>
      <c r="AO41" s="232">
        <f t="shared" si="16"/>
        <v>-15309.449456461683</v>
      </c>
      <c r="AP41" s="1467" t="s">
        <v>570</v>
      </c>
    </row>
    <row r="42" spans="1:42" s="263" customFormat="1" ht="10.7" customHeight="1">
      <c r="A42" s="1376" t="s">
        <v>562</v>
      </c>
      <c r="B42" s="291">
        <f>159.83+0</f>
        <v>159.83000000000001</v>
      </c>
      <c r="C42" s="291">
        <f>639.64+14.46</f>
        <v>654.1</v>
      </c>
      <c r="D42" s="291">
        <v>3.2252999999999998</v>
      </c>
      <c r="E42" s="291">
        <f>599.85+274.37</f>
        <v>874.22</v>
      </c>
      <c r="F42" s="291">
        <f>101.58+147.28+0+0</f>
        <v>248.86</v>
      </c>
      <c r="G42" s="291">
        <f>29426.63+3561.74</f>
        <v>32988.370000000003</v>
      </c>
      <c r="H42" s="291">
        <v>0</v>
      </c>
      <c r="I42" s="291">
        <v>0</v>
      </c>
      <c r="J42" s="291">
        <v>0</v>
      </c>
      <c r="K42" s="291">
        <f t="shared" si="17"/>
        <v>3566.6346999999951</v>
      </c>
      <c r="L42" s="291">
        <f>34026.21+4469.03</f>
        <v>38495.24</v>
      </c>
      <c r="M42" s="291">
        <v>18.6829</v>
      </c>
      <c r="N42" s="291">
        <v>1799.5451</v>
      </c>
      <c r="O42" s="291">
        <f t="shared" si="6"/>
        <v>1818.2280000000001</v>
      </c>
      <c r="P42" s="291">
        <v>369.7364</v>
      </c>
      <c r="Q42" s="291">
        <v>501.01509999999996</v>
      </c>
      <c r="R42" s="291">
        <v>978.15789999999993</v>
      </c>
      <c r="S42" s="291">
        <v>1239.8487</v>
      </c>
      <c r="T42" s="291">
        <v>528.85270000000003</v>
      </c>
      <c r="U42" s="1462" t="s">
        <v>562</v>
      </c>
      <c r="V42" s="1376" t="s">
        <v>562</v>
      </c>
      <c r="W42" s="291">
        <v>871.98320000000001</v>
      </c>
      <c r="X42" s="291">
        <v>683.5945999999999</v>
      </c>
      <c r="Y42" s="291">
        <v>805.5806</v>
      </c>
      <c r="Z42" s="291">
        <v>8788.4297000000006</v>
      </c>
      <c r="AA42" s="291">
        <v>2564.0857000000001</v>
      </c>
      <c r="AB42" s="291">
        <v>197.37559999999999</v>
      </c>
      <c r="AC42" s="291">
        <v>1138.0176000000001</v>
      </c>
      <c r="AD42" s="291">
        <v>742.9860000000001</v>
      </c>
      <c r="AE42" s="291">
        <v>2456.9637000000002</v>
      </c>
      <c r="AF42" s="291">
        <v>3933.8955999999998</v>
      </c>
      <c r="AG42" s="291">
        <v>2827.3303000000001</v>
      </c>
      <c r="AH42" s="291">
        <v>4946.2336000000014</v>
      </c>
      <c r="AI42" s="291">
        <v>1141.0482</v>
      </c>
      <c r="AJ42" s="291">
        <v>4426.4665000000005</v>
      </c>
      <c r="AK42" s="291">
        <v>1924.2383779903912</v>
      </c>
      <c r="AL42" s="291">
        <v>13931.932799999995</v>
      </c>
      <c r="AM42" s="291">
        <f t="shared" si="14"/>
        <v>54997.772877990392</v>
      </c>
      <c r="AN42" s="291">
        <f t="shared" si="15"/>
        <v>56816.000877990395</v>
      </c>
      <c r="AO42" s="291">
        <f t="shared" si="16"/>
        <v>-18320.760877990397</v>
      </c>
      <c r="AP42" s="1462" t="s">
        <v>562</v>
      </c>
    </row>
    <row r="43" spans="1:42" s="263" customFormat="1" ht="10.7" customHeight="1">
      <c r="A43" s="530" t="s">
        <v>571</v>
      </c>
      <c r="B43" s="232">
        <f>166+0</f>
        <v>166</v>
      </c>
      <c r="C43" s="232">
        <f>585.74+11.55</f>
        <v>597.29</v>
      </c>
      <c r="D43" s="232">
        <f>6</f>
        <v>6</v>
      </c>
      <c r="E43" s="232">
        <f>626.2+209.2</f>
        <v>835.40000000000009</v>
      </c>
      <c r="F43" s="232">
        <f>100.93+133.54+0+0</f>
        <v>234.47</v>
      </c>
      <c r="G43" s="232">
        <f>26522.69+3186.63</f>
        <v>29709.32</v>
      </c>
      <c r="H43" s="232">
        <v>0</v>
      </c>
      <c r="I43" s="232">
        <v>0</v>
      </c>
      <c r="J43" s="232">
        <v>0</v>
      </c>
      <c r="K43" s="232">
        <f t="shared" si="17"/>
        <v>2932.6400000000031</v>
      </c>
      <c r="L43" s="232">
        <f>30501.88+3979.24</f>
        <v>34481.120000000003</v>
      </c>
      <c r="M43" s="232">
        <v>10.529</v>
      </c>
      <c r="N43" s="232">
        <v>2620.2873</v>
      </c>
      <c r="O43" s="232">
        <f t="shared" si="6"/>
        <v>2630.8163</v>
      </c>
      <c r="P43" s="232">
        <v>404.73849999999993</v>
      </c>
      <c r="Q43" s="232">
        <v>529.32929999999999</v>
      </c>
      <c r="R43" s="232">
        <v>848.77160000000003</v>
      </c>
      <c r="S43" s="232">
        <v>2405.8128000000002</v>
      </c>
      <c r="T43" s="232">
        <v>1291.9983</v>
      </c>
      <c r="U43" s="1467" t="s">
        <v>571</v>
      </c>
      <c r="V43" s="530" t="s">
        <v>571</v>
      </c>
      <c r="W43" s="232">
        <v>1584.0472</v>
      </c>
      <c r="X43" s="232">
        <v>638.55459999999994</v>
      </c>
      <c r="Y43" s="232">
        <v>153.00360000000001</v>
      </c>
      <c r="Z43" s="232">
        <v>9645.6895000000004</v>
      </c>
      <c r="AA43" s="232">
        <v>2857.2936</v>
      </c>
      <c r="AB43" s="232">
        <v>131.09569999999999</v>
      </c>
      <c r="AC43" s="232">
        <v>932.08929999999998</v>
      </c>
      <c r="AD43" s="232">
        <v>651.18090000000007</v>
      </c>
      <c r="AE43" s="232">
        <v>2651.6914000000002</v>
      </c>
      <c r="AF43" s="232">
        <v>3844.7780000000002</v>
      </c>
      <c r="AG43" s="232">
        <v>2686.3955999999998</v>
      </c>
      <c r="AH43" s="232">
        <v>4683.5853000000006</v>
      </c>
      <c r="AI43" s="232">
        <v>1069.0736000000002</v>
      </c>
      <c r="AJ43" s="232">
        <v>4925.1655000000001</v>
      </c>
      <c r="AK43" s="232">
        <v>2192.0823342850649</v>
      </c>
      <c r="AL43" s="232">
        <v>13273.310100000002</v>
      </c>
      <c r="AM43" s="232">
        <f t="shared" si="14"/>
        <v>57399.686734285075</v>
      </c>
      <c r="AN43" s="232">
        <f t="shared" si="15"/>
        <v>60030.503034285073</v>
      </c>
      <c r="AO43" s="232">
        <f t="shared" si="16"/>
        <v>-25549.383034285071</v>
      </c>
      <c r="AP43" s="1467" t="s">
        <v>571</v>
      </c>
    </row>
    <row r="44" spans="1:42" s="263" customFormat="1" ht="10.7" customHeight="1">
      <c r="A44" s="1376" t="s">
        <v>572</v>
      </c>
      <c r="B44" s="291">
        <f>189.8979+0</f>
        <v>189.89789999999999</v>
      </c>
      <c r="C44" s="291">
        <f>659.45+5.54</f>
        <v>664.99</v>
      </c>
      <c r="D44" s="291">
        <f>3.292+0</f>
        <v>3.2919999999999998</v>
      </c>
      <c r="E44" s="291">
        <f>832.35+282.64</f>
        <v>1114.99</v>
      </c>
      <c r="F44" s="291">
        <f>124.07+109.64+0+0</f>
        <v>233.70999999999998</v>
      </c>
      <c r="G44" s="291">
        <f>29633.15+3174.99</f>
        <v>32808.14</v>
      </c>
      <c r="H44" s="291">
        <v>0</v>
      </c>
      <c r="I44" s="291">
        <v>0</v>
      </c>
      <c r="J44" s="291">
        <v>0</v>
      </c>
      <c r="K44" s="291">
        <f t="shared" si="17"/>
        <v>3850.7100999999966</v>
      </c>
      <c r="L44" s="291">
        <f>34650.52+4215.21</f>
        <v>38865.729999999996</v>
      </c>
      <c r="M44" s="291">
        <v>8.7456999999999994</v>
      </c>
      <c r="N44" s="291">
        <v>1907.6895</v>
      </c>
      <c r="O44" s="291">
        <f>M44+N44</f>
        <v>1916.4351999999999</v>
      </c>
      <c r="P44" s="291">
        <v>612.00909999999999</v>
      </c>
      <c r="Q44" s="291">
        <v>593.34929999999997</v>
      </c>
      <c r="R44" s="291">
        <v>1695.7507000000001</v>
      </c>
      <c r="S44" s="291">
        <v>2143.9584</v>
      </c>
      <c r="T44" s="291">
        <v>939.91520000000003</v>
      </c>
      <c r="U44" s="1462" t="s">
        <v>572</v>
      </c>
      <c r="V44" s="1376" t="s">
        <v>572</v>
      </c>
      <c r="W44" s="291">
        <v>567.39609999999993</v>
      </c>
      <c r="X44" s="291">
        <v>733.5485000000001</v>
      </c>
      <c r="Y44" s="291">
        <v>1180.4289000000001</v>
      </c>
      <c r="Z44" s="291">
        <v>7520.5784000000003</v>
      </c>
      <c r="AA44" s="291">
        <v>3301.4569000000001</v>
      </c>
      <c r="AB44" s="291">
        <v>147.6114</v>
      </c>
      <c r="AC44" s="291">
        <v>789.20640000000003</v>
      </c>
      <c r="AD44" s="291">
        <v>783.02050000000008</v>
      </c>
      <c r="AE44" s="291">
        <v>2835.1354999999999</v>
      </c>
      <c r="AF44" s="291">
        <v>3779.5630000000001</v>
      </c>
      <c r="AG44" s="291">
        <v>2893.9618</v>
      </c>
      <c r="AH44" s="291">
        <v>5674.8767999999991</v>
      </c>
      <c r="AI44" s="291">
        <v>1088.0511000000001</v>
      </c>
      <c r="AJ44" s="291">
        <v>4800.5645000000004</v>
      </c>
      <c r="AK44" s="291">
        <v>2416.1632303740553</v>
      </c>
      <c r="AL44" s="291">
        <v>15326.598500000002</v>
      </c>
      <c r="AM44" s="291">
        <f t="shared" si="14"/>
        <v>59823.144230374055</v>
      </c>
      <c r="AN44" s="291">
        <f t="shared" si="15"/>
        <v>61739.579430374055</v>
      </c>
      <c r="AO44" s="291">
        <f t="shared" si="16"/>
        <v>-22873.849430374059</v>
      </c>
      <c r="AP44" s="1462" t="s">
        <v>572</v>
      </c>
    </row>
    <row r="45" spans="1:42" s="263" customFormat="1" ht="10.7" customHeight="1">
      <c r="A45" s="530" t="s">
        <v>563</v>
      </c>
      <c r="B45" s="232">
        <f>149+0</f>
        <v>149</v>
      </c>
      <c r="C45" s="232">
        <f>549.4+15.26</f>
        <v>564.66</v>
      </c>
      <c r="D45" s="232">
        <f>2+0</f>
        <v>2</v>
      </c>
      <c r="E45" s="232">
        <f>786.62+284.42</f>
        <v>1071.04</v>
      </c>
      <c r="F45" s="232">
        <f>108.98+160.58+0+0</f>
        <v>269.56</v>
      </c>
      <c r="G45" s="232">
        <f>30515.75+3195.12</f>
        <v>33710.870000000003</v>
      </c>
      <c r="H45" s="232">
        <v>0</v>
      </c>
      <c r="I45" s="232">
        <v>0</v>
      </c>
      <c r="J45" s="232">
        <v>0</v>
      </c>
      <c r="K45" s="232">
        <f t="shared" si="17"/>
        <v>3800.7299999999959</v>
      </c>
      <c r="L45" s="232">
        <f>35371.79+4196.07</f>
        <v>39567.86</v>
      </c>
      <c r="M45" s="232">
        <v>16.421800000000001</v>
      </c>
      <c r="N45" s="232">
        <v>1837.1255999999998</v>
      </c>
      <c r="O45" s="232">
        <f>M45+N45</f>
        <v>1853.5473999999999</v>
      </c>
      <c r="P45" s="232">
        <v>381.78640000000001</v>
      </c>
      <c r="Q45" s="232">
        <v>598.18729999999994</v>
      </c>
      <c r="R45" s="232">
        <v>1093.7872</v>
      </c>
      <c r="S45" s="232">
        <v>2069.6053999999999</v>
      </c>
      <c r="T45" s="232">
        <v>981.44889999999998</v>
      </c>
      <c r="U45" s="1467" t="s">
        <v>563</v>
      </c>
      <c r="V45" s="530" t="s">
        <v>563</v>
      </c>
      <c r="W45" s="232">
        <v>741.51099999999997</v>
      </c>
      <c r="X45" s="232">
        <v>594.01929999999993</v>
      </c>
      <c r="Y45" s="232">
        <v>1972.1111999999998</v>
      </c>
      <c r="Z45" s="232">
        <v>7704.8305</v>
      </c>
      <c r="AA45" s="232">
        <v>2787.5437999999999</v>
      </c>
      <c r="AB45" s="232">
        <v>174.9024</v>
      </c>
      <c r="AC45" s="232">
        <v>1218.2411999999999</v>
      </c>
      <c r="AD45" s="232">
        <v>670.46029999999996</v>
      </c>
      <c r="AE45" s="232">
        <v>2647.4922999999999</v>
      </c>
      <c r="AF45" s="232">
        <v>3779.5758000000001</v>
      </c>
      <c r="AG45" s="232">
        <v>2733.2834000000003</v>
      </c>
      <c r="AH45" s="232">
        <v>4917.7231000000011</v>
      </c>
      <c r="AI45" s="232">
        <v>937.23039999999992</v>
      </c>
      <c r="AJ45" s="232">
        <v>4859.7313000000004</v>
      </c>
      <c r="AK45" s="232">
        <v>2164.6050187246551</v>
      </c>
      <c r="AL45" s="232">
        <v>15542.6594</v>
      </c>
      <c r="AM45" s="232">
        <f t="shared" si="14"/>
        <v>58570.735618724662</v>
      </c>
      <c r="AN45" s="232">
        <f t="shared" si="15"/>
        <v>60424.283018724665</v>
      </c>
      <c r="AO45" s="232">
        <f t="shared" si="16"/>
        <v>-20856.423018724665</v>
      </c>
      <c r="AP45" s="1467" t="s">
        <v>563</v>
      </c>
    </row>
    <row r="46" spans="1:42" s="263" customFormat="1" ht="10.7" customHeight="1">
      <c r="A46" s="1671" t="s">
        <v>2680</v>
      </c>
      <c r="B46" s="291"/>
      <c r="C46" s="291"/>
      <c r="D46" s="291"/>
      <c r="E46" s="291"/>
      <c r="F46" s="291"/>
      <c r="G46" s="291"/>
      <c r="H46" s="291"/>
      <c r="I46" s="291"/>
      <c r="J46" s="291"/>
      <c r="K46" s="291"/>
      <c r="L46" s="291"/>
      <c r="M46" s="291"/>
      <c r="N46" s="291"/>
      <c r="O46" s="291"/>
      <c r="P46" s="291"/>
      <c r="Q46" s="291"/>
      <c r="R46" s="291"/>
      <c r="S46" s="291"/>
      <c r="T46" s="291"/>
      <c r="U46" s="1672" t="s">
        <v>2680</v>
      </c>
      <c r="V46" s="1671" t="s">
        <v>2680</v>
      </c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1672" t="s">
        <v>2680</v>
      </c>
    </row>
    <row r="47" spans="1:42" s="263" customFormat="1" ht="10.7" customHeight="1">
      <c r="A47" s="530" t="s">
        <v>565</v>
      </c>
      <c r="B47" s="232">
        <f>107+0</f>
        <v>107</v>
      </c>
      <c r="C47" s="232">
        <f>597.8+12</f>
        <v>609.79999999999995</v>
      </c>
      <c r="D47" s="232">
        <f>4+0</f>
        <v>4</v>
      </c>
      <c r="E47" s="232">
        <f>766+351</f>
        <v>1117</v>
      </c>
      <c r="F47" s="232">
        <f>117+188+0+0</f>
        <v>305</v>
      </c>
      <c r="G47" s="232">
        <f>29285+3675</f>
        <v>32960</v>
      </c>
      <c r="H47" s="232">
        <v>0</v>
      </c>
      <c r="I47" s="232">
        <v>0</v>
      </c>
      <c r="J47" s="232">
        <v>0</v>
      </c>
      <c r="K47" s="232">
        <f t="shared" ref="K47:K51" si="18">L47-SUM(B47:J47)</f>
        <v>3413.1999999999971</v>
      </c>
      <c r="L47" s="232">
        <f>33787+4729</f>
        <v>38516</v>
      </c>
      <c r="M47" s="232">
        <v>9.7697000000000003</v>
      </c>
      <c r="N47" s="232">
        <v>702.55819999999994</v>
      </c>
      <c r="O47" s="232">
        <f t="shared" ref="O47:O53" si="19">M47+N47</f>
        <v>712.3279</v>
      </c>
      <c r="P47" s="232">
        <v>350.53099999999995</v>
      </c>
      <c r="Q47" s="232">
        <v>506.49799999999999</v>
      </c>
      <c r="R47" s="232">
        <v>1236.4665</v>
      </c>
      <c r="S47" s="232">
        <v>1572.3515</v>
      </c>
      <c r="T47" s="232">
        <v>995.66049999999996</v>
      </c>
      <c r="U47" s="1467" t="s">
        <v>565</v>
      </c>
      <c r="V47" s="530" t="s">
        <v>565</v>
      </c>
      <c r="W47" s="232">
        <v>817.56320000000005</v>
      </c>
      <c r="X47" s="232">
        <v>627.55410000000006</v>
      </c>
      <c r="Y47" s="232">
        <v>492.6653</v>
      </c>
      <c r="Z47" s="232">
        <v>6653.9389000000001</v>
      </c>
      <c r="AA47" s="232">
        <v>3066.627</v>
      </c>
      <c r="AB47" s="232">
        <v>178.76609999999999</v>
      </c>
      <c r="AC47" s="232">
        <v>1453.1728000000001</v>
      </c>
      <c r="AD47" s="232">
        <v>828.84479999999996</v>
      </c>
      <c r="AE47" s="232">
        <v>2701.9495999999999</v>
      </c>
      <c r="AF47" s="232">
        <v>3478.6581999999999</v>
      </c>
      <c r="AG47" s="232">
        <v>3069.6691999999998</v>
      </c>
      <c r="AH47" s="232">
        <v>4993.5450000000001</v>
      </c>
      <c r="AI47" s="232">
        <v>913.39690000000007</v>
      </c>
      <c r="AJ47" s="232">
        <v>4669.0979000000007</v>
      </c>
      <c r="AK47" s="232">
        <v>2184.9477999999999</v>
      </c>
      <c r="AL47" s="232">
        <v>14360.4198</v>
      </c>
      <c r="AM47" s="232">
        <f t="shared" ref="AM47:AM48" si="20">SUM(P47:T47)+SUM(W47:AL47)</f>
        <v>55152.324100000005</v>
      </c>
      <c r="AN47" s="232">
        <f t="shared" ref="AN47:AN53" si="21">O47+AM47</f>
        <v>55864.652000000002</v>
      </c>
      <c r="AO47" s="232">
        <f t="shared" ref="AO47:AO53" si="22">L47-AN47</f>
        <v>-17348.652000000002</v>
      </c>
      <c r="AP47" s="1467" t="s">
        <v>565</v>
      </c>
    </row>
    <row r="48" spans="1:42" s="263" customFormat="1" ht="10.7" customHeight="1">
      <c r="A48" s="1376" t="s">
        <v>112</v>
      </c>
      <c r="B48" s="291">
        <f>120+0</f>
        <v>120</v>
      </c>
      <c r="C48" s="291">
        <f>576.2+7.8</f>
        <v>584</v>
      </c>
      <c r="D48" s="291">
        <f>2+0</f>
        <v>2</v>
      </c>
      <c r="E48" s="291">
        <f>836+295</f>
        <v>1131</v>
      </c>
      <c r="F48" s="291">
        <f>85+212+0+0</f>
        <v>297</v>
      </c>
      <c r="G48" s="291">
        <f>2972+34659</f>
        <v>37631</v>
      </c>
      <c r="H48" s="291">
        <v>0</v>
      </c>
      <c r="I48" s="291">
        <v>0</v>
      </c>
      <c r="J48" s="291">
        <v>0</v>
      </c>
      <c r="K48" s="291">
        <f t="shared" si="18"/>
        <v>-256</v>
      </c>
      <c r="L48" s="291">
        <f>35317+4192</f>
        <v>39509</v>
      </c>
      <c r="M48" s="291">
        <v>4.7</v>
      </c>
      <c r="N48" s="291">
        <v>1444.0962</v>
      </c>
      <c r="O48" s="291">
        <f t="shared" si="19"/>
        <v>1448.7962</v>
      </c>
      <c r="P48" s="291">
        <v>348.53589999999997</v>
      </c>
      <c r="Q48" s="291">
        <v>511.88169999999997</v>
      </c>
      <c r="R48" s="291">
        <v>559.44129999999996</v>
      </c>
      <c r="S48" s="291">
        <v>1632.4160000000002</v>
      </c>
      <c r="T48" s="291">
        <v>532.37239999999997</v>
      </c>
      <c r="U48" s="1462" t="s">
        <v>112</v>
      </c>
      <c r="V48" s="1376" t="s">
        <v>112</v>
      </c>
      <c r="W48" s="291">
        <v>539.20159999999998</v>
      </c>
      <c r="X48" s="291">
        <v>488.0283</v>
      </c>
      <c r="Y48" s="291">
        <v>1026.4906999999998</v>
      </c>
      <c r="Z48" s="291">
        <v>8643.6077000000005</v>
      </c>
      <c r="AA48" s="291">
        <v>3502.7456000000002</v>
      </c>
      <c r="AB48" s="291">
        <v>170.0061</v>
      </c>
      <c r="AC48" s="291">
        <v>988.58090000000004</v>
      </c>
      <c r="AD48" s="291">
        <v>860.14280000000008</v>
      </c>
      <c r="AE48" s="291">
        <v>2852.6523999999999</v>
      </c>
      <c r="AF48" s="291">
        <v>3486.7905000000001</v>
      </c>
      <c r="AG48" s="291">
        <v>3155.1069000000002</v>
      </c>
      <c r="AH48" s="291">
        <v>5943.5991000000004</v>
      </c>
      <c r="AI48" s="291">
        <v>1066.2049999999999</v>
      </c>
      <c r="AJ48" s="291">
        <v>4649.9070000000002</v>
      </c>
      <c r="AK48" s="291">
        <v>2351.7366999999999</v>
      </c>
      <c r="AL48" s="291">
        <v>15020.592399999998</v>
      </c>
      <c r="AM48" s="291">
        <f t="shared" si="20"/>
        <v>58330.040999999997</v>
      </c>
      <c r="AN48" s="291">
        <f t="shared" si="21"/>
        <v>59778.837199999994</v>
      </c>
      <c r="AO48" s="291">
        <f t="shared" si="22"/>
        <v>-20269.837199999994</v>
      </c>
      <c r="AP48" s="1462" t="s">
        <v>112</v>
      </c>
    </row>
    <row r="49" spans="1:44" s="263" customFormat="1" ht="10.7" customHeight="1">
      <c r="A49" s="530" t="s">
        <v>560</v>
      </c>
      <c r="B49" s="232">
        <f>201+0</f>
        <v>201</v>
      </c>
      <c r="C49" s="232">
        <f>679.5+15.7</f>
        <v>695.2</v>
      </c>
      <c r="D49" s="232">
        <f>0+2</f>
        <v>2</v>
      </c>
      <c r="E49" s="232">
        <f>902+280</f>
        <v>1182</v>
      </c>
      <c r="F49" s="232">
        <f>0+0+107+227</f>
        <v>334</v>
      </c>
      <c r="G49" s="232">
        <f>4926+35552</f>
        <v>40478</v>
      </c>
      <c r="H49" s="232">
        <v>0</v>
      </c>
      <c r="I49" s="232">
        <v>0</v>
      </c>
      <c r="J49" s="232">
        <v>0</v>
      </c>
      <c r="K49" s="232">
        <f t="shared" si="18"/>
        <v>4258.8000000000029</v>
      </c>
      <c r="L49" s="232">
        <f>41277+5874</f>
        <v>47151</v>
      </c>
      <c r="M49" s="232">
        <v>21.8</v>
      </c>
      <c r="N49" s="232">
        <v>1676.9762000000001</v>
      </c>
      <c r="O49" s="232">
        <f t="shared" si="19"/>
        <v>1698.7762</v>
      </c>
      <c r="P49" s="232">
        <v>304.98230000000001</v>
      </c>
      <c r="Q49" s="232">
        <v>415.73439999999999</v>
      </c>
      <c r="R49" s="232">
        <v>1041.3980000000001</v>
      </c>
      <c r="S49" s="232">
        <v>1814.8094000000001</v>
      </c>
      <c r="T49" s="232">
        <v>803.22640000000001</v>
      </c>
      <c r="U49" s="1467" t="s">
        <v>560</v>
      </c>
      <c r="V49" s="530" t="s">
        <v>560</v>
      </c>
      <c r="W49" s="232">
        <v>625.50490000000002</v>
      </c>
      <c r="X49" s="232">
        <v>584.92550000000006</v>
      </c>
      <c r="Y49" s="232">
        <v>1216.5538000000001</v>
      </c>
      <c r="Z49" s="232">
        <v>9657.2047999999995</v>
      </c>
      <c r="AA49" s="232">
        <v>3173.9332000000004</v>
      </c>
      <c r="AB49" s="232">
        <v>222.0992</v>
      </c>
      <c r="AC49" s="232">
        <v>2798.6713</v>
      </c>
      <c r="AD49" s="232">
        <v>768.75369999999998</v>
      </c>
      <c r="AE49" s="232">
        <v>2917.8914999999997</v>
      </c>
      <c r="AF49" s="232">
        <v>3135.8226</v>
      </c>
      <c r="AG49" s="232">
        <v>3256.1564000000003</v>
      </c>
      <c r="AH49" s="232">
        <v>6227.0689000000002</v>
      </c>
      <c r="AI49" s="232">
        <v>982.6264000000001</v>
      </c>
      <c r="AJ49" s="232">
        <v>5516.1714999999995</v>
      </c>
      <c r="AK49" s="232">
        <v>2198.8425999999999</v>
      </c>
      <c r="AL49" s="232">
        <v>15639.387099999993</v>
      </c>
      <c r="AM49" s="232">
        <f t="shared" ref="AM49" si="23">SUM(P49:T49)+SUM(W49:AL49)</f>
        <v>63301.763899999991</v>
      </c>
      <c r="AN49" s="232">
        <f t="shared" si="21"/>
        <v>65000.540099999991</v>
      </c>
      <c r="AO49" s="232">
        <f t="shared" si="22"/>
        <v>-17849.540099999991</v>
      </c>
      <c r="AP49" s="1467" t="s">
        <v>560</v>
      </c>
    </row>
    <row r="50" spans="1:44" s="263" customFormat="1" ht="10.7" customHeight="1">
      <c r="A50" s="1376" t="s">
        <v>567</v>
      </c>
      <c r="B50" s="291">
        <f>0+186.62</f>
        <v>186.62</v>
      </c>
      <c r="C50" s="291">
        <f>698.63+10.93</f>
        <v>709.56</v>
      </c>
      <c r="D50" s="291">
        <f>0+5</f>
        <v>5</v>
      </c>
      <c r="E50" s="291">
        <f>817.69+351.2</f>
        <v>1168.8900000000001</v>
      </c>
      <c r="F50" s="291">
        <f>0+0+123.45+257.34</f>
        <v>380.78999999999996</v>
      </c>
      <c r="G50" s="291">
        <f>4806.64+34145.55</f>
        <v>38952.19</v>
      </c>
      <c r="H50" s="291">
        <v>0</v>
      </c>
      <c r="I50" s="291">
        <v>0</v>
      </c>
      <c r="J50" s="291">
        <v>0</v>
      </c>
      <c r="K50" s="291">
        <f t="shared" si="18"/>
        <v>4331.739999999998</v>
      </c>
      <c r="L50" s="291">
        <f>5818.36+39916.43</f>
        <v>45734.79</v>
      </c>
      <c r="M50" s="291">
        <v>39.700000000000003</v>
      </c>
      <c r="N50" s="291">
        <v>1341.1485</v>
      </c>
      <c r="O50" s="291">
        <f t="shared" si="19"/>
        <v>1380.8485000000001</v>
      </c>
      <c r="P50" s="291">
        <v>299.87150000000003</v>
      </c>
      <c r="Q50" s="291">
        <v>392.42060000000004</v>
      </c>
      <c r="R50" s="291">
        <v>640.65089999999998</v>
      </c>
      <c r="S50" s="291">
        <v>2037.1068</v>
      </c>
      <c r="T50" s="291">
        <v>851.97630000000004</v>
      </c>
      <c r="U50" s="1462" t="s">
        <v>567</v>
      </c>
      <c r="V50" s="1376" t="s">
        <v>567</v>
      </c>
      <c r="W50" s="291">
        <v>800.99630000000002</v>
      </c>
      <c r="X50" s="291">
        <v>544.13980000000004</v>
      </c>
      <c r="Y50" s="291">
        <v>1836.8186000000001</v>
      </c>
      <c r="Z50" s="291">
        <v>9502.3421000000017</v>
      </c>
      <c r="AA50" s="291">
        <v>3479.9854</v>
      </c>
      <c r="AB50" s="291">
        <v>209.86360000000002</v>
      </c>
      <c r="AC50" s="291">
        <v>1443.8677</v>
      </c>
      <c r="AD50" s="291">
        <v>838.25970000000007</v>
      </c>
      <c r="AE50" s="291">
        <v>3431.0978999999998</v>
      </c>
      <c r="AF50" s="291">
        <v>3234.9945000000002</v>
      </c>
      <c r="AG50" s="291">
        <v>3400.8730999999998</v>
      </c>
      <c r="AH50" s="291">
        <v>5970.2004999999999</v>
      </c>
      <c r="AI50" s="291">
        <v>1154.6914000000002</v>
      </c>
      <c r="AJ50" s="291">
        <v>5455.5614999999998</v>
      </c>
      <c r="AK50" s="291">
        <v>5140.4164999999994</v>
      </c>
      <c r="AL50" s="291">
        <v>18400.914599999989</v>
      </c>
      <c r="AM50" s="291">
        <f t="shared" ref="AM50" si="24">SUM(P50:T50)+SUM(W50:AL50)</f>
        <v>69067.049299999984</v>
      </c>
      <c r="AN50" s="291">
        <f t="shared" si="21"/>
        <v>70447.897799999977</v>
      </c>
      <c r="AO50" s="291">
        <f t="shared" si="22"/>
        <v>-24713.107799999976</v>
      </c>
      <c r="AP50" s="1462" t="s">
        <v>567</v>
      </c>
    </row>
    <row r="51" spans="1:44" s="263" customFormat="1" ht="10.7" customHeight="1">
      <c r="A51" s="530" t="s">
        <v>568</v>
      </c>
      <c r="B51" s="232">
        <f>179+0</f>
        <v>179</v>
      </c>
      <c r="C51" s="232">
        <f>711+22</f>
        <v>733</v>
      </c>
      <c r="D51" s="232">
        <f>4</f>
        <v>4</v>
      </c>
      <c r="E51" s="232">
        <f>669+261</f>
        <v>930</v>
      </c>
      <c r="F51" s="232">
        <f>314+110+0+0</f>
        <v>424</v>
      </c>
      <c r="G51" s="232">
        <f>30338+3958</f>
        <v>34296</v>
      </c>
      <c r="H51" s="232">
        <v>0</v>
      </c>
      <c r="I51" s="232">
        <v>0</v>
      </c>
      <c r="J51" s="232">
        <v>0</v>
      </c>
      <c r="K51" s="232">
        <f t="shared" si="18"/>
        <v>3913</v>
      </c>
      <c r="L51" s="232">
        <f>4801+35678</f>
        <v>40479</v>
      </c>
      <c r="M51" s="232">
        <v>73.500199999999992</v>
      </c>
      <c r="N51" s="232">
        <v>1056.7563</v>
      </c>
      <c r="O51" s="232">
        <f t="shared" si="19"/>
        <v>1130.2565</v>
      </c>
      <c r="P51" s="232">
        <v>398.52009999999996</v>
      </c>
      <c r="Q51" s="232">
        <v>437.995</v>
      </c>
      <c r="R51" s="232">
        <v>701.14459999999997</v>
      </c>
      <c r="S51" s="232">
        <v>2229.2982999999999</v>
      </c>
      <c r="T51" s="232">
        <v>530.30399999999997</v>
      </c>
      <c r="U51" s="1467" t="s">
        <v>568</v>
      </c>
      <c r="V51" s="530" t="s">
        <v>568</v>
      </c>
      <c r="W51" s="232">
        <v>1319.7193</v>
      </c>
      <c r="X51" s="232">
        <v>531.12159999999994</v>
      </c>
      <c r="Y51" s="232">
        <v>706.54420000000005</v>
      </c>
      <c r="Z51" s="232">
        <v>7730.8218000000006</v>
      </c>
      <c r="AA51" s="232">
        <v>3181.3114</v>
      </c>
      <c r="AB51" s="232">
        <v>199.60380000000001</v>
      </c>
      <c r="AC51" s="232">
        <v>2034.9838</v>
      </c>
      <c r="AD51" s="232">
        <v>707.8818</v>
      </c>
      <c r="AE51" s="232">
        <v>2536.0705000000003</v>
      </c>
      <c r="AF51" s="232">
        <v>3088.7112999999999</v>
      </c>
      <c r="AG51" s="232">
        <v>3209.9583000000002</v>
      </c>
      <c r="AH51" s="232">
        <v>5977.4334999999992</v>
      </c>
      <c r="AI51" s="232">
        <v>930.5598</v>
      </c>
      <c r="AJ51" s="232">
        <v>4588.2561000000005</v>
      </c>
      <c r="AK51" s="232">
        <v>2567.3896999999997</v>
      </c>
      <c r="AL51" s="232">
        <v>14406.616099999997</v>
      </c>
      <c r="AM51" s="232">
        <f t="shared" ref="AM51" si="25">SUM(P51:T51)+SUM(W51:AL51)</f>
        <v>58014.245000000003</v>
      </c>
      <c r="AN51" s="232">
        <f t="shared" si="21"/>
        <v>59144.501500000006</v>
      </c>
      <c r="AO51" s="232">
        <f t="shared" si="22"/>
        <v>-18665.501500000006</v>
      </c>
      <c r="AP51" s="1467" t="s">
        <v>568</v>
      </c>
    </row>
    <row r="52" spans="1:44" s="263" customFormat="1" ht="10.7" customHeight="1">
      <c r="A52" s="1376" t="s">
        <v>561</v>
      </c>
      <c r="B52" s="291">
        <f>0+165</f>
        <v>165</v>
      </c>
      <c r="C52" s="291">
        <f>726+12</f>
        <v>738</v>
      </c>
      <c r="D52" s="291">
        <f>5+0</f>
        <v>5</v>
      </c>
      <c r="E52" s="291">
        <f>411+888</f>
        <v>1299</v>
      </c>
      <c r="F52" s="291">
        <f>0+0+120+289</f>
        <v>409</v>
      </c>
      <c r="G52" s="291">
        <f>4582+33914</f>
        <v>38496</v>
      </c>
      <c r="H52" s="291">
        <v>0</v>
      </c>
      <c r="I52" s="291">
        <v>0</v>
      </c>
      <c r="J52" s="291">
        <v>0</v>
      </c>
      <c r="K52" s="291">
        <f t="shared" ref="K52" si="26">L52-SUM(B52:J52)</f>
        <v>4347</v>
      </c>
      <c r="L52" s="291">
        <f>5629+39830</f>
        <v>45459</v>
      </c>
      <c r="M52" s="291">
        <v>427.7</v>
      </c>
      <c r="N52" s="291">
        <v>2380.9079000000002</v>
      </c>
      <c r="O52" s="291">
        <f t="shared" si="19"/>
        <v>2808.6079</v>
      </c>
      <c r="P52" s="291">
        <v>483.18680000000001</v>
      </c>
      <c r="Q52" s="291">
        <v>449.96980000000002</v>
      </c>
      <c r="R52" s="291">
        <v>1851.7759999999998</v>
      </c>
      <c r="S52" s="291">
        <v>2677.2532999999999</v>
      </c>
      <c r="T52" s="291">
        <v>556.34979999999996</v>
      </c>
      <c r="U52" s="1462" t="s">
        <v>561</v>
      </c>
      <c r="V52" s="1376" t="s">
        <v>561</v>
      </c>
      <c r="W52" s="291">
        <v>967.7491</v>
      </c>
      <c r="X52" s="291">
        <v>564.21510000000001</v>
      </c>
      <c r="Y52" s="291">
        <v>1000.2942</v>
      </c>
      <c r="Z52" s="291">
        <v>7492.6624999999995</v>
      </c>
      <c r="AA52" s="291">
        <v>3461.3296</v>
      </c>
      <c r="AB52" s="291">
        <v>216.18989999999999</v>
      </c>
      <c r="AC52" s="291">
        <v>2896.8163999999997</v>
      </c>
      <c r="AD52" s="291">
        <v>841.68649999999991</v>
      </c>
      <c r="AE52" s="291">
        <v>3085.9106999999999</v>
      </c>
      <c r="AF52" s="291">
        <v>3443.6510000000003</v>
      </c>
      <c r="AG52" s="291">
        <v>3461.6224000000002</v>
      </c>
      <c r="AH52" s="291">
        <v>6546.273900000001</v>
      </c>
      <c r="AI52" s="291">
        <v>1265.8907999999999</v>
      </c>
      <c r="AJ52" s="291">
        <v>4499.0637999999999</v>
      </c>
      <c r="AK52" s="291">
        <v>2421.0661</v>
      </c>
      <c r="AL52" s="291">
        <v>17020.707300000009</v>
      </c>
      <c r="AM52" s="291">
        <f t="shared" ref="AM52:AM53" si="27">SUM(P52:T52)+SUM(W52:AL52)</f>
        <v>65203.665000000001</v>
      </c>
      <c r="AN52" s="291">
        <f t="shared" si="21"/>
        <v>68012.272899999996</v>
      </c>
      <c r="AO52" s="291">
        <f t="shared" si="22"/>
        <v>-22553.272899999996</v>
      </c>
      <c r="AP52" s="1462" t="s">
        <v>561</v>
      </c>
    </row>
    <row r="53" spans="1:44" s="263" customFormat="1" ht="10.7" customHeight="1" thickBot="1">
      <c r="A53" s="1841" t="s">
        <v>569</v>
      </c>
      <c r="B53" s="1842">
        <f>144.0453+0.1398</f>
        <v>144.18510000000001</v>
      </c>
      <c r="C53" s="1842">
        <f>740.6912+16.2916</f>
        <v>756.9828</v>
      </c>
      <c r="D53" s="1842">
        <f>3.1373+0</f>
        <v>3.1373000000000002</v>
      </c>
      <c r="E53" s="1842">
        <f>961.1488+308.8057</f>
        <v>1269.9545000000001</v>
      </c>
      <c r="F53" s="1842">
        <f>146.2847+340.0117+0+0</f>
        <v>486.29640000000001</v>
      </c>
      <c r="G53" s="1842">
        <f>36590.3922+5120.6479</f>
        <v>41711.040099999998</v>
      </c>
      <c r="H53" s="1842">
        <v>0</v>
      </c>
      <c r="I53" s="1842">
        <v>0</v>
      </c>
      <c r="J53" s="1842">
        <v>0</v>
      </c>
      <c r="K53" s="1842">
        <f t="shared" ref="K53" si="28">L53-SUM(B53:J53)</f>
        <v>1087.4038</v>
      </c>
      <c r="L53" s="1842">
        <f>5629+39830</f>
        <v>45459</v>
      </c>
      <c r="M53" s="1842">
        <v>697.2</v>
      </c>
      <c r="N53" s="1842">
        <v>1426.6</v>
      </c>
      <c r="O53" s="1842">
        <f t="shared" si="19"/>
        <v>2123.8000000000002</v>
      </c>
      <c r="P53" s="1842">
        <v>571.6</v>
      </c>
      <c r="Q53" s="1842">
        <v>462.1</v>
      </c>
      <c r="R53" s="1842">
        <v>950.1</v>
      </c>
      <c r="S53" s="1842">
        <v>2725.6</v>
      </c>
      <c r="T53" s="1842">
        <v>1999.5</v>
      </c>
      <c r="U53" s="1843" t="s">
        <v>569</v>
      </c>
      <c r="V53" s="1841" t="s">
        <v>569</v>
      </c>
      <c r="W53" s="1842">
        <v>789.7</v>
      </c>
      <c r="X53" s="1842">
        <v>629.4</v>
      </c>
      <c r="Y53" s="1842">
        <v>1343.5</v>
      </c>
      <c r="Z53" s="1842">
        <v>7265.2</v>
      </c>
      <c r="AA53" s="1842">
        <v>3426.3</v>
      </c>
      <c r="AB53" s="1842">
        <v>242.1</v>
      </c>
      <c r="AC53" s="1842">
        <v>2673.2</v>
      </c>
      <c r="AD53" s="1842">
        <v>907.5</v>
      </c>
      <c r="AE53" s="1842">
        <v>3121.4</v>
      </c>
      <c r="AF53" s="1842">
        <v>3351.5</v>
      </c>
      <c r="AG53" s="1842">
        <v>3673.5</v>
      </c>
      <c r="AH53" s="1842">
        <v>7425.9</v>
      </c>
      <c r="AI53" s="1842">
        <v>1492.2</v>
      </c>
      <c r="AJ53" s="1842">
        <v>4365.8</v>
      </c>
      <c r="AK53" s="1842">
        <v>2916.7</v>
      </c>
      <c r="AL53" s="1842">
        <f>6277.5+8476.1+4055.3</f>
        <v>18808.900000000001</v>
      </c>
      <c r="AM53" s="1842">
        <f t="shared" si="27"/>
        <v>69141.7</v>
      </c>
      <c r="AN53" s="1842">
        <f t="shared" si="21"/>
        <v>71265.5</v>
      </c>
      <c r="AO53" s="1842">
        <f t="shared" si="22"/>
        <v>-25806.5</v>
      </c>
      <c r="AP53" s="1843" t="s">
        <v>569</v>
      </c>
    </row>
    <row r="54" spans="1:44" s="37" customFormat="1" ht="9" customHeight="1">
      <c r="A54" s="1479" t="s">
        <v>730</v>
      </c>
      <c r="B54" s="2209" t="s">
        <v>2451</v>
      </c>
      <c r="C54" s="2209"/>
      <c r="D54" s="2209"/>
      <c r="E54" s="2209"/>
      <c r="F54" s="2209"/>
      <c r="G54" s="2209"/>
      <c r="H54" s="2209"/>
      <c r="I54" s="2209"/>
      <c r="J54" s="2209"/>
      <c r="K54" s="2209"/>
      <c r="M54" s="1479" t="s">
        <v>1145</v>
      </c>
      <c r="N54" s="2209" t="s">
        <v>2448</v>
      </c>
      <c r="O54" s="2209"/>
      <c r="P54" s="2209"/>
      <c r="Q54" s="2209"/>
      <c r="R54" s="2209"/>
      <c r="S54" s="2209"/>
      <c r="T54" s="46"/>
      <c r="U54" s="46"/>
      <c r="V54" s="1479" t="s">
        <v>16</v>
      </c>
      <c r="W54" s="2209" t="s">
        <v>1262</v>
      </c>
      <c r="X54" s="2209"/>
      <c r="Y54" s="2209"/>
      <c r="Z54" s="2209"/>
      <c r="AA54" s="200"/>
      <c r="AB54" s="200"/>
      <c r="AC54" s="2212" t="s">
        <v>1348</v>
      </c>
      <c r="AD54" s="2212"/>
      <c r="AE54" s="41"/>
      <c r="AF54" s="199"/>
      <c r="AG54" s="199"/>
      <c r="AH54" s="134"/>
      <c r="AI54" s="134"/>
      <c r="AJ54" s="134"/>
      <c r="AK54" s="134"/>
      <c r="AL54" s="134"/>
      <c r="AM54" s="382"/>
      <c r="AN54" s="1304"/>
      <c r="AO54" s="199"/>
      <c r="AP54" s="206"/>
    </row>
    <row r="55" spans="1:44" s="37" customFormat="1" ht="9" customHeight="1">
      <c r="A55" s="107"/>
      <c r="B55" s="2209" t="s">
        <v>2452</v>
      </c>
      <c r="C55" s="2209"/>
      <c r="D55" s="2209"/>
      <c r="E55" s="2209"/>
      <c r="F55" s="2209"/>
      <c r="G55" s="2209"/>
      <c r="H55" s="2209"/>
      <c r="I55" s="2209"/>
      <c r="J55" s="2209"/>
      <c r="K55" s="2209"/>
      <c r="L55" s="2209"/>
      <c r="M55" s="1481"/>
      <c r="N55" s="2209" t="s">
        <v>2449</v>
      </c>
      <c r="O55" s="2209"/>
      <c r="P55" s="2209"/>
      <c r="Q55" s="2209"/>
      <c r="R55" s="2209"/>
      <c r="S55" s="2209"/>
      <c r="T55" s="2209"/>
      <c r="U55" s="1480"/>
      <c r="V55" s="1480"/>
      <c r="W55" s="1480"/>
      <c r="X55" s="1480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936"/>
      <c r="AM55" s="936"/>
      <c r="AN55" s="936"/>
      <c r="AO55" s="936"/>
      <c r="AP55" s="206"/>
      <c r="AR55" s="942"/>
    </row>
    <row r="56" spans="1:44" ht="9" customHeight="1">
      <c r="A56" s="198"/>
      <c r="B56" s="2209"/>
      <c r="C56" s="2209"/>
      <c r="D56" s="2209"/>
      <c r="E56" s="2209"/>
      <c r="F56" s="2209"/>
      <c r="G56" s="2209"/>
      <c r="H56" s="2209"/>
      <c r="I56" s="2209"/>
      <c r="J56" s="2209"/>
      <c r="K56" s="2209"/>
      <c r="L56" s="2209"/>
      <c r="M56" s="1482"/>
      <c r="N56" s="2209"/>
      <c r="O56" s="2209"/>
      <c r="P56" s="2209"/>
      <c r="Q56" s="2209"/>
      <c r="R56" s="2209"/>
      <c r="S56" s="2209"/>
      <c r="T56" s="2209"/>
      <c r="U56" s="1480"/>
      <c r="V56" s="1480"/>
      <c r="W56" s="1480"/>
      <c r="X56" s="1480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206"/>
      <c r="AR56" s="620"/>
    </row>
    <row r="57" spans="1:44" ht="9" customHeight="1">
      <c r="A57" s="1479" t="s">
        <v>1145</v>
      </c>
      <c r="B57" s="2208" t="s">
        <v>2453</v>
      </c>
      <c r="C57" s="2208"/>
      <c r="D57" s="2208"/>
      <c r="E57" s="2208"/>
      <c r="F57" s="2208"/>
      <c r="G57" s="2208"/>
      <c r="H57" s="2208"/>
      <c r="I57" s="620"/>
      <c r="K57" s="1323"/>
      <c r="L57" s="944"/>
      <c r="M57" s="205"/>
      <c r="N57" s="1483"/>
      <c r="O57" s="1483"/>
      <c r="P57" s="1826"/>
      <c r="Q57" s="1484"/>
      <c r="R57" s="1484"/>
      <c r="S57" s="1484"/>
      <c r="T57" s="1485"/>
      <c r="U57" s="1484"/>
      <c r="V57" s="1826"/>
      <c r="W57" s="1486"/>
      <c r="X57" s="1487"/>
      <c r="AN57" s="620"/>
      <c r="AO57" s="620"/>
    </row>
    <row r="58" spans="1:44" ht="9.75" customHeight="1">
      <c r="B58" s="64"/>
      <c r="C58" s="64"/>
      <c r="D58" s="64"/>
      <c r="E58" s="1145"/>
      <c r="F58" s="64"/>
      <c r="G58" s="1145"/>
      <c r="H58" s="1145"/>
      <c r="I58" s="64"/>
      <c r="J58" s="64"/>
      <c r="K58" s="64"/>
      <c r="L58" s="64"/>
      <c r="M58" s="1488"/>
      <c r="N58" s="205"/>
      <c r="O58" s="1488"/>
      <c r="P58" s="205"/>
      <c r="Q58" s="205"/>
      <c r="R58" s="205"/>
      <c r="S58" s="205"/>
      <c r="T58" s="205"/>
      <c r="U58" s="205"/>
      <c r="V58" s="205"/>
      <c r="W58" s="205"/>
      <c r="X58" s="205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</row>
    <row r="59" spans="1:44">
      <c r="C59" s="620"/>
      <c r="E59" s="620"/>
      <c r="F59" s="818"/>
      <c r="G59" s="620"/>
      <c r="H59" s="620"/>
      <c r="I59" s="1026"/>
      <c r="M59" s="620"/>
      <c r="N59" s="620"/>
      <c r="O59" s="620"/>
      <c r="W59" s="620"/>
      <c r="X59" s="620"/>
      <c r="Y59" s="620"/>
      <c r="Z59" s="620"/>
      <c r="AA59" s="620"/>
      <c r="AB59" s="620"/>
      <c r="AC59" s="620"/>
      <c r="AD59" s="620"/>
      <c r="AE59" s="620"/>
      <c r="AF59" s="620"/>
      <c r="AG59" s="620"/>
      <c r="AH59" s="620"/>
      <c r="AI59" s="620"/>
      <c r="AJ59" s="620"/>
    </row>
    <row r="60" spans="1:44">
      <c r="B60" s="620"/>
      <c r="C60" s="620"/>
      <c r="D60" s="620"/>
      <c r="E60" s="620"/>
      <c r="F60" s="620"/>
      <c r="G60" s="620"/>
      <c r="H60" s="620"/>
      <c r="I60" s="620"/>
      <c r="J60" s="620"/>
      <c r="K60" s="620"/>
      <c r="L60" s="620"/>
      <c r="M60" s="620"/>
      <c r="N60" s="620"/>
      <c r="O60" s="620"/>
      <c r="P60" s="620"/>
      <c r="Q60" s="620"/>
      <c r="R60" s="620"/>
      <c r="S60" s="620"/>
      <c r="T60" s="620"/>
      <c r="U60" s="620"/>
      <c r="V60" s="620"/>
      <c r="W60" s="620"/>
      <c r="X60" s="620"/>
      <c r="Y60" s="620"/>
      <c r="Z60" s="620"/>
      <c r="AA60" s="620"/>
      <c r="AB60" s="620"/>
      <c r="AC60" s="620"/>
      <c r="AD60" s="620"/>
      <c r="AE60" s="620"/>
      <c r="AF60" s="620"/>
      <c r="AG60" s="620"/>
      <c r="AH60" s="620"/>
      <c r="AI60" s="620"/>
      <c r="AJ60" s="620"/>
      <c r="AK60" s="620"/>
      <c r="AL60" s="620"/>
      <c r="AM60" s="620"/>
      <c r="AN60" s="620"/>
      <c r="AO60" s="620"/>
      <c r="AP60" s="620"/>
    </row>
    <row r="61" spans="1:44">
      <c r="C61" s="620"/>
      <c r="G61" s="620"/>
      <c r="H61" s="620"/>
      <c r="J61" s="620"/>
      <c r="K61" s="620"/>
      <c r="L61" s="945"/>
      <c r="W61" s="620"/>
    </row>
    <row r="62" spans="1:44">
      <c r="J62" s="620"/>
      <c r="K62" s="620"/>
      <c r="M62" s="620"/>
      <c r="N62" s="620"/>
      <c r="O62" s="620"/>
      <c r="P62" s="620"/>
      <c r="Q62" s="620"/>
      <c r="R62" s="620"/>
      <c r="S62" s="620"/>
      <c r="T62" s="620"/>
      <c r="U62" s="1145"/>
      <c r="V62" s="1145"/>
      <c r="W62" s="1145"/>
      <c r="X62" s="1145"/>
      <c r="Y62" s="1145"/>
      <c r="Z62" s="1145"/>
      <c r="AA62" s="1145"/>
      <c r="AB62" s="1145"/>
      <c r="AC62" s="1145"/>
      <c r="AD62" s="1145"/>
      <c r="AE62" s="1145"/>
      <c r="AF62" s="1145"/>
      <c r="AG62" s="1145"/>
      <c r="AH62" s="1145"/>
      <c r="AI62" s="1145"/>
      <c r="AJ62" s="1145"/>
      <c r="AK62" s="1145"/>
    </row>
    <row r="63" spans="1:44">
      <c r="G63" s="620"/>
      <c r="J63" s="620"/>
      <c r="N63" s="620"/>
      <c r="O63" s="620"/>
      <c r="P63" s="620"/>
      <c r="Q63" s="620"/>
      <c r="R63" s="620"/>
      <c r="S63" s="620"/>
      <c r="T63" s="620"/>
      <c r="U63" s="1145"/>
      <c r="V63" s="1145"/>
      <c r="W63" s="1145"/>
      <c r="X63" s="1145"/>
      <c r="Y63" s="1145"/>
      <c r="Z63" s="1145"/>
      <c r="AA63" s="1145"/>
      <c r="AB63" s="1145"/>
      <c r="AC63" s="1145"/>
      <c r="AD63" s="1145"/>
      <c r="AE63" s="1145"/>
      <c r="AF63" s="1145"/>
      <c r="AG63" s="1145"/>
      <c r="AH63" s="1145"/>
      <c r="AI63" s="1145"/>
      <c r="AJ63" s="1145"/>
    </row>
    <row r="64" spans="1:44">
      <c r="J64" s="620"/>
      <c r="W64" s="620"/>
    </row>
    <row r="65" spans="2:41">
      <c r="J65" s="620"/>
    </row>
    <row r="66" spans="2:41">
      <c r="M66" s="620"/>
      <c r="N66" s="620"/>
      <c r="O66" s="620"/>
      <c r="P66" s="620"/>
      <c r="Q66" s="620"/>
      <c r="R66" s="620"/>
      <c r="S66" s="620"/>
      <c r="T66" s="620"/>
      <c r="W66" s="620"/>
      <c r="X66" s="620"/>
      <c r="Y66" s="620"/>
      <c r="Z66" s="620"/>
      <c r="AA66" s="620"/>
      <c r="AB66" s="620"/>
      <c r="AC66" s="620"/>
      <c r="AD66" s="620"/>
      <c r="AE66" s="620"/>
      <c r="AF66" s="620"/>
      <c r="AG66" s="620"/>
      <c r="AH66" s="620"/>
      <c r="AI66" s="620"/>
      <c r="AJ66" s="620"/>
      <c r="AK66" s="620"/>
      <c r="AL66" s="620"/>
      <c r="AM66" s="620"/>
      <c r="AN66" s="620"/>
      <c r="AO66" s="620"/>
    </row>
    <row r="67" spans="2:41">
      <c r="B67" s="620"/>
      <c r="C67" s="620"/>
      <c r="D67" s="620"/>
      <c r="E67" s="620"/>
      <c r="F67" s="620"/>
      <c r="G67" s="620"/>
      <c r="H67" s="620"/>
      <c r="I67" s="620"/>
      <c r="J67" s="620"/>
      <c r="K67" s="620"/>
      <c r="M67" s="620"/>
      <c r="N67" s="620"/>
      <c r="O67" s="620"/>
      <c r="P67" s="620"/>
      <c r="Q67" s="620"/>
      <c r="R67" s="620"/>
      <c r="S67" s="620"/>
      <c r="T67" s="620"/>
      <c r="W67" s="620"/>
      <c r="X67" s="620"/>
      <c r="Y67" s="620"/>
      <c r="Z67" s="620"/>
      <c r="AA67" s="620"/>
      <c r="AB67" s="620"/>
      <c r="AC67" s="620"/>
      <c r="AD67" s="620"/>
      <c r="AE67" s="620"/>
      <c r="AF67" s="620"/>
      <c r="AG67" s="620"/>
      <c r="AH67" s="620"/>
      <c r="AI67" s="620"/>
      <c r="AJ67" s="620"/>
      <c r="AK67" s="620"/>
      <c r="AL67" s="620"/>
      <c r="AM67" s="620"/>
      <c r="AN67" s="620"/>
      <c r="AO67" s="620"/>
    </row>
    <row r="68" spans="2:41">
      <c r="B68" s="620"/>
      <c r="C68" s="620"/>
      <c r="D68" s="620"/>
      <c r="E68" s="620"/>
      <c r="F68" s="620"/>
      <c r="G68" s="620"/>
      <c r="H68" s="620"/>
      <c r="I68" s="620"/>
      <c r="J68" s="620"/>
      <c r="K68" s="620"/>
      <c r="M68" s="620"/>
      <c r="N68" s="620"/>
      <c r="O68" s="620"/>
      <c r="P68" s="620"/>
      <c r="Q68" s="620"/>
      <c r="R68" s="620"/>
      <c r="S68" s="620"/>
      <c r="T68" s="620"/>
      <c r="W68" s="620"/>
      <c r="X68" s="620"/>
      <c r="Y68" s="620"/>
      <c r="Z68" s="620"/>
      <c r="AA68" s="620"/>
      <c r="AB68" s="620"/>
      <c r="AC68" s="620"/>
      <c r="AD68" s="620"/>
      <c r="AE68" s="620"/>
      <c r="AF68" s="620"/>
      <c r="AG68" s="620"/>
      <c r="AH68" s="620"/>
      <c r="AI68" s="620"/>
      <c r="AJ68" s="620"/>
      <c r="AK68" s="620"/>
      <c r="AL68" s="620"/>
      <c r="AM68" s="620"/>
      <c r="AN68" s="620"/>
      <c r="AO68" s="620"/>
    </row>
    <row r="69" spans="2:41">
      <c r="B69" s="620"/>
      <c r="C69" s="620"/>
      <c r="D69" s="620"/>
      <c r="E69" s="620"/>
      <c r="F69" s="620"/>
      <c r="G69" s="620"/>
      <c r="H69" s="620"/>
      <c r="I69" s="620"/>
      <c r="J69" s="620"/>
      <c r="K69" s="620"/>
      <c r="M69" s="620"/>
      <c r="N69" s="620"/>
      <c r="O69" s="620"/>
      <c r="P69" s="620"/>
      <c r="Q69" s="620"/>
      <c r="R69" s="620"/>
      <c r="S69" s="620"/>
      <c r="T69" s="620"/>
      <c r="W69" s="620"/>
      <c r="X69" s="620"/>
      <c r="Y69" s="620"/>
      <c r="Z69" s="620"/>
      <c r="AA69" s="620"/>
      <c r="AB69" s="620"/>
      <c r="AC69" s="620"/>
      <c r="AD69" s="620"/>
      <c r="AE69" s="620"/>
      <c r="AF69" s="620"/>
      <c r="AG69" s="620"/>
      <c r="AH69" s="620"/>
      <c r="AI69" s="620"/>
      <c r="AJ69" s="620"/>
      <c r="AK69" s="620"/>
      <c r="AL69" s="620"/>
      <c r="AM69" s="620"/>
      <c r="AN69" s="620"/>
      <c r="AO69" s="620"/>
    </row>
    <row r="70" spans="2:41">
      <c r="B70" s="620"/>
      <c r="C70" s="620"/>
      <c r="D70" s="620"/>
      <c r="E70" s="620"/>
      <c r="F70" s="620"/>
      <c r="G70" s="620"/>
      <c r="H70" s="620"/>
      <c r="I70" s="620"/>
      <c r="J70" s="620"/>
      <c r="K70" s="620"/>
      <c r="M70" s="620"/>
      <c r="N70" s="620"/>
      <c r="O70" s="620"/>
      <c r="P70" s="620"/>
      <c r="Q70" s="620"/>
      <c r="R70" s="620"/>
      <c r="S70" s="620"/>
      <c r="T70" s="620"/>
      <c r="W70" s="620"/>
      <c r="X70" s="620"/>
      <c r="Y70" s="620"/>
      <c r="Z70" s="620"/>
      <c r="AA70" s="620"/>
      <c r="AB70" s="620"/>
      <c r="AC70" s="620"/>
      <c r="AD70" s="620"/>
      <c r="AE70" s="620"/>
      <c r="AF70" s="620"/>
      <c r="AG70" s="620"/>
      <c r="AH70" s="620"/>
      <c r="AI70" s="620"/>
      <c r="AJ70" s="620"/>
      <c r="AK70" s="620"/>
      <c r="AL70" s="620"/>
      <c r="AM70" s="620"/>
      <c r="AN70" s="620"/>
      <c r="AO70" s="620"/>
    </row>
    <row r="71" spans="2:41">
      <c r="B71" s="620"/>
      <c r="C71" s="620"/>
      <c r="D71" s="620"/>
      <c r="E71" s="620"/>
      <c r="F71" s="620"/>
      <c r="G71" s="620"/>
      <c r="H71" s="620"/>
      <c r="I71" s="620"/>
      <c r="J71" s="620"/>
      <c r="K71" s="620"/>
      <c r="M71" s="620"/>
      <c r="N71" s="620"/>
      <c r="O71" s="620"/>
      <c r="P71" s="620"/>
      <c r="Q71" s="620"/>
      <c r="R71" s="620"/>
      <c r="S71" s="620"/>
      <c r="T71" s="620"/>
      <c r="W71" s="620"/>
      <c r="X71" s="620"/>
      <c r="Y71" s="620"/>
      <c r="Z71" s="620"/>
      <c r="AA71" s="620"/>
      <c r="AB71" s="620"/>
      <c r="AC71" s="620"/>
      <c r="AD71" s="620"/>
      <c r="AE71" s="620"/>
      <c r="AF71" s="620"/>
      <c r="AG71" s="620"/>
      <c r="AH71" s="620"/>
      <c r="AI71" s="620"/>
      <c r="AJ71" s="620"/>
      <c r="AK71" s="620"/>
      <c r="AL71" s="620"/>
      <c r="AM71" s="620"/>
      <c r="AN71" s="620"/>
      <c r="AO71" s="620"/>
    </row>
    <row r="72" spans="2:41">
      <c r="B72" s="620"/>
      <c r="C72" s="620"/>
      <c r="D72" s="620"/>
      <c r="E72" s="620"/>
      <c r="F72" s="620"/>
      <c r="G72" s="620"/>
      <c r="H72" s="620"/>
      <c r="I72" s="620"/>
      <c r="J72" s="620"/>
      <c r="K72" s="620"/>
      <c r="W72" s="620"/>
    </row>
    <row r="73" spans="2:41">
      <c r="B73" s="620"/>
      <c r="C73" s="620"/>
      <c r="D73" s="620"/>
      <c r="E73" s="620"/>
      <c r="F73" s="620"/>
      <c r="G73" s="620"/>
      <c r="H73" s="620"/>
      <c r="I73" s="620"/>
      <c r="J73" s="620"/>
      <c r="K73" s="620"/>
      <c r="W73" s="620"/>
    </row>
  </sheetData>
  <customSheetViews>
    <customSheetView guid="{A374FC54-96E3-45F0-9C12-8450400C12DF}" scale="140">
      <pane xSplit="1" ySplit="6" topLeftCell="AC39" activePane="bottomRight" state="frozen"/>
      <selection pane="bottomRight" activeCell="AH52" sqref="AH52"/>
      <pageMargins left="0.62992125984252001" right="0.511811023622047" top="0.511811023622047" bottom="0.511811023622047" header="0" footer="0.39370078740157499"/>
      <pageSetup paperSize="132" firstPageNumber="32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H4:H5"/>
    <mergeCell ref="AG1:AI1"/>
    <mergeCell ref="A3:A6"/>
    <mergeCell ref="E4:E5"/>
    <mergeCell ref="I4:I5"/>
    <mergeCell ref="F4:F5"/>
    <mergeCell ref="L4:L5"/>
    <mergeCell ref="J4:J5"/>
    <mergeCell ref="AH3:AM3"/>
    <mergeCell ref="W4:AM4"/>
    <mergeCell ref="K4:K5"/>
    <mergeCell ref="S1:U1"/>
    <mergeCell ref="J1:L1"/>
    <mergeCell ref="M4:O4"/>
    <mergeCell ref="B3:L3"/>
    <mergeCell ref="G4:G5"/>
    <mergeCell ref="U3:U6"/>
    <mergeCell ref="P4:T4"/>
    <mergeCell ref="AO3:AO5"/>
    <mergeCell ref="AO2:AP2"/>
    <mergeCell ref="V3:V6"/>
    <mergeCell ref="W3:AG3"/>
    <mergeCell ref="AP3:AP6"/>
    <mergeCell ref="AN3:AN5"/>
    <mergeCell ref="B57:H57"/>
    <mergeCell ref="B54:K54"/>
    <mergeCell ref="N54:S54"/>
    <mergeCell ref="W54:Z54"/>
    <mergeCell ref="AN1:AP1"/>
    <mergeCell ref="AE1:AF1"/>
    <mergeCell ref="M1:N1"/>
    <mergeCell ref="AC54:AD54"/>
    <mergeCell ref="B55:L56"/>
    <mergeCell ref="N55:T56"/>
    <mergeCell ref="B4:B5"/>
    <mergeCell ref="C4:C5"/>
    <mergeCell ref="A1:D1"/>
    <mergeCell ref="T2:U2"/>
    <mergeCell ref="D4:D5"/>
    <mergeCell ref="M3:T3"/>
  </mergeCells>
  <phoneticPr fontId="0" type="noConversion"/>
  <pageMargins left="0.62992125984252001" right="0.511811023622047" top="0.511811023622047" bottom="0.511811023622047" header="0" footer="0.39370078740157499"/>
  <pageSetup paperSize="448" firstPageNumber="32" orientation="portrait" useFirstPageNumber="1" r:id="rId2"/>
  <headerFooter alignWithMargins="0">
    <oddFooter>&amp;C&amp;"Times New Roman,Regular"&amp;8&amp;P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/>
  <dimension ref="A1:AD51"/>
  <sheetViews>
    <sheetView zoomScale="140" zoomScaleNormal="140" workbookViewId="0">
      <pane xSplit="1" ySplit="6" topLeftCell="P34" activePane="bottomRight" state="frozen"/>
      <selection activeCell="F85" sqref="F85"/>
      <selection pane="topRight" activeCell="F85" sqref="F85"/>
      <selection pane="bottomLeft" activeCell="F85" sqref="F85"/>
      <selection pane="bottomRight" activeCell="AB36" sqref="AB36"/>
    </sheetView>
  </sheetViews>
  <sheetFormatPr defaultColWidth="9.140625" defaultRowHeight="12.75"/>
  <cols>
    <col min="1" max="1" width="9.85546875" style="2" customWidth="1"/>
    <col min="2" max="2" width="10.7109375" style="2" customWidth="1"/>
    <col min="3" max="3" width="10.28515625" style="2" customWidth="1"/>
    <col min="4" max="5" width="11" style="2" customWidth="1"/>
    <col min="6" max="6" width="11.140625" style="2" customWidth="1"/>
    <col min="7" max="7" width="10.85546875" style="2" customWidth="1"/>
    <col min="8" max="8" width="12.7109375" style="2" customWidth="1"/>
    <col min="9" max="10" width="10.7109375" style="2" customWidth="1"/>
    <col min="11" max="11" width="10.28515625" style="2" customWidth="1"/>
    <col min="12" max="12" width="11.140625" style="2" customWidth="1"/>
    <col min="13" max="13" width="11" style="2" customWidth="1"/>
    <col min="14" max="14" width="9.85546875" style="2" customWidth="1"/>
    <col min="15" max="15" width="9.7109375" style="2" customWidth="1"/>
    <col min="16" max="16" width="11.7109375" style="2" customWidth="1"/>
    <col min="17" max="17" width="10.85546875" style="2" customWidth="1"/>
    <col min="18" max="18" width="11.140625" style="2" customWidth="1"/>
    <col min="19" max="19" width="10.85546875" style="2" customWidth="1"/>
    <col min="20" max="20" width="11.140625" style="2" customWidth="1"/>
    <col min="21" max="21" width="10.85546875" style="2" customWidth="1"/>
    <col min="22" max="22" width="11.42578125" style="2" customWidth="1"/>
    <col min="23" max="23" width="11" style="2" customWidth="1"/>
    <col min="24" max="24" width="11.42578125" style="2" customWidth="1"/>
    <col min="25" max="25" width="10.85546875" style="2" customWidth="1"/>
    <col min="26" max="26" width="11.5703125" style="2" customWidth="1"/>
    <col min="27" max="27" width="11" style="2" customWidth="1"/>
    <col min="28" max="28" width="12" style="2" customWidth="1"/>
    <col min="29" max="29" width="9.28515625" style="2" bestFit="1" customWidth="1"/>
    <col min="30" max="16384" width="9.140625" style="2"/>
  </cols>
  <sheetData>
    <row r="1" spans="1:29" s="23" customFormat="1" ht="15.75" customHeight="1">
      <c r="A1" s="2234" t="s">
        <v>118</v>
      </c>
      <c r="B1" s="2234"/>
      <c r="C1" s="2234"/>
      <c r="D1" s="2234"/>
      <c r="E1" s="2234"/>
      <c r="F1" s="2234"/>
      <c r="G1" s="2234"/>
      <c r="H1" s="2231" t="s">
        <v>119</v>
      </c>
      <c r="I1" s="2231"/>
      <c r="J1" s="2231"/>
      <c r="K1" s="2231"/>
      <c r="M1" s="2234" t="s">
        <v>231</v>
      </c>
      <c r="N1" s="2234"/>
      <c r="O1" s="2234" t="s">
        <v>118</v>
      </c>
      <c r="P1" s="2234"/>
      <c r="Q1" s="2234"/>
      <c r="R1" s="2234"/>
      <c r="S1" s="2234"/>
      <c r="T1" s="2234"/>
      <c r="U1" s="2234"/>
      <c r="V1" s="2231" t="s">
        <v>119</v>
      </c>
      <c r="W1" s="2231"/>
      <c r="X1" s="2231"/>
      <c r="Y1" s="2231"/>
      <c r="Z1" s="24"/>
      <c r="AA1" s="2238" t="s">
        <v>290</v>
      </c>
      <c r="AB1" s="2238"/>
      <c r="AC1" s="24"/>
    </row>
    <row r="2" spans="1:29" s="21" customFormat="1" ht="13.5" customHeight="1">
      <c r="A2" s="73"/>
      <c r="P2" s="74"/>
      <c r="Q2" s="74"/>
      <c r="R2" s="74"/>
      <c r="S2" s="74"/>
      <c r="T2" s="75"/>
      <c r="U2" s="75"/>
      <c r="V2" s="75"/>
      <c r="W2" s="75"/>
      <c r="X2" s="75"/>
      <c r="Y2" s="75"/>
      <c r="Z2" s="75"/>
      <c r="AA2" s="75"/>
      <c r="AB2" s="75"/>
      <c r="AC2" s="75"/>
    </row>
    <row r="3" spans="1:29" s="110" customFormat="1" ht="20.25" customHeight="1">
      <c r="A3" s="2235" t="s">
        <v>487</v>
      </c>
      <c r="B3" s="2232" t="s">
        <v>172</v>
      </c>
      <c r="C3" s="2233"/>
      <c r="D3" s="2232" t="s">
        <v>173</v>
      </c>
      <c r="E3" s="2233"/>
      <c r="F3" s="2232" t="s">
        <v>174</v>
      </c>
      <c r="G3" s="2233"/>
      <c r="H3" s="2232" t="s">
        <v>499</v>
      </c>
      <c r="I3" s="2233"/>
      <c r="J3" s="2232" t="s">
        <v>288</v>
      </c>
      <c r="K3" s="2233"/>
      <c r="L3" s="2232" t="s">
        <v>289</v>
      </c>
      <c r="M3" s="2233"/>
      <c r="N3" s="2235" t="s">
        <v>487</v>
      </c>
      <c r="O3" s="2235" t="s">
        <v>487</v>
      </c>
      <c r="P3" s="2232" t="s">
        <v>291</v>
      </c>
      <c r="Q3" s="2233"/>
      <c r="R3" s="2232" t="s">
        <v>292</v>
      </c>
      <c r="S3" s="2233"/>
      <c r="T3" s="2232" t="s">
        <v>293</v>
      </c>
      <c r="U3" s="2233"/>
      <c r="V3" s="2232" t="s">
        <v>111</v>
      </c>
      <c r="W3" s="2233"/>
      <c r="X3" s="2232" t="s">
        <v>294</v>
      </c>
      <c r="Y3" s="2233"/>
      <c r="Z3" s="2232" t="s">
        <v>114</v>
      </c>
      <c r="AA3" s="2233"/>
      <c r="AB3" s="2235" t="s">
        <v>487</v>
      </c>
    </row>
    <row r="4" spans="1:29" s="628" customFormat="1" ht="23.25" customHeight="1">
      <c r="A4" s="2236"/>
      <c r="B4" s="2066" t="s">
        <v>1580</v>
      </c>
      <c r="C4" s="2066" t="s">
        <v>1583</v>
      </c>
      <c r="D4" s="2066" t="s">
        <v>1580</v>
      </c>
      <c r="E4" s="2066" t="s">
        <v>1880</v>
      </c>
      <c r="F4" s="2066" t="s">
        <v>1580</v>
      </c>
      <c r="G4" s="2066" t="s">
        <v>1880</v>
      </c>
      <c r="H4" s="2066" t="s">
        <v>1902</v>
      </c>
      <c r="I4" s="2066" t="s">
        <v>809</v>
      </c>
      <c r="J4" s="2066" t="s">
        <v>1901</v>
      </c>
      <c r="K4" s="2066" t="s">
        <v>809</v>
      </c>
      <c r="L4" s="2066" t="s">
        <v>1580</v>
      </c>
      <c r="M4" s="2066" t="s">
        <v>1582</v>
      </c>
      <c r="N4" s="2236"/>
      <c r="O4" s="2236"/>
      <c r="P4" s="2066" t="s">
        <v>1580</v>
      </c>
      <c r="Q4" s="2066" t="s">
        <v>809</v>
      </c>
      <c r="R4" s="2066" t="s">
        <v>1580</v>
      </c>
      <c r="S4" s="2066" t="s">
        <v>809</v>
      </c>
      <c r="T4" s="2066" t="s">
        <v>1580</v>
      </c>
      <c r="U4" s="2066" t="s">
        <v>809</v>
      </c>
      <c r="V4" s="2066" t="s">
        <v>1580</v>
      </c>
      <c r="W4" s="2066" t="s">
        <v>809</v>
      </c>
      <c r="X4" s="2066" t="s">
        <v>1581</v>
      </c>
      <c r="Y4" s="2066" t="s">
        <v>809</v>
      </c>
      <c r="Z4" s="2066" t="s">
        <v>1580</v>
      </c>
      <c r="AA4" s="2066" t="s">
        <v>809</v>
      </c>
      <c r="AB4" s="2236"/>
    </row>
    <row r="5" spans="1:29" s="628" customFormat="1" ht="21" customHeight="1">
      <c r="A5" s="2237"/>
      <c r="B5" s="2068"/>
      <c r="C5" s="2068"/>
      <c r="D5" s="2068"/>
      <c r="E5" s="2068"/>
      <c r="F5" s="2068"/>
      <c r="G5" s="2068"/>
      <c r="H5" s="2068"/>
      <c r="I5" s="2068"/>
      <c r="J5" s="2068"/>
      <c r="K5" s="2068"/>
      <c r="L5" s="2068"/>
      <c r="M5" s="2068"/>
      <c r="N5" s="2237"/>
      <c r="O5" s="2237"/>
      <c r="P5" s="2068"/>
      <c r="Q5" s="2068"/>
      <c r="R5" s="2068"/>
      <c r="S5" s="2068"/>
      <c r="T5" s="2068"/>
      <c r="U5" s="2068"/>
      <c r="V5" s="2068"/>
      <c r="W5" s="2068"/>
      <c r="X5" s="2068"/>
      <c r="Y5" s="2068"/>
      <c r="Z5" s="2068"/>
      <c r="AA5" s="2068"/>
      <c r="AB5" s="2237"/>
    </row>
    <row r="6" spans="1:29">
      <c r="A6" s="66"/>
      <c r="B6" s="67"/>
      <c r="C6" s="68"/>
      <c r="D6" s="67"/>
      <c r="E6" s="67"/>
      <c r="F6" s="67"/>
      <c r="G6" s="67"/>
      <c r="H6" s="67"/>
      <c r="I6" s="67"/>
      <c r="J6" s="67"/>
      <c r="K6" s="67"/>
      <c r="L6" s="67"/>
      <c r="M6" s="70"/>
      <c r="N6" s="67"/>
      <c r="O6" s="68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8"/>
    </row>
    <row r="7" spans="1:29" s="8" customFormat="1" ht="16.5" customHeight="1">
      <c r="A7" s="585" t="s">
        <v>549</v>
      </c>
      <c r="B7" s="718">
        <v>1791</v>
      </c>
      <c r="C7" s="718">
        <v>4111</v>
      </c>
      <c r="D7" s="718">
        <v>8509</v>
      </c>
      <c r="E7" s="718">
        <v>13824</v>
      </c>
      <c r="F7" s="718">
        <v>6538</v>
      </c>
      <c r="G7" s="718">
        <v>6582</v>
      </c>
      <c r="H7" s="718">
        <v>1245</v>
      </c>
      <c r="I7" s="718">
        <v>1580</v>
      </c>
      <c r="J7" s="718">
        <v>7446</v>
      </c>
      <c r="K7" s="718">
        <v>445</v>
      </c>
      <c r="L7" s="718">
        <v>245</v>
      </c>
      <c r="M7" s="718">
        <v>833</v>
      </c>
      <c r="N7" s="557" t="s">
        <v>549</v>
      </c>
      <c r="O7" s="1159" t="s">
        <v>549</v>
      </c>
      <c r="P7" s="718">
        <v>32</v>
      </c>
      <c r="Q7" s="718">
        <v>133</v>
      </c>
      <c r="R7" s="718">
        <v>168</v>
      </c>
      <c r="S7" s="718">
        <v>512</v>
      </c>
      <c r="T7" s="718">
        <v>38</v>
      </c>
      <c r="U7" s="718">
        <v>89</v>
      </c>
      <c r="V7" s="718">
        <v>52</v>
      </c>
      <c r="W7" s="718">
        <v>118</v>
      </c>
      <c r="X7" s="718">
        <v>964</v>
      </c>
      <c r="Y7" s="718">
        <v>1383</v>
      </c>
      <c r="Z7" s="718">
        <v>13</v>
      </c>
      <c r="AA7" s="718">
        <v>86</v>
      </c>
      <c r="AB7" s="325" t="s">
        <v>549</v>
      </c>
    </row>
    <row r="8" spans="1:29" s="8" customFormat="1" ht="16.5" customHeight="1">
      <c r="A8" s="243" t="s">
        <v>550</v>
      </c>
      <c r="B8" s="68">
        <v>1676</v>
      </c>
      <c r="C8" s="68">
        <v>3840</v>
      </c>
      <c r="D8" s="68">
        <v>8790</v>
      </c>
      <c r="E8" s="68">
        <v>13953</v>
      </c>
      <c r="F8" s="68">
        <v>7221</v>
      </c>
      <c r="G8" s="68">
        <v>6804</v>
      </c>
      <c r="H8" s="68">
        <v>1369</v>
      </c>
      <c r="I8" s="68">
        <v>1732</v>
      </c>
      <c r="J8" s="68">
        <v>7165</v>
      </c>
      <c r="K8" s="68">
        <v>431</v>
      </c>
      <c r="L8" s="68">
        <v>246</v>
      </c>
      <c r="M8" s="68">
        <v>830</v>
      </c>
      <c r="N8" s="619" t="s">
        <v>550</v>
      </c>
      <c r="O8" s="243" t="s">
        <v>550</v>
      </c>
      <c r="P8" s="68">
        <v>32</v>
      </c>
      <c r="Q8" s="68">
        <v>136</v>
      </c>
      <c r="R8" s="68">
        <v>170</v>
      </c>
      <c r="S8" s="68">
        <v>509</v>
      </c>
      <c r="T8" s="68">
        <v>39</v>
      </c>
      <c r="U8" s="68">
        <v>90</v>
      </c>
      <c r="V8" s="68">
        <v>48</v>
      </c>
      <c r="W8" s="68">
        <v>119</v>
      </c>
      <c r="X8" s="68">
        <v>739</v>
      </c>
      <c r="Y8" s="68">
        <v>1133</v>
      </c>
      <c r="Z8" s="68">
        <v>13</v>
      </c>
      <c r="AA8" s="68">
        <v>86</v>
      </c>
      <c r="AB8" s="619" t="s">
        <v>550</v>
      </c>
    </row>
    <row r="9" spans="1:29" s="8" customFormat="1" ht="16.5" customHeight="1">
      <c r="A9" s="1159" t="s">
        <v>551</v>
      </c>
      <c r="B9" s="718">
        <v>1871</v>
      </c>
      <c r="C9" s="718">
        <v>3935</v>
      </c>
      <c r="D9" s="718">
        <v>9552</v>
      </c>
      <c r="E9" s="718">
        <v>14399</v>
      </c>
      <c r="F9" s="718">
        <v>7460</v>
      </c>
      <c r="G9" s="718">
        <v>6876</v>
      </c>
      <c r="H9" s="718">
        <v>1454</v>
      </c>
      <c r="I9" s="718">
        <v>1749</v>
      </c>
      <c r="J9" s="718">
        <v>7520</v>
      </c>
      <c r="K9" s="718">
        <v>434</v>
      </c>
      <c r="L9" s="718">
        <v>249</v>
      </c>
      <c r="M9" s="718">
        <v>831</v>
      </c>
      <c r="N9" s="325" t="s">
        <v>551</v>
      </c>
      <c r="O9" s="1159" t="s">
        <v>551</v>
      </c>
      <c r="P9" s="718">
        <v>34</v>
      </c>
      <c r="Q9" s="718">
        <v>136</v>
      </c>
      <c r="R9" s="718">
        <v>171</v>
      </c>
      <c r="S9" s="718">
        <v>510</v>
      </c>
      <c r="T9" s="718">
        <v>38</v>
      </c>
      <c r="U9" s="718">
        <v>86</v>
      </c>
      <c r="V9" s="718">
        <v>53</v>
      </c>
      <c r="W9" s="718">
        <v>119</v>
      </c>
      <c r="X9" s="718">
        <v>883</v>
      </c>
      <c r="Y9" s="718">
        <v>1253</v>
      </c>
      <c r="Z9" s="718">
        <v>14</v>
      </c>
      <c r="AA9" s="718">
        <v>91</v>
      </c>
      <c r="AB9" s="325" t="s">
        <v>551</v>
      </c>
    </row>
    <row r="10" spans="1:29" s="8" customFormat="1" ht="16.5" customHeight="1">
      <c r="A10" s="243" t="s">
        <v>552</v>
      </c>
      <c r="B10" s="68">
        <v>1875</v>
      </c>
      <c r="C10" s="68">
        <v>3868</v>
      </c>
      <c r="D10" s="68">
        <v>8850</v>
      </c>
      <c r="E10" s="68">
        <v>14353</v>
      </c>
      <c r="F10" s="68">
        <v>8137</v>
      </c>
      <c r="G10" s="68">
        <v>7138</v>
      </c>
      <c r="H10" s="68">
        <v>1803</v>
      </c>
      <c r="I10" s="68">
        <v>1988</v>
      </c>
      <c r="J10" s="68">
        <v>7379</v>
      </c>
      <c r="K10" s="68">
        <v>433</v>
      </c>
      <c r="L10" s="68">
        <v>254</v>
      </c>
      <c r="M10" s="68">
        <v>849</v>
      </c>
      <c r="N10" s="619" t="s">
        <v>552</v>
      </c>
      <c r="O10" s="243" t="s">
        <v>552</v>
      </c>
      <c r="P10" s="68">
        <v>34</v>
      </c>
      <c r="Q10" s="68">
        <v>135</v>
      </c>
      <c r="R10" s="68">
        <v>163</v>
      </c>
      <c r="S10" s="68">
        <v>508</v>
      </c>
      <c r="T10" s="68">
        <v>37</v>
      </c>
      <c r="U10" s="68">
        <v>81</v>
      </c>
      <c r="V10" s="68">
        <v>51</v>
      </c>
      <c r="W10" s="68">
        <v>120</v>
      </c>
      <c r="X10" s="68">
        <v>1057</v>
      </c>
      <c r="Y10" s="68">
        <v>1427</v>
      </c>
      <c r="Z10" s="68">
        <v>14</v>
      </c>
      <c r="AA10" s="68">
        <v>86</v>
      </c>
      <c r="AB10" s="619" t="s">
        <v>552</v>
      </c>
    </row>
    <row r="11" spans="1:29" s="8" customFormat="1" ht="16.5" customHeight="1">
      <c r="A11" s="1159" t="s">
        <v>553</v>
      </c>
      <c r="B11" s="718">
        <v>1617</v>
      </c>
      <c r="C11" s="718">
        <v>3519</v>
      </c>
      <c r="D11" s="718">
        <v>7736</v>
      </c>
      <c r="E11" s="718">
        <v>12762</v>
      </c>
      <c r="F11" s="718">
        <v>10552</v>
      </c>
      <c r="G11" s="718">
        <v>8715</v>
      </c>
      <c r="H11" s="718">
        <v>1988</v>
      </c>
      <c r="I11" s="718">
        <v>2180</v>
      </c>
      <c r="J11" s="718">
        <v>6951</v>
      </c>
      <c r="K11" s="718">
        <v>430</v>
      </c>
      <c r="L11" s="718">
        <v>253</v>
      </c>
      <c r="M11" s="718">
        <v>850</v>
      </c>
      <c r="N11" s="325" t="s">
        <v>553</v>
      </c>
      <c r="O11" s="1159" t="s">
        <v>553</v>
      </c>
      <c r="P11" s="718">
        <v>34</v>
      </c>
      <c r="Q11" s="718">
        <v>137</v>
      </c>
      <c r="R11" s="718">
        <v>165</v>
      </c>
      <c r="S11" s="718">
        <v>508</v>
      </c>
      <c r="T11" s="718">
        <v>29</v>
      </c>
      <c r="U11" s="718">
        <v>78</v>
      </c>
      <c r="V11" s="718">
        <v>56</v>
      </c>
      <c r="W11" s="718">
        <v>120</v>
      </c>
      <c r="X11" s="718">
        <v>812</v>
      </c>
      <c r="Y11" s="718">
        <v>1181</v>
      </c>
      <c r="Z11" s="718" t="s">
        <v>586</v>
      </c>
      <c r="AA11" s="718" t="s">
        <v>586</v>
      </c>
      <c r="AB11" s="325" t="s">
        <v>553</v>
      </c>
    </row>
    <row r="12" spans="1:29" s="8" customFormat="1" ht="16.5" customHeight="1">
      <c r="A12" s="243" t="s">
        <v>554</v>
      </c>
      <c r="B12" s="68">
        <v>1734</v>
      </c>
      <c r="C12" s="68">
        <v>3339</v>
      </c>
      <c r="D12" s="68">
        <v>10305</v>
      </c>
      <c r="E12" s="68">
        <v>14097</v>
      </c>
      <c r="F12" s="68">
        <v>11027</v>
      </c>
      <c r="G12" s="68">
        <v>9024</v>
      </c>
      <c r="H12" s="68">
        <v>1840</v>
      </c>
      <c r="I12" s="68">
        <v>2057</v>
      </c>
      <c r="J12" s="68">
        <v>6910</v>
      </c>
      <c r="K12" s="68">
        <v>421</v>
      </c>
      <c r="L12" s="68">
        <v>249</v>
      </c>
      <c r="M12" s="68">
        <v>812</v>
      </c>
      <c r="N12" s="619" t="s">
        <v>554</v>
      </c>
      <c r="O12" s="243" t="s">
        <v>554</v>
      </c>
      <c r="P12" s="68">
        <v>36</v>
      </c>
      <c r="Q12" s="68">
        <v>136</v>
      </c>
      <c r="R12" s="68">
        <v>128</v>
      </c>
      <c r="S12" s="68">
        <v>412</v>
      </c>
      <c r="T12" s="68">
        <v>35</v>
      </c>
      <c r="U12" s="68">
        <v>88</v>
      </c>
      <c r="V12" s="68">
        <v>46</v>
      </c>
      <c r="W12" s="68">
        <v>120</v>
      </c>
      <c r="X12" s="68">
        <v>711</v>
      </c>
      <c r="Y12" s="68">
        <v>1008</v>
      </c>
      <c r="Z12" s="68" t="s">
        <v>586</v>
      </c>
      <c r="AA12" s="68" t="s">
        <v>586</v>
      </c>
      <c r="AB12" s="619" t="s">
        <v>554</v>
      </c>
    </row>
    <row r="13" spans="1:29" s="8" customFormat="1" ht="16.5" customHeight="1">
      <c r="A13" s="1159" t="s">
        <v>555</v>
      </c>
      <c r="B13" s="718">
        <v>1916</v>
      </c>
      <c r="C13" s="718">
        <v>3275</v>
      </c>
      <c r="D13" s="718">
        <v>11249</v>
      </c>
      <c r="E13" s="718">
        <v>14110</v>
      </c>
      <c r="F13" s="718">
        <v>11921</v>
      </c>
      <c r="G13" s="718">
        <v>9296</v>
      </c>
      <c r="H13" s="718">
        <v>1673</v>
      </c>
      <c r="I13" s="718">
        <v>1909</v>
      </c>
      <c r="J13" s="718">
        <v>6742</v>
      </c>
      <c r="K13" s="718">
        <v>417</v>
      </c>
      <c r="L13" s="718">
        <v>238</v>
      </c>
      <c r="M13" s="718">
        <v>785</v>
      </c>
      <c r="N13" s="325" t="s">
        <v>555</v>
      </c>
      <c r="O13" s="1159" t="s">
        <v>555</v>
      </c>
      <c r="P13" s="718">
        <v>34</v>
      </c>
      <c r="Q13" s="718">
        <v>130</v>
      </c>
      <c r="R13" s="718">
        <v>126</v>
      </c>
      <c r="S13" s="718">
        <v>406</v>
      </c>
      <c r="T13" s="718">
        <v>37</v>
      </c>
      <c r="U13" s="718">
        <v>74</v>
      </c>
      <c r="V13" s="718">
        <v>52</v>
      </c>
      <c r="W13" s="718">
        <v>120</v>
      </c>
      <c r="X13" s="718">
        <v>821</v>
      </c>
      <c r="Y13" s="718">
        <v>1107</v>
      </c>
      <c r="Z13" s="718">
        <v>27</v>
      </c>
      <c r="AA13" s="718">
        <v>40</v>
      </c>
      <c r="AB13" s="325" t="s">
        <v>555</v>
      </c>
    </row>
    <row r="14" spans="1:29" s="8" customFormat="1" ht="16.5" customHeight="1">
      <c r="A14" s="243" t="s">
        <v>556</v>
      </c>
      <c r="B14" s="68">
        <v>1808</v>
      </c>
      <c r="C14" s="68">
        <v>3069</v>
      </c>
      <c r="D14" s="68">
        <v>10726</v>
      </c>
      <c r="E14" s="68">
        <v>13955</v>
      </c>
      <c r="F14" s="68">
        <v>11766</v>
      </c>
      <c r="G14" s="68">
        <v>9319</v>
      </c>
      <c r="H14" s="68">
        <v>1606</v>
      </c>
      <c r="I14" s="68">
        <v>1833</v>
      </c>
      <c r="J14" s="68">
        <v>6502</v>
      </c>
      <c r="K14" s="68">
        <v>402</v>
      </c>
      <c r="L14" s="68">
        <v>233</v>
      </c>
      <c r="M14" s="68">
        <v>749</v>
      </c>
      <c r="N14" s="619" t="s">
        <v>556</v>
      </c>
      <c r="O14" s="243" t="s">
        <v>556</v>
      </c>
      <c r="P14" s="68">
        <v>34</v>
      </c>
      <c r="Q14" s="68">
        <v>112</v>
      </c>
      <c r="R14" s="68">
        <v>115</v>
      </c>
      <c r="S14" s="68">
        <v>388</v>
      </c>
      <c r="T14" s="68">
        <v>38</v>
      </c>
      <c r="U14" s="68">
        <v>75</v>
      </c>
      <c r="V14" s="68">
        <v>52</v>
      </c>
      <c r="W14" s="68">
        <v>122</v>
      </c>
      <c r="X14" s="68">
        <v>859</v>
      </c>
      <c r="Y14" s="68">
        <v>1128</v>
      </c>
      <c r="Z14" s="68">
        <v>30</v>
      </c>
      <c r="AA14" s="68">
        <v>42</v>
      </c>
      <c r="AB14" s="619" t="s">
        <v>556</v>
      </c>
    </row>
    <row r="15" spans="1:29" s="8" customFormat="1" ht="16.5" customHeight="1">
      <c r="A15" s="1159" t="s">
        <v>557</v>
      </c>
      <c r="B15" s="718">
        <v>1850</v>
      </c>
      <c r="C15" s="718">
        <v>3073</v>
      </c>
      <c r="D15" s="718">
        <v>11115</v>
      </c>
      <c r="E15" s="718">
        <v>14041</v>
      </c>
      <c r="F15" s="718">
        <v>12222</v>
      </c>
      <c r="G15" s="718">
        <v>9501</v>
      </c>
      <c r="H15" s="718">
        <v>1507</v>
      </c>
      <c r="I15" s="718">
        <v>1746</v>
      </c>
      <c r="J15" s="718">
        <v>6838</v>
      </c>
      <c r="K15" s="718">
        <v>410</v>
      </c>
      <c r="L15" s="718">
        <v>218</v>
      </c>
      <c r="M15" s="718">
        <v>735</v>
      </c>
      <c r="N15" s="325" t="s">
        <v>557</v>
      </c>
      <c r="O15" s="1159" t="s">
        <v>557</v>
      </c>
      <c r="P15" s="718">
        <v>30</v>
      </c>
      <c r="Q15" s="718">
        <v>109</v>
      </c>
      <c r="R15" s="718">
        <v>116</v>
      </c>
      <c r="S15" s="718">
        <v>381</v>
      </c>
      <c r="T15" s="718">
        <v>38</v>
      </c>
      <c r="U15" s="718">
        <v>75</v>
      </c>
      <c r="V15" s="718">
        <v>58</v>
      </c>
      <c r="W15" s="718">
        <v>126</v>
      </c>
      <c r="X15" s="718">
        <v>800</v>
      </c>
      <c r="Y15" s="718">
        <v>1079</v>
      </c>
      <c r="Z15" s="718">
        <v>24</v>
      </c>
      <c r="AA15" s="718">
        <v>38</v>
      </c>
      <c r="AB15" s="325" t="s">
        <v>557</v>
      </c>
    </row>
    <row r="16" spans="1:29" s="8" customFormat="1" ht="16.5" customHeight="1">
      <c r="A16" s="243" t="s">
        <v>558</v>
      </c>
      <c r="B16" s="68">
        <v>1832</v>
      </c>
      <c r="C16" s="68">
        <v>2971</v>
      </c>
      <c r="D16" s="68">
        <v>11521</v>
      </c>
      <c r="E16" s="68">
        <v>14030</v>
      </c>
      <c r="F16" s="68">
        <v>12837</v>
      </c>
      <c r="G16" s="68">
        <v>9745</v>
      </c>
      <c r="H16" s="68">
        <v>1253</v>
      </c>
      <c r="I16" s="68">
        <v>1586</v>
      </c>
      <c r="J16" s="68">
        <v>6484</v>
      </c>
      <c r="K16" s="68">
        <v>404</v>
      </c>
      <c r="L16" s="68">
        <v>211</v>
      </c>
      <c r="M16" s="68">
        <v>690</v>
      </c>
      <c r="N16" s="619" t="s">
        <v>558</v>
      </c>
      <c r="O16" s="243" t="s">
        <v>558</v>
      </c>
      <c r="P16" s="68">
        <v>30</v>
      </c>
      <c r="Q16" s="68">
        <v>108</v>
      </c>
      <c r="R16" s="68">
        <v>122</v>
      </c>
      <c r="S16" s="68">
        <v>382</v>
      </c>
      <c r="T16" s="68">
        <v>39</v>
      </c>
      <c r="U16" s="68">
        <v>75</v>
      </c>
      <c r="V16" s="68">
        <v>57</v>
      </c>
      <c r="W16" s="68">
        <v>126</v>
      </c>
      <c r="X16" s="68">
        <v>794</v>
      </c>
      <c r="Y16" s="68">
        <v>1008</v>
      </c>
      <c r="Z16" s="68">
        <v>78</v>
      </c>
      <c r="AA16" s="68">
        <v>38</v>
      </c>
      <c r="AB16" s="619" t="s">
        <v>558</v>
      </c>
    </row>
    <row r="17" spans="1:30" s="8" customFormat="1" ht="16.5" customHeight="1">
      <c r="A17" s="1159" t="s">
        <v>559</v>
      </c>
      <c r="B17" s="718">
        <v>1500</v>
      </c>
      <c r="C17" s="718">
        <v>2532</v>
      </c>
      <c r="D17" s="718">
        <v>9820</v>
      </c>
      <c r="E17" s="718">
        <v>13047</v>
      </c>
      <c r="F17" s="718">
        <v>13837</v>
      </c>
      <c r="G17" s="718">
        <v>10042</v>
      </c>
      <c r="H17" s="718">
        <v>976</v>
      </c>
      <c r="I17" s="718">
        <v>1380</v>
      </c>
      <c r="J17" s="718">
        <v>6423</v>
      </c>
      <c r="K17" s="718">
        <v>388</v>
      </c>
      <c r="L17" s="718">
        <v>191</v>
      </c>
      <c r="M17" s="718">
        <v>597</v>
      </c>
      <c r="N17" s="325" t="s">
        <v>559</v>
      </c>
      <c r="O17" s="1159" t="s">
        <v>559</v>
      </c>
      <c r="P17" s="718">
        <v>18</v>
      </c>
      <c r="Q17" s="718">
        <v>60</v>
      </c>
      <c r="R17" s="718">
        <v>121</v>
      </c>
      <c r="S17" s="718">
        <v>380</v>
      </c>
      <c r="T17" s="718">
        <v>38</v>
      </c>
      <c r="U17" s="718">
        <v>78</v>
      </c>
      <c r="V17" s="718">
        <v>58</v>
      </c>
      <c r="W17" s="718">
        <v>132</v>
      </c>
      <c r="X17" s="718">
        <v>1035</v>
      </c>
      <c r="Y17" s="718">
        <v>965</v>
      </c>
      <c r="Z17" s="718">
        <v>3</v>
      </c>
      <c r="AA17" s="718">
        <v>4</v>
      </c>
      <c r="AB17" s="325" t="s">
        <v>559</v>
      </c>
    </row>
    <row r="18" spans="1:30" s="8" customFormat="1" ht="16.5" customHeight="1">
      <c r="A18" s="243" t="s">
        <v>564</v>
      </c>
      <c r="B18" s="68">
        <v>1754</v>
      </c>
      <c r="C18" s="68">
        <v>2556</v>
      </c>
      <c r="D18" s="68">
        <v>10810</v>
      </c>
      <c r="E18" s="68">
        <v>13416</v>
      </c>
      <c r="F18" s="68">
        <v>13975</v>
      </c>
      <c r="G18" s="68">
        <v>10047</v>
      </c>
      <c r="H18" s="68">
        <v>735</v>
      </c>
      <c r="I18" s="68">
        <v>1184</v>
      </c>
      <c r="J18" s="68">
        <v>5511</v>
      </c>
      <c r="K18" s="68">
        <v>377</v>
      </c>
      <c r="L18" s="68">
        <v>183</v>
      </c>
      <c r="M18" s="68">
        <v>536</v>
      </c>
      <c r="N18" s="619" t="s">
        <v>564</v>
      </c>
      <c r="O18" s="1158" t="s">
        <v>564</v>
      </c>
      <c r="P18" s="218">
        <v>17</v>
      </c>
      <c r="Q18" s="218">
        <v>55</v>
      </c>
      <c r="R18" s="218">
        <v>115</v>
      </c>
      <c r="S18" s="218">
        <v>333</v>
      </c>
      <c r="T18" s="218">
        <v>43</v>
      </c>
      <c r="U18" s="218">
        <v>78</v>
      </c>
      <c r="V18" s="218">
        <v>58</v>
      </c>
      <c r="W18" s="218">
        <v>130</v>
      </c>
      <c r="X18" s="219">
        <v>838</v>
      </c>
      <c r="Y18" s="219">
        <v>993</v>
      </c>
      <c r="Z18" s="218">
        <v>18</v>
      </c>
      <c r="AA18" s="218">
        <v>26</v>
      </c>
      <c r="AB18" s="258" t="s">
        <v>564</v>
      </c>
    </row>
    <row r="19" spans="1:30" s="8" customFormat="1" ht="16.5" customHeight="1">
      <c r="A19" s="1159" t="s">
        <v>573</v>
      </c>
      <c r="B19" s="718">
        <v>1512</v>
      </c>
      <c r="C19" s="718">
        <v>2238</v>
      </c>
      <c r="D19" s="718">
        <v>10841</v>
      </c>
      <c r="E19" s="718">
        <v>13382</v>
      </c>
      <c r="F19" s="718">
        <v>14965</v>
      </c>
      <c r="G19" s="718">
        <v>10522</v>
      </c>
      <c r="H19" s="718">
        <v>737</v>
      </c>
      <c r="I19" s="718">
        <v>988</v>
      </c>
      <c r="J19" s="718">
        <v>5770</v>
      </c>
      <c r="K19" s="718">
        <v>371</v>
      </c>
      <c r="L19" s="718">
        <v>189</v>
      </c>
      <c r="M19" s="718">
        <v>520</v>
      </c>
      <c r="N19" s="325" t="s">
        <v>573</v>
      </c>
      <c r="O19" s="1159" t="s">
        <v>573</v>
      </c>
      <c r="P19" s="718">
        <v>19</v>
      </c>
      <c r="Q19" s="718">
        <v>60</v>
      </c>
      <c r="R19" s="718">
        <v>117</v>
      </c>
      <c r="S19" s="718">
        <v>340</v>
      </c>
      <c r="T19" s="718">
        <v>39</v>
      </c>
      <c r="U19" s="718">
        <v>76</v>
      </c>
      <c r="V19" s="294">
        <v>58</v>
      </c>
      <c r="W19" s="294">
        <v>129</v>
      </c>
      <c r="X19" s="718">
        <v>879</v>
      </c>
      <c r="Y19" s="718">
        <v>1034</v>
      </c>
      <c r="Z19" s="718">
        <v>18</v>
      </c>
      <c r="AA19" s="718">
        <v>25</v>
      </c>
      <c r="AB19" s="325" t="s">
        <v>573</v>
      </c>
    </row>
    <row r="20" spans="1:30" s="9" customFormat="1" ht="16.5" customHeight="1">
      <c r="A20" s="1158" t="s">
        <v>333</v>
      </c>
      <c r="B20" s="218">
        <v>1507</v>
      </c>
      <c r="C20" s="218">
        <v>2270</v>
      </c>
      <c r="D20" s="218">
        <v>9662</v>
      </c>
      <c r="E20" s="218">
        <v>12474</v>
      </c>
      <c r="F20" s="218">
        <v>17762</v>
      </c>
      <c r="G20" s="218">
        <v>11386</v>
      </c>
      <c r="H20" s="218">
        <v>844</v>
      </c>
      <c r="I20" s="218">
        <v>958</v>
      </c>
      <c r="J20" s="218">
        <v>4984</v>
      </c>
      <c r="K20" s="218">
        <v>320</v>
      </c>
      <c r="L20" s="219">
        <v>228</v>
      </c>
      <c r="M20" s="219">
        <v>577</v>
      </c>
      <c r="N20" s="258" t="s">
        <v>333</v>
      </c>
      <c r="O20" s="1158" t="s">
        <v>333</v>
      </c>
      <c r="P20" s="218">
        <v>21</v>
      </c>
      <c r="Q20" s="218">
        <v>60</v>
      </c>
      <c r="R20" s="219">
        <v>72</v>
      </c>
      <c r="S20" s="219">
        <v>179</v>
      </c>
      <c r="T20" s="218">
        <v>40</v>
      </c>
      <c r="U20" s="218">
        <v>72</v>
      </c>
      <c r="V20" s="219">
        <v>59</v>
      </c>
      <c r="W20" s="219">
        <v>133</v>
      </c>
      <c r="X20" s="218">
        <v>832</v>
      </c>
      <c r="Y20" s="218">
        <v>1089</v>
      </c>
      <c r="Z20" s="219">
        <v>15</v>
      </c>
      <c r="AA20" s="219">
        <v>22</v>
      </c>
      <c r="AB20" s="258" t="s">
        <v>333</v>
      </c>
    </row>
    <row r="21" spans="1:30" s="9" customFormat="1" ht="16.5" customHeight="1">
      <c r="A21" s="1159" t="s">
        <v>85</v>
      </c>
      <c r="B21" s="718">
        <v>1895</v>
      </c>
      <c r="C21" s="718">
        <v>2633</v>
      </c>
      <c r="D21" s="718">
        <v>11613</v>
      </c>
      <c r="E21" s="718">
        <v>13585</v>
      </c>
      <c r="F21" s="718">
        <v>17809</v>
      </c>
      <c r="G21" s="718">
        <v>11654</v>
      </c>
      <c r="H21" s="718">
        <v>849</v>
      </c>
      <c r="I21" s="718">
        <v>975</v>
      </c>
      <c r="J21" s="718">
        <v>5232</v>
      </c>
      <c r="K21" s="718">
        <v>312</v>
      </c>
      <c r="L21" s="718">
        <v>228</v>
      </c>
      <c r="M21" s="718">
        <v>578</v>
      </c>
      <c r="N21" s="325" t="s">
        <v>85</v>
      </c>
      <c r="O21" s="1159" t="s">
        <v>85</v>
      </c>
      <c r="P21" s="718">
        <v>18</v>
      </c>
      <c r="Q21" s="718">
        <v>54</v>
      </c>
      <c r="R21" s="718">
        <v>61</v>
      </c>
      <c r="S21" s="718">
        <v>175</v>
      </c>
      <c r="T21" s="718">
        <v>40</v>
      </c>
      <c r="U21" s="718">
        <v>74</v>
      </c>
      <c r="V21" s="718">
        <v>59</v>
      </c>
      <c r="W21" s="718">
        <v>134</v>
      </c>
      <c r="X21" s="718">
        <v>842</v>
      </c>
      <c r="Y21" s="718">
        <v>1039</v>
      </c>
      <c r="Z21" s="718">
        <v>12</v>
      </c>
      <c r="AA21" s="718">
        <v>18</v>
      </c>
      <c r="AB21" s="325" t="s">
        <v>85</v>
      </c>
    </row>
    <row r="22" spans="1:30" s="9" customFormat="1" ht="16.5" customHeight="1">
      <c r="A22" s="1158" t="s">
        <v>81</v>
      </c>
      <c r="B22" s="218">
        <v>1709</v>
      </c>
      <c r="C22" s="218">
        <v>2431</v>
      </c>
      <c r="D22" s="218">
        <v>12207</v>
      </c>
      <c r="E22" s="218">
        <v>13993</v>
      </c>
      <c r="F22" s="218">
        <v>18059</v>
      </c>
      <c r="G22" s="218">
        <v>11631</v>
      </c>
      <c r="H22" s="218">
        <v>901</v>
      </c>
      <c r="I22" s="218">
        <v>930</v>
      </c>
      <c r="J22" s="218">
        <v>4491</v>
      </c>
      <c r="K22" s="218">
        <v>290</v>
      </c>
      <c r="L22" s="218">
        <v>222</v>
      </c>
      <c r="M22" s="218">
        <v>608</v>
      </c>
      <c r="N22" s="258" t="s">
        <v>81</v>
      </c>
      <c r="O22" s="1158" t="s">
        <v>81</v>
      </c>
      <c r="P22" s="218">
        <v>20</v>
      </c>
      <c r="Q22" s="218">
        <v>57</v>
      </c>
      <c r="R22" s="218">
        <v>71</v>
      </c>
      <c r="S22" s="218">
        <v>191</v>
      </c>
      <c r="T22" s="218">
        <v>55</v>
      </c>
      <c r="U22" s="218">
        <v>95</v>
      </c>
      <c r="V22" s="218">
        <v>68</v>
      </c>
      <c r="W22" s="218">
        <v>136</v>
      </c>
      <c r="X22" s="218">
        <v>916</v>
      </c>
      <c r="Y22" s="218">
        <v>1029</v>
      </c>
      <c r="Z22" s="218">
        <v>20</v>
      </c>
      <c r="AA22" s="218">
        <v>24</v>
      </c>
      <c r="AB22" s="258" t="s">
        <v>81</v>
      </c>
    </row>
    <row r="23" spans="1:30" s="8" customFormat="1" ht="16.5" customHeight="1">
      <c r="A23" s="1159" t="s">
        <v>190</v>
      </c>
      <c r="B23" s="718">
        <v>2133</v>
      </c>
      <c r="C23" s="718">
        <v>2750</v>
      </c>
      <c r="D23" s="294">
        <v>12792</v>
      </c>
      <c r="E23" s="294">
        <v>13951</v>
      </c>
      <c r="F23" s="294">
        <v>18617</v>
      </c>
      <c r="G23" s="294">
        <v>11788</v>
      </c>
      <c r="H23" s="294">
        <v>972</v>
      </c>
      <c r="I23" s="294">
        <v>923</v>
      </c>
      <c r="J23" s="294">
        <v>4671</v>
      </c>
      <c r="K23" s="294">
        <v>287</v>
      </c>
      <c r="L23" s="294">
        <v>246</v>
      </c>
      <c r="M23" s="294">
        <v>623</v>
      </c>
      <c r="N23" s="355" t="s">
        <v>190</v>
      </c>
      <c r="O23" s="326" t="s">
        <v>190</v>
      </c>
      <c r="P23" s="294">
        <v>19</v>
      </c>
      <c r="Q23" s="294">
        <v>68</v>
      </c>
      <c r="R23" s="294">
        <v>80</v>
      </c>
      <c r="S23" s="294">
        <v>205</v>
      </c>
      <c r="T23" s="294">
        <v>79</v>
      </c>
      <c r="U23" s="294">
        <v>121</v>
      </c>
      <c r="V23" s="294">
        <v>61</v>
      </c>
      <c r="W23" s="294">
        <v>140</v>
      </c>
      <c r="X23" s="294">
        <v>1511</v>
      </c>
      <c r="Y23" s="294">
        <v>1751</v>
      </c>
      <c r="Z23" s="294">
        <v>14</v>
      </c>
      <c r="AA23" s="294">
        <v>24</v>
      </c>
      <c r="AB23" s="355" t="s">
        <v>190</v>
      </c>
    </row>
    <row r="24" spans="1:30" s="8" customFormat="1" ht="16.5" customHeight="1">
      <c r="A24" s="1158" t="s">
        <v>731</v>
      </c>
      <c r="B24" s="218">
        <v>2332</v>
      </c>
      <c r="C24" s="218">
        <v>2812</v>
      </c>
      <c r="D24" s="255">
        <v>12798</v>
      </c>
      <c r="E24" s="255">
        <v>13789</v>
      </c>
      <c r="F24" s="255">
        <v>18759</v>
      </c>
      <c r="G24" s="255">
        <v>11886</v>
      </c>
      <c r="H24" s="255">
        <v>995</v>
      </c>
      <c r="I24" s="255">
        <v>885</v>
      </c>
      <c r="J24" s="255">
        <v>4603</v>
      </c>
      <c r="K24" s="255">
        <v>279</v>
      </c>
      <c r="L24" s="255">
        <v>262</v>
      </c>
      <c r="M24" s="255">
        <v>682</v>
      </c>
      <c r="N24" s="379" t="s">
        <v>731</v>
      </c>
      <c r="O24" s="253" t="s">
        <v>731</v>
      </c>
      <c r="P24" s="255">
        <v>26</v>
      </c>
      <c r="Q24" s="255">
        <v>91</v>
      </c>
      <c r="R24" s="255">
        <v>80</v>
      </c>
      <c r="S24" s="255">
        <v>213</v>
      </c>
      <c r="T24" s="255">
        <v>85</v>
      </c>
      <c r="U24" s="255">
        <v>126</v>
      </c>
      <c r="V24" s="255">
        <v>61</v>
      </c>
      <c r="W24" s="255">
        <v>143</v>
      </c>
      <c r="X24" s="255">
        <v>1441</v>
      </c>
      <c r="Y24" s="255">
        <v>1878</v>
      </c>
      <c r="Z24" s="255">
        <v>16</v>
      </c>
      <c r="AA24" s="255">
        <v>25</v>
      </c>
      <c r="AB24" s="379" t="s">
        <v>731</v>
      </c>
    </row>
    <row r="25" spans="1:30" s="8" customFormat="1" ht="16.5" customHeight="1">
      <c r="A25" s="1159" t="s">
        <v>840</v>
      </c>
      <c r="B25" s="718">
        <v>2158</v>
      </c>
      <c r="C25" s="718">
        <v>2602</v>
      </c>
      <c r="D25" s="294">
        <v>12897</v>
      </c>
      <c r="E25" s="294">
        <v>13863</v>
      </c>
      <c r="F25" s="294">
        <v>18778</v>
      </c>
      <c r="G25" s="294">
        <v>11763</v>
      </c>
      <c r="H25" s="294">
        <v>1255</v>
      </c>
      <c r="I25" s="294">
        <v>1029</v>
      </c>
      <c r="J25" s="294">
        <v>4469</v>
      </c>
      <c r="K25" s="294">
        <v>270</v>
      </c>
      <c r="L25" s="294">
        <v>294</v>
      </c>
      <c r="M25" s="294">
        <v>728</v>
      </c>
      <c r="N25" s="355" t="s">
        <v>840</v>
      </c>
      <c r="O25" s="326" t="s">
        <v>840</v>
      </c>
      <c r="P25" s="294">
        <v>25</v>
      </c>
      <c r="Q25" s="294">
        <v>87</v>
      </c>
      <c r="R25" s="294">
        <v>93</v>
      </c>
      <c r="S25" s="294">
        <v>222</v>
      </c>
      <c r="T25" s="294">
        <v>79</v>
      </c>
      <c r="U25" s="294">
        <v>119</v>
      </c>
      <c r="V25" s="294">
        <v>63</v>
      </c>
      <c r="W25" s="294">
        <v>144</v>
      </c>
      <c r="X25" s="294">
        <v>1370</v>
      </c>
      <c r="Y25" s="294">
        <v>1683</v>
      </c>
      <c r="Z25" s="294">
        <v>20</v>
      </c>
      <c r="AA25" s="294">
        <v>31</v>
      </c>
      <c r="AB25" s="355" t="s">
        <v>840</v>
      </c>
    </row>
    <row r="26" spans="1:30" s="8" customFormat="1" ht="16.5" customHeight="1">
      <c r="A26" s="1158" t="s">
        <v>1019</v>
      </c>
      <c r="B26" s="218">
        <v>2326</v>
      </c>
      <c r="C26" s="218">
        <v>2598</v>
      </c>
      <c r="D26" s="255">
        <v>13023</v>
      </c>
      <c r="E26" s="255">
        <v>13666</v>
      </c>
      <c r="F26" s="255">
        <v>19007</v>
      </c>
      <c r="G26" s="255">
        <v>11837</v>
      </c>
      <c r="H26" s="255">
        <v>1303</v>
      </c>
      <c r="I26" s="255">
        <v>1062</v>
      </c>
      <c r="J26" s="255">
        <v>4508</v>
      </c>
      <c r="K26" s="255">
        <v>265</v>
      </c>
      <c r="L26" s="255">
        <v>296</v>
      </c>
      <c r="M26" s="255">
        <v>724</v>
      </c>
      <c r="N26" s="379" t="s">
        <v>1019</v>
      </c>
      <c r="O26" s="253" t="s">
        <v>1019</v>
      </c>
      <c r="P26" s="255">
        <v>32</v>
      </c>
      <c r="Q26" s="255">
        <v>97</v>
      </c>
      <c r="R26" s="255">
        <v>157</v>
      </c>
      <c r="S26" s="255">
        <v>308</v>
      </c>
      <c r="T26" s="255">
        <v>85</v>
      </c>
      <c r="U26" s="255">
        <v>124</v>
      </c>
      <c r="V26" s="255">
        <v>67</v>
      </c>
      <c r="W26" s="255">
        <v>148</v>
      </c>
      <c r="X26" s="255">
        <v>1338</v>
      </c>
      <c r="Y26" s="255">
        <v>1645</v>
      </c>
      <c r="Z26" s="255">
        <v>19</v>
      </c>
      <c r="AA26" s="255">
        <v>28</v>
      </c>
      <c r="AB26" s="379" t="s">
        <v>1019</v>
      </c>
    </row>
    <row r="27" spans="1:30" s="8" customFormat="1" ht="16.5" customHeight="1">
      <c r="A27" s="1159" t="s">
        <v>1070</v>
      </c>
      <c r="B27" s="718">
        <v>2328</v>
      </c>
      <c r="C27" s="718">
        <v>2583</v>
      </c>
      <c r="D27" s="294">
        <v>13190</v>
      </c>
      <c r="E27" s="294">
        <v>13665</v>
      </c>
      <c r="F27" s="294">
        <v>19192</v>
      </c>
      <c r="G27" s="294">
        <v>11961</v>
      </c>
      <c r="H27" s="294">
        <v>1348</v>
      </c>
      <c r="I27" s="294">
        <v>1079</v>
      </c>
      <c r="J27" s="294">
        <v>4434</v>
      </c>
      <c r="K27" s="294">
        <v>257</v>
      </c>
      <c r="L27" s="294">
        <v>359</v>
      </c>
      <c r="M27" s="294">
        <v>803</v>
      </c>
      <c r="N27" s="325" t="s">
        <v>1070</v>
      </c>
      <c r="O27" s="1159" t="s">
        <v>1070</v>
      </c>
      <c r="P27" s="294">
        <v>33</v>
      </c>
      <c r="Q27" s="294">
        <v>96</v>
      </c>
      <c r="R27" s="294">
        <v>167</v>
      </c>
      <c r="S27" s="294">
        <v>359</v>
      </c>
      <c r="T27" s="294">
        <v>94</v>
      </c>
      <c r="U27" s="294">
        <v>127</v>
      </c>
      <c r="V27" s="294">
        <v>66</v>
      </c>
      <c r="W27" s="294">
        <v>149</v>
      </c>
      <c r="X27" s="294">
        <v>1350</v>
      </c>
      <c r="Y27" s="294">
        <v>1662</v>
      </c>
      <c r="Z27" s="294">
        <v>30</v>
      </c>
      <c r="AA27" s="294">
        <v>33</v>
      </c>
      <c r="AB27" s="325" t="s">
        <v>1070</v>
      </c>
    </row>
    <row r="28" spans="1:30" s="8" customFormat="1" ht="16.5" customHeight="1">
      <c r="A28" s="1158" t="s">
        <v>1193</v>
      </c>
      <c r="B28" s="218">
        <v>2289</v>
      </c>
      <c r="C28" s="218">
        <v>2516</v>
      </c>
      <c r="D28" s="255">
        <v>13483</v>
      </c>
      <c r="E28" s="255">
        <v>13814</v>
      </c>
      <c r="F28" s="255">
        <v>18938</v>
      </c>
      <c r="G28" s="255">
        <v>11794</v>
      </c>
      <c r="H28" s="255">
        <v>1348</v>
      </c>
      <c r="I28" s="255">
        <v>1099</v>
      </c>
      <c r="J28" s="218">
        <v>4207</v>
      </c>
      <c r="K28" s="218">
        <v>243</v>
      </c>
      <c r="L28" s="218">
        <v>362</v>
      </c>
      <c r="M28" s="218">
        <v>787</v>
      </c>
      <c r="N28" s="258" t="s">
        <v>1193</v>
      </c>
      <c r="O28" s="1158" t="s">
        <v>1193</v>
      </c>
      <c r="P28" s="218">
        <v>37</v>
      </c>
      <c r="Q28" s="218">
        <v>101</v>
      </c>
      <c r="R28" s="218">
        <v>158</v>
      </c>
      <c r="S28" s="218">
        <v>382</v>
      </c>
      <c r="T28" s="218">
        <v>88</v>
      </c>
      <c r="U28" s="218">
        <v>115</v>
      </c>
      <c r="V28" s="218">
        <v>64</v>
      </c>
      <c r="W28" s="218">
        <v>148</v>
      </c>
      <c r="X28" s="255">
        <v>1361</v>
      </c>
      <c r="Y28" s="255">
        <v>1675</v>
      </c>
      <c r="Z28" s="218">
        <v>33</v>
      </c>
      <c r="AA28" s="218">
        <v>34</v>
      </c>
      <c r="AB28" s="258" t="s">
        <v>1193</v>
      </c>
    </row>
    <row r="29" spans="1:30" s="8" customFormat="1" ht="16.5" customHeight="1">
      <c r="A29" s="1159" t="s">
        <v>1225</v>
      </c>
      <c r="B29" s="718">
        <v>2134</v>
      </c>
      <c r="C29" s="718">
        <v>2327</v>
      </c>
      <c r="D29" s="294">
        <v>13656</v>
      </c>
      <c r="E29" s="294">
        <v>13797</v>
      </c>
      <c r="F29" s="294">
        <v>18014</v>
      </c>
      <c r="G29" s="294">
        <v>11060</v>
      </c>
      <c r="H29" s="294">
        <v>1311</v>
      </c>
      <c r="I29" s="294">
        <v>1026</v>
      </c>
      <c r="J29" s="718">
        <v>3862</v>
      </c>
      <c r="K29" s="718">
        <v>227</v>
      </c>
      <c r="L29" s="718">
        <v>363</v>
      </c>
      <c r="M29" s="718">
        <v>831</v>
      </c>
      <c r="N29" s="325" t="s">
        <v>1225</v>
      </c>
      <c r="O29" s="1159" t="s">
        <v>1225</v>
      </c>
      <c r="P29" s="718">
        <v>35</v>
      </c>
      <c r="Q29" s="718">
        <v>102</v>
      </c>
      <c r="R29" s="718">
        <v>169</v>
      </c>
      <c r="S29" s="718">
        <v>382</v>
      </c>
      <c r="T29" s="718">
        <v>91</v>
      </c>
      <c r="U29" s="718">
        <v>113</v>
      </c>
      <c r="V29" s="718">
        <v>82</v>
      </c>
      <c r="W29" s="718">
        <v>133</v>
      </c>
      <c r="X29" s="294">
        <v>1484</v>
      </c>
      <c r="Y29" s="294">
        <v>1823</v>
      </c>
      <c r="Z29" s="718">
        <v>31</v>
      </c>
      <c r="AA29" s="718">
        <v>32</v>
      </c>
      <c r="AB29" s="325" t="s">
        <v>1225</v>
      </c>
    </row>
    <row r="30" spans="1:30" s="164" customFormat="1" ht="16.5" customHeight="1">
      <c r="A30" s="1158" t="s">
        <v>1350</v>
      </c>
      <c r="B30" s="218">
        <v>2710</v>
      </c>
      <c r="C30" s="218">
        <v>2657</v>
      </c>
      <c r="D30" s="255">
        <v>13993</v>
      </c>
      <c r="E30" s="255">
        <v>14035</v>
      </c>
      <c r="F30" s="255">
        <v>19576</v>
      </c>
      <c r="G30" s="255">
        <v>12008</v>
      </c>
      <c r="H30" s="255">
        <v>1099</v>
      </c>
      <c r="I30" s="255">
        <v>868</v>
      </c>
      <c r="J30" s="218">
        <v>3639</v>
      </c>
      <c r="K30" s="218">
        <v>223</v>
      </c>
      <c r="L30" s="218">
        <v>352</v>
      </c>
      <c r="M30" s="218">
        <v>760</v>
      </c>
      <c r="N30" s="258" t="s">
        <v>1350</v>
      </c>
      <c r="O30" s="1158" t="s">
        <v>1350</v>
      </c>
      <c r="P30" s="218">
        <v>34</v>
      </c>
      <c r="Q30" s="218">
        <v>93</v>
      </c>
      <c r="R30" s="218">
        <v>177</v>
      </c>
      <c r="S30" s="218">
        <v>386</v>
      </c>
      <c r="T30" s="218">
        <v>89</v>
      </c>
      <c r="U30" s="218">
        <v>105</v>
      </c>
      <c r="V30" s="218">
        <v>78</v>
      </c>
      <c r="W30" s="218">
        <v>133</v>
      </c>
      <c r="X30" s="255">
        <v>1601</v>
      </c>
      <c r="Y30" s="255">
        <v>1874</v>
      </c>
      <c r="Z30" s="218">
        <v>31</v>
      </c>
      <c r="AA30" s="218">
        <v>32</v>
      </c>
      <c r="AB30" s="258" t="s">
        <v>1350</v>
      </c>
    </row>
    <row r="31" spans="1:30" s="164" customFormat="1" ht="16.5" customHeight="1">
      <c r="A31" s="1159" t="s">
        <v>1466</v>
      </c>
      <c r="B31" s="718">
        <v>2775</v>
      </c>
      <c r="C31" s="718">
        <v>2731</v>
      </c>
      <c r="D31" s="294">
        <v>14055</v>
      </c>
      <c r="E31" s="294">
        <v>13892</v>
      </c>
      <c r="F31" s="294">
        <v>19561</v>
      </c>
      <c r="G31" s="294">
        <v>11832</v>
      </c>
      <c r="H31" s="294">
        <v>1017</v>
      </c>
      <c r="I31" s="294">
        <v>816</v>
      </c>
      <c r="J31" s="718">
        <v>3142</v>
      </c>
      <c r="K31" s="718">
        <v>200</v>
      </c>
      <c r="L31" s="718">
        <v>312</v>
      </c>
      <c r="M31" s="718">
        <v>667</v>
      </c>
      <c r="N31" s="325" t="s">
        <v>1466</v>
      </c>
      <c r="O31" s="1159" t="s">
        <v>1466</v>
      </c>
      <c r="P31" s="718">
        <v>34</v>
      </c>
      <c r="Q31" s="718">
        <v>102</v>
      </c>
      <c r="R31" s="718">
        <v>175</v>
      </c>
      <c r="S31" s="718">
        <v>352</v>
      </c>
      <c r="T31" s="718">
        <v>129</v>
      </c>
      <c r="U31" s="718">
        <v>147</v>
      </c>
      <c r="V31" s="718">
        <v>91</v>
      </c>
      <c r="W31" s="718">
        <v>133</v>
      </c>
      <c r="X31" s="294">
        <v>1544</v>
      </c>
      <c r="Y31" s="294">
        <v>1852</v>
      </c>
      <c r="Z31" s="718">
        <v>100</v>
      </c>
      <c r="AA31" s="718">
        <v>31</v>
      </c>
      <c r="AB31" s="325" t="s">
        <v>1466</v>
      </c>
    </row>
    <row r="32" spans="1:30" s="164" customFormat="1" ht="16.5" customHeight="1">
      <c r="A32" s="1158" t="s">
        <v>1550</v>
      </c>
      <c r="B32" s="218">
        <v>2755</v>
      </c>
      <c r="C32" s="218">
        <v>2706</v>
      </c>
      <c r="D32" s="255">
        <v>14203</v>
      </c>
      <c r="E32" s="255">
        <v>13739</v>
      </c>
      <c r="F32" s="255">
        <v>19646</v>
      </c>
      <c r="G32" s="255">
        <v>11767</v>
      </c>
      <c r="H32" s="255">
        <v>1029</v>
      </c>
      <c r="I32" s="255">
        <v>821</v>
      </c>
      <c r="J32" s="218">
        <v>3683</v>
      </c>
      <c r="K32" s="218">
        <v>213</v>
      </c>
      <c r="L32" s="218">
        <v>358</v>
      </c>
      <c r="M32" s="218">
        <v>763</v>
      </c>
      <c r="N32" s="258" t="s">
        <v>1550</v>
      </c>
      <c r="O32" s="1158" t="s">
        <v>1550</v>
      </c>
      <c r="P32" s="218">
        <v>37</v>
      </c>
      <c r="Q32" s="218">
        <v>109</v>
      </c>
      <c r="R32" s="218">
        <v>177</v>
      </c>
      <c r="S32" s="218">
        <v>349</v>
      </c>
      <c r="T32" s="218">
        <v>86</v>
      </c>
      <c r="U32" s="218">
        <v>100</v>
      </c>
      <c r="V32" s="218">
        <v>90</v>
      </c>
      <c r="W32" s="218">
        <v>147</v>
      </c>
      <c r="X32" s="255">
        <v>1448</v>
      </c>
      <c r="Y32" s="255">
        <v>1679</v>
      </c>
      <c r="Z32" s="218">
        <v>98</v>
      </c>
      <c r="AA32" s="218">
        <v>30</v>
      </c>
      <c r="AB32" s="258" t="s">
        <v>1550</v>
      </c>
      <c r="AD32" s="819"/>
    </row>
    <row r="33" spans="1:30" s="164" customFormat="1" ht="16.5" customHeight="1">
      <c r="A33" s="1162" t="s">
        <v>1606</v>
      </c>
      <c r="B33" s="718">
        <v>3285</v>
      </c>
      <c r="C33" s="718">
        <v>3225</v>
      </c>
      <c r="D33" s="294">
        <v>14438</v>
      </c>
      <c r="E33" s="294">
        <v>13854</v>
      </c>
      <c r="F33" s="294">
        <v>19885</v>
      </c>
      <c r="G33" s="294">
        <v>11828</v>
      </c>
      <c r="H33" s="294">
        <v>1085</v>
      </c>
      <c r="I33" s="294">
        <v>813</v>
      </c>
      <c r="J33" s="718">
        <v>3333</v>
      </c>
      <c r="K33" s="718">
        <v>192</v>
      </c>
      <c r="L33" s="718">
        <v>397</v>
      </c>
      <c r="M33" s="718">
        <v>814</v>
      </c>
      <c r="N33" s="325" t="s">
        <v>1606</v>
      </c>
      <c r="O33" s="1162" t="s">
        <v>1606</v>
      </c>
      <c r="P33" s="718">
        <v>41</v>
      </c>
      <c r="Q33" s="718">
        <v>109</v>
      </c>
      <c r="R33" s="718">
        <v>186</v>
      </c>
      <c r="S33" s="718">
        <v>361</v>
      </c>
      <c r="T33" s="718">
        <v>89</v>
      </c>
      <c r="U33" s="718">
        <v>100</v>
      </c>
      <c r="V33" s="718">
        <v>90</v>
      </c>
      <c r="W33" s="718">
        <v>136</v>
      </c>
      <c r="X33" s="294">
        <v>1391</v>
      </c>
      <c r="Y33" s="294">
        <v>1686</v>
      </c>
      <c r="Z33" s="718">
        <v>72</v>
      </c>
      <c r="AA33" s="718">
        <v>31</v>
      </c>
      <c r="AB33" s="325" t="s">
        <v>1606</v>
      </c>
      <c r="AC33" s="819"/>
    </row>
    <row r="34" spans="1:30" s="164" customFormat="1" ht="16.5" customHeight="1">
      <c r="A34" s="1471" t="s">
        <v>1927</v>
      </c>
      <c r="B34" s="218">
        <v>3001</v>
      </c>
      <c r="C34" s="218">
        <v>2864</v>
      </c>
      <c r="D34" s="255">
        <v>14958</v>
      </c>
      <c r="E34" s="255">
        <v>14132</v>
      </c>
      <c r="F34" s="255">
        <v>20186</v>
      </c>
      <c r="G34" s="255">
        <v>11896</v>
      </c>
      <c r="H34" s="255">
        <v>1086</v>
      </c>
      <c r="I34" s="255">
        <v>778</v>
      </c>
      <c r="J34" s="218">
        <v>3087</v>
      </c>
      <c r="K34" s="218">
        <v>179</v>
      </c>
      <c r="L34" s="218">
        <v>410</v>
      </c>
      <c r="M34" s="218">
        <v>817</v>
      </c>
      <c r="N34" s="258" t="s">
        <v>1927</v>
      </c>
      <c r="O34" s="1471" t="s">
        <v>1927</v>
      </c>
      <c r="P34" s="218">
        <v>42</v>
      </c>
      <c r="Q34" s="218">
        <v>114</v>
      </c>
      <c r="R34" s="218">
        <v>191</v>
      </c>
      <c r="S34" s="218">
        <v>357</v>
      </c>
      <c r="T34" s="218">
        <v>92</v>
      </c>
      <c r="U34" s="218">
        <v>100</v>
      </c>
      <c r="V34" s="218">
        <v>98</v>
      </c>
      <c r="W34" s="218">
        <v>140</v>
      </c>
      <c r="X34" s="255">
        <v>1518</v>
      </c>
      <c r="Y34" s="255">
        <v>1783</v>
      </c>
      <c r="Z34" s="218">
        <v>71</v>
      </c>
      <c r="AA34" s="218">
        <v>30</v>
      </c>
      <c r="AB34" s="258" t="s">
        <v>1927</v>
      </c>
      <c r="AC34" s="819"/>
    </row>
    <row r="35" spans="1:30" s="164" customFormat="1" ht="16.5" customHeight="1">
      <c r="A35" s="1648" t="s">
        <v>2183</v>
      </c>
      <c r="B35" s="718">
        <v>2901</v>
      </c>
      <c r="C35" s="718">
        <v>2622</v>
      </c>
      <c r="D35" s="294">
        <v>15426</v>
      </c>
      <c r="E35" s="294">
        <v>14143</v>
      </c>
      <c r="F35" s="294">
        <v>20768</v>
      </c>
      <c r="G35" s="294">
        <v>11989</v>
      </c>
      <c r="H35" s="294">
        <v>1170</v>
      </c>
      <c r="I35" s="294">
        <v>783</v>
      </c>
      <c r="J35" s="718">
        <v>2983</v>
      </c>
      <c r="K35" s="718">
        <v>172</v>
      </c>
      <c r="L35" s="718">
        <v>547</v>
      </c>
      <c r="M35" s="718">
        <v>947</v>
      </c>
      <c r="N35" s="325" t="s">
        <v>2183</v>
      </c>
      <c r="O35" s="1648" t="s">
        <v>2183</v>
      </c>
      <c r="P35" s="718">
        <v>46</v>
      </c>
      <c r="Q35" s="718">
        <v>113</v>
      </c>
      <c r="R35" s="718">
        <v>197</v>
      </c>
      <c r="S35" s="718">
        <v>334</v>
      </c>
      <c r="T35" s="718">
        <v>87</v>
      </c>
      <c r="U35" s="718">
        <v>93</v>
      </c>
      <c r="V35" s="718">
        <v>93</v>
      </c>
      <c r="W35" s="718">
        <v>141</v>
      </c>
      <c r="X35" s="294">
        <v>1522</v>
      </c>
      <c r="Y35" s="294">
        <v>1804</v>
      </c>
      <c r="Z35" s="718">
        <v>66</v>
      </c>
      <c r="AA35" s="718">
        <v>29</v>
      </c>
      <c r="AB35" s="325" t="s">
        <v>2183</v>
      </c>
      <c r="AC35" s="819"/>
    </row>
    <row r="36" spans="1:30" s="164" customFormat="1" ht="16.5" customHeight="1" thickBot="1">
      <c r="A36" s="471" t="s">
        <v>2671</v>
      </c>
      <c r="B36" s="1636">
        <v>2973</v>
      </c>
      <c r="C36" s="1636">
        <v>2557</v>
      </c>
      <c r="D36" s="1581">
        <v>16656</v>
      </c>
      <c r="E36" s="1581">
        <v>14210</v>
      </c>
      <c r="F36" s="1581">
        <v>21068</v>
      </c>
      <c r="G36" s="1581">
        <v>12053</v>
      </c>
      <c r="H36" s="1581">
        <v>1172</v>
      </c>
      <c r="I36" s="1581">
        <v>770</v>
      </c>
      <c r="J36" s="1636">
        <v>2934</v>
      </c>
      <c r="K36" s="1636">
        <v>167</v>
      </c>
      <c r="L36" s="1636">
        <v>638</v>
      </c>
      <c r="M36" s="1636">
        <v>1144</v>
      </c>
      <c r="N36" s="1637" t="s">
        <v>2671</v>
      </c>
      <c r="O36" s="471" t="s">
        <v>2671</v>
      </c>
      <c r="P36" s="1636">
        <v>45</v>
      </c>
      <c r="Q36" s="1636">
        <v>121</v>
      </c>
      <c r="R36" s="1636">
        <v>185</v>
      </c>
      <c r="S36" s="1636">
        <v>309</v>
      </c>
      <c r="T36" s="1636">
        <v>98</v>
      </c>
      <c r="U36" s="1636">
        <v>101</v>
      </c>
      <c r="V36" s="1636">
        <v>101</v>
      </c>
      <c r="W36" s="1636">
        <v>145</v>
      </c>
      <c r="X36" s="1581">
        <v>1725</v>
      </c>
      <c r="Y36" s="1581">
        <v>1788</v>
      </c>
      <c r="Z36" s="1636">
        <v>67</v>
      </c>
      <c r="AA36" s="1636">
        <v>29</v>
      </c>
      <c r="AB36" s="1637" t="s">
        <v>2671</v>
      </c>
      <c r="AC36" s="819"/>
    </row>
    <row r="37" spans="1:30" ht="12.75" customHeight="1">
      <c r="A37" s="2240" t="s">
        <v>1263</v>
      </c>
      <c r="B37" s="2240"/>
      <c r="C37" s="2240"/>
      <c r="D37" s="2240"/>
      <c r="E37" s="2240"/>
      <c r="F37" s="2241"/>
      <c r="G37" s="2241"/>
      <c r="H37" s="2241" t="s">
        <v>1887</v>
      </c>
      <c r="I37" s="2241"/>
      <c r="J37" s="2241"/>
      <c r="K37" s="2241"/>
      <c r="L37" s="2241"/>
      <c r="M37" s="2241"/>
      <c r="O37" s="2239" t="s">
        <v>1264</v>
      </c>
      <c r="P37" s="2239"/>
      <c r="Q37" s="2239"/>
      <c r="R37" s="2239"/>
      <c r="S37" s="2239"/>
      <c r="T37" s="2239"/>
      <c r="U37" s="2239"/>
      <c r="V37" s="2239" t="s">
        <v>1887</v>
      </c>
      <c r="W37" s="2239"/>
      <c r="X37" s="2239"/>
      <c r="Y37" s="2239"/>
      <c r="Z37" s="2239"/>
      <c r="AA37" s="2239"/>
      <c r="AD37" s="928"/>
    </row>
    <row r="38" spans="1:30">
      <c r="A38" s="242"/>
      <c r="B38" s="7" t="s">
        <v>1612</v>
      </c>
      <c r="C38" s="7"/>
      <c r="E38" s="1164"/>
      <c r="F38" s="928"/>
      <c r="H38" s="928"/>
      <c r="R38" s="928"/>
      <c r="S38" s="928"/>
      <c r="T38" s="928"/>
      <c r="U38" s="1059"/>
      <c r="W38" s="928"/>
    </row>
    <row r="39" spans="1:30" ht="12.75" hidden="1" customHeight="1"/>
    <row r="40" spans="1:30" ht="12.75" hidden="1" customHeight="1">
      <c r="X40" s="2">
        <v>7501011</v>
      </c>
    </row>
    <row r="41" spans="1:30" ht="12.75" hidden="1" customHeight="1">
      <c r="X41" s="2">
        <v>7558934</v>
      </c>
    </row>
    <row r="42" spans="1:30" ht="12.75" hidden="1" customHeight="1"/>
    <row r="43" spans="1:30" ht="12.75" hidden="1" customHeight="1"/>
    <row r="44" spans="1:30" ht="12.75" hidden="1" customHeight="1"/>
    <row r="45" spans="1:30" ht="12.75" hidden="1" customHeight="1"/>
    <row r="46" spans="1:30" ht="12.75" hidden="1" customHeight="1"/>
    <row r="47" spans="1:30">
      <c r="B47" s="53"/>
      <c r="F47" s="928"/>
      <c r="G47" s="928"/>
      <c r="P47" s="928"/>
      <c r="Q47" s="928"/>
      <c r="R47" s="928"/>
      <c r="S47" s="928"/>
      <c r="T47" s="928"/>
      <c r="U47" s="928"/>
      <c r="V47" s="928"/>
      <c r="W47" s="928"/>
      <c r="AA47" s="928"/>
      <c r="AB47" s="928"/>
    </row>
    <row r="48" spans="1:30">
      <c r="F48" s="928"/>
      <c r="H48" s="928"/>
      <c r="I48" s="928"/>
      <c r="K48" s="928"/>
      <c r="M48" s="928"/>
      <c r="P48" s="928"/>
      <c r="Q48" s="928"/>
      <c r="T48" s="928"/>
      <c r="W48" s="928"/>
      <c r="Y48" s="928"/>
    </row>
    <row r="49" spans="3:28">
      <c r="C49" s="928"/>
      <c r="E49" s="928"/>
    </row>
    <row r="51" spans="3:28">
      <c r="AB51" s="928"/>
    </row>
  </sheetData>
  <customSheetViews>
    <customSheetView guid="{A374FC54-96E3-45F0-9C12-8450400C12DF}" scale="140" hiddenRows="1">
      <pane xSplit="1" ySplit="6" topLeftCell="T28" activePane="bottomRight" state="frozen"/>
      <selection pane="bottomRight" activeCell="AA36" sqref="AA36"/>
      <pageMargins left="0.62992125984252001" right="0.511811023622047" top="0.511811023622047" bottom="0.511811023622047" header="0" footer="0.74803149606299202"/>
      <pageSetup paperSize="132" firstPageNumber="36" orientation="portrait" useFirstPageNumber="1" r:id="rId1"/>
      <headerFooter alignWithMargins="0">
        <oddFooter>&amp;C&amp;"Times New Roman,Regular"&amp;8&amp;P</oddFooter>
      </headerFooter>
    </customSheetView>
  </customSheetViews>
  <mergeCells count="52">
    <mergeCell ref="V37:AA37"/>
    <mergeCell ref="A37:E37"/>
    <mergeCell ref="F37:G37"/>
    <mergeCell ref="H37:J37"/>
    <mergeCell ref="K37:M37"/>
    <mergeCell ref="O37:U37"/>
    <mergeCell ref="I4:I5"/>
    <mergeCell ref="X4:X5"/>
    <mergeCell ref="Y4:Y5"/>
    <mergeCell ref="Z4:Z5"/>
    <mergeCell ref="V4:V5"/>
    <mergeCell ref="R4:R5"/>
    <mergeCell ref="S4:S5"/>
    <mergeCell ref="T4:T5"/>
    <mergeCell ref="U4:U5"/>
    <mergeCell ref="K4:K5"/>
    <mergeCell ref="L4:L5"/>
    <mergeCell ref="M4:M5"/>
    <mergeCell ref="P4:P5"/>
    <mergeCell ref="J4:J5"/>
    <mergeCell ref="AA1:AB1"/>
    <mergeCell ref="O1:U1"/>
    <mergeCell ref="V1:Y1"/>
    <mergeCell ref="AB3:AB5"/>
    <mergeCell ref="T3:U3"/>
    <mergeCell ref="V3:W3"/>
    <mergeCell ref="X3:Y3"/>
    <mergeCell ref="Z3:AA3"/>
    <mergeCell ref="W4:W5"/>
    <mergeCell ref="H1:K1"/>
    <mergeCell ref="AA4:AA5"/>
    <mergeCell ref="Q4:Q5"/>
    <mergeCell ref="B3:C3"/>
    <mergeCell ref="D3:E3"/>
    <mergeCell ref="H3:I3"/>
    <mergeCell ref="J3:K3"/>
    <mergeCell ref="M1:N1"/>
    <mergeCell ref="A1:G1"/>
    <mergeCell ref="F3:G3"/>
    <mergeCell ref="N3:N5"/>
    <mergeCell ref="L3:M3"/>
    <mergeCell ref="R3:S3"/>
    <mergeCell ref="O3:O5"/>
    <mergeCell ref="A3:A5"/>
    <mergeCell ref="P3:Q3"/>
    <mergeCell ref="B4:B5"/>
    <mergeCell ref="H4:H5"/>
    <mergeCell ref="C4:C5"/>
    <mergeCell ref="D4:D5"/>
    <mergeCell ref="E4:E5"/>
    <mergeCell ref="F4:F5"/>
    <mergeCell ref="G4:G5"/>
  </mergeCells>
  <phoneticPr fontId="5" type="noConversion"/>
  <pageMargins left="0.62992125984252001" right="0.511811023622047" top="0.511811023622047" bottom="0.511811023622047" header="0" footer="0.74803149606299202"/>
  <pageSetup paperSize="448" firstPageNumber="36" orientation="portrait" useFirstPageNumber="1" r:id="rId2"/>
  <headerFooter alignWithMargins="0">
    <oddFooter>&amp;C&amp;"Times New Roman,Regular"&amp;8&amp;P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/>
  <dimension ref="A1:K67"/>
  <sheetViews>
    <sheetView topLeftCell="A37" zoomScale="150" zoomScaleNormal="150" workbookViewId="0">
      <selection activeCell="N40" sqref="N40"/>
    </sheetView>
  </sheetViews>
  <sheetFormatPr defaultColWidth="5.85546875" defaultRowHeight="9"/>
  <cols>
    <col min="1" max="1" width="7" style="223" customWidth="1"/>
    <col min="2" max="2" width="8.5703125" style="223" customWidth="1"/>
    <col min="3" max="3" width="6.140625" style="223" customWidth="1"/>
    <col min="4" max="5" width="6.85546875" style="223" customWidth="1"/>
    <col min="6" max="6" width="7.42578125" style="223" customWidth="1"/>
    <col min="7" max="7" width="6.140625" style="223" customWidth="1"/>
    <col min="8" max="8" width="6.5703125" style="223" customWidth="1"/>
    <col min="9" max="9" width="6.85546875" style="223" customWidth="1"/>
    <col min="10" max="10" width="7.5703125" style="223" customWidth="1"/>
    <col min="11" max="11" width="7.42578125" style="223" customWidth="1"/>
    <col min="12" max="17" width="5.85546875" style="223"/>
    <col min="18" max="18" width="6.140625" style="223" bestFit="1" customWidth="1"/>
    <col min="19" max="16384" width="5.85546875" style="223"/>
  </cols>
  <sheetData>
    <row r="1" spans="1:11" s="166" customFormat="1" ht="14.25" customHeight="1">
      <c r="A1" s="2243" t="s">
        <v>2308</v>
      </c>
      <c r="B1" s="2243"/>
      <c r="C1" s="2243"/>
      <c r="D1" s="2243"/>
      <c r="E1" s="2243"/>
      <c r="F1" s="2243"/>
      <c r="G1" s="2243"/>
      <c r="H1" s="2243"/>
      <c r="I1" s="2243"/>
      <c r="J1" s="2244" t="s">
        <v>2299</v>
      </c>
      <c r="K1" s="2244"/>
    </row>
    <row r="2" spans="1:11" s="169" customFormat="1" ht="12.75" customHeight="1">
      <c r="A2" s="1365"/>
      <c r="B2" s="1365"/>
      <c r="C2" s="2250" t="s">
        <v>2307</v>
      </c>
      <c r="D2" s="2250"/>
      <c r="E2" s="2250"/>
      <c r="F2" s="1492"/>
      <c r="G2" s="2245"/>
      <c r="H2" s="2245"/>
      <c r="I2" s="2245"/>
    </row>
    <row r="3" spans="1:11" s="171" customFormat="1" ht="26.25" customHeight="1">
      <c r="A3" s="2249" t="s">
        <v>487</v>
      </c>
      <c r="B3" s="1489" t="s">
        <v>579</v>
      </c>
      <c r="C3" s="1489" t="s">
        <v>580</v>
      </c>
      <c r="D3" s="1490" t="s">
        <v>502</v>
      </c>
      <c r="E3" s="1490" t="s">
        <v>503</v>
      </c>
      <c r="F3" s="1489" t="s">
        <v>247</v>
      </c>
      <c r="G3" s="1491" t="s">
        <v>246</v>
      </c>
      <c r="H3" s="1490" t="s">
        <v>591</v>
      </c>
      <c r="I3" s="1490" t="s">
        <v>581</v>
      </c>
      <c r="J3" s="1489" t="s">
        <v>2251</v>
      </c>
      <c r="K3" s="1490" t="s">
        <v>505</v>
      </c>
    </row>
    <row r="4" spans="1:11" s="171" customFormat="1" ht="25.5" customHeight="1">
      <c r="A4" s="2249"/>
      <c r="B4" s="1489" t="s">
        <v>941</v>
      </c>
      <c r="C4" s="1489" t="s">
        <v>940</v>
      </c>
      <c r="D4" s="1489" t="s">
        <v>942</v>
      </c>
      <c r="E4" s="1489" t="s">
        <v>943</v>
      </c>
      <c r="F4" s="1489" t="s">
        <v>944</v>
      </c>
      <c r="G4" s="1491" t="s">
        <v>946</v>
      </c>
      <c r="H4" s="1489" t="s">
        <v>944</v>
      </c>
      <c r="I4" s="1489" t="s">
        <v>944</v>
      </c>
      <c r="J4" s="473" t="s">
        <v>235</v>
      </c>
      <c r="K4" s="1489" t="s">
        <v>945</v>
      </c>
    </row>
    <row r="5" spans="1:11" s="164" customFormat="1" ht="9.9499999999999993" customHeight="1">
      <c r="A5" s="162" t="s">
        <v>81</v>
      </c>
      <c r="B5" s="141">
        <v>1006.35</v>
      </c>
      <c r="C5" s="27">
        <v>52975</v>
      </c>
      <c r="D5" s="27">
        <v>18676</v>
      </c>
      <c r="E5" s="27">
        <v>236790</v>
      </c>
      <c r="F5" s="27">
        <v>76918</v>
      </c>
      <c r="G5" s="255">
        <v>156528</v>
      </c>
      <c r="H5" s="255">
        <v>62203</v>
      </c>
      <c r="I5" s="255">
        <v>1138644</v>
      </c>
      <c r="J5" s="255">
        <v>2021</v>
      </c>
      <c r="K5" s="255">
        <v>13330</v>
      </c>
    </row>
    <row r="6" spans="1:11" s="162" customFormat="1" ht="9.9499999999999993" customHeight="1">
      <c r="A6" s="304" t="s">
        <v>190</v>
      </c>
      <c r="B6" s="301">
        <v>1030</v>
      </c>
      <c r="C6" s="301">
        <v>56181</v>
      </c>
      <c r="D6" s="301">
        <v>20241</v>
      </c>
      <c r="E6" s="301">
        <v>234510</v>
      </c>
      <c r="F6" s="301">
        <v>76970</v>
      </c>
      <c r="G6" s="296">
        <v>154384</v>
      </c>
      <c r="H6" s="296">
        <v>100963</v>
      </c>
      <c r="I6" s="296">
        <v>1011941</v>
      </c>
      <c r="J6" s="296">
        <v>1898</v>
      </c>
      <c r="K6" s="296">
        <v>14143</v>
      </c>
    </row>
    <row r="7" spans="1:11" s="162" customFormat="1" ht="9.9499999999999993" customHeight="1">
      <c r="A7" s="162" t="s">
        <v>731</v>
      </c>
      <c r="B7" s="141">
        <v>955.09444444444443</v>
      </c>
      <c r="C7" s="141">
        <v>56546</v>
      </c>
      <c r="D7" s="141">
        <v>20740</v>
      </c>
      <c r="E7" s="141">
        <v>315050</v>
      </c>
      <c r="F7" s="141">
        <v>113765</v>
      </c>
      <c r="G7" s="382">
        <v>162407</v>
      </c>
      <c r="H7" s="382">
        <v>63309</v>
      </c>
      <c r="I7" s="382">
        <v>1036947</v>
      </c>
      <c r="J7" s="382">
        <v>1442</v>
      </c>
      <c r="K7" s="382">
        <v>18148</v>
      </c>
    </row>
    <row r="8" spans="1:11" s="162" customFormat="1" ht="9.9499999999999993" customHeight="1">
      <c r="A8" s="304" t="s">
        <v>840</v>
      </c>
      <c r="B8" s="301">
        <v>970.12777777777774</v>
      </c>
      <c r="C8" s="301">
        <v>56949</v>
      </c>
      <c r="D8" s="301">
        <v>17774</v>
      </c>
      <c r="E8" s="301">
        <v>262620</v>
      </c>
      <c r="F8" s="301">
        <v>313265</v>
      </c>
      <c r="G8" s="296">
        <v>194048</v>
      </c>
      <c r="H8" s="296">
        <v>107133</v>
      </c>
      <c r="I8" s="296">
        <v>1074791</v>
      </c>
      <c r="J8" s="296">
        <v>2364</v>
      </c>
      <c r="K8" s="296">
        <v>20989</v>
      </c>
    </row>
    <row r="9" spans="1:11" s="162" customFormat="1" ht="9.9499999999999993" customHeight="1">
      <c r="A9" s="162" t="s">
        <v>1019</v>
      </c>
      <c r="B9" s="141">
        <v>974.33888888888885</v>
      </c>
      <c r="C9" s="141">
        <v>57386</v>
      </c>
      <c r="D9" s="141">
        <v>13098</v>
      </c>
      <c r="E9" s="141">
        <v>283130</v>
      </c>
      <c r="F9" s="141">
        <v>352115</v>
      </c>
      <c r="G9" s="382">
        <v>209106</v>
      </c>
      <c r="H9" s="382">
        <v>128268</v>
      </c>
      <c r="I9" s="382">
        <v>976691</v>
      </c>
      <c r="J9" s="382">
        <v>2009</v>
      </c>
      <c r="K9" s="382">
        <v>20813</v>
      </c>
    </row>
    <row r="10" spans="1:11" s="162" customFormat="1" ht="9.9499999999999993" customHeight="1">
      <c r="A10" s="304" t="s">
        <v>1070</v>
      </c>
      <c r="B10" s="296">
        <v>780.2166666666667</v>
      </c>
      <c r="C10" s="296">
        <v>44692</v>
      </c>
      <c r="D10" s="296">
        <v>12660</v>
      </c>
      <c r="E10" s="296">
        <v>264850</v>
      </c>
      <c r="F10" s="296">
        <v>609045</v>
      </c>
      <c r="G10" s="296">
        <v>298939</v>
      </c>
      <c r="H10" s="296">
        <v>77450</v>
      </c>
      <c r="I10" s="296">
        <v>1028157</v>
      </c>
      <c r="J10" s="296">
        <v>1529</v>
      </c>
      <c r="K10" s="296">
        <v>18935</v>
      </c>
    </row>
    <row r="11" spans="1:11" s="162" customFormat="1" ht="9.9499999999999993" customHeight="1">
      <c r="A11" s="162" t="s">
        <v>1193</v>
      </c>
      <c r="B11" s="382">
        <v>892</v>
      </c>
      <c r="C11" s="382">
        <v>47444</v>
      </c>
      <c r="D11" s="382">
        <v>10577</v>
      </c>
      <c r="E11" s="382">
        <v>224210</v>
      </c>
      <c r="F11" s="382">
        <v>728260</v>
      </c>
      <c r="G11" s="382">
        <v>278952</v>
      </c>
      <c r="H11" s="382">
        <v>58219.3</v>
      </c>
      <c r="I11" s="382">
        <v>1010446</v>
      </c>
      <c r="J11" s="382">
        <v>1363</v>
      </c>
      <c r="K11" s="382">
        <v>19506</v>
      </c>
    </row>
    <row r="12" spans="1:11" s="162" customFormat="1" ht="9.9499999999999993" customHeight="1">
      <c r="A12" s="304" t="s">
        <v>1225</v>
      </c>
      <c r="B12" s="296">
        <v>898</v>
      </c>
      <c r="C12" s="296">
        <v>47060</v>
      </c>
      <c r="D12" s="296">
        <v>6777</v>
      </c>
      <c r="E12" s="296">
        <v>175730</v>
      </c>
      <c r="F12" s="296">
        <v>657966</v>
      </c>
      <c r="G12" s="296">
        <v>348931</v>
      </c>
      <c r="H12" s="296">
        <v>59984.55</v>
      </c>
      <c r="I12" s="296">
        <v>1089418.05</v>
      </c>
      <c r="J12" s="296">
        <v>1333</v>
      </c>
      <c r="K12" s="296">
        <v>22827</v>
      </c>
    </row>
    <row r="13" spans="1:11" s="162" customFormat="1" ht="9.9499999999999993" customHeight="1">
      <c r="A13" s="162" t="s">
        <v>1350</v>
      </c>
      <c r="B13" s="382">
        <v>932</v>
      </c>
      <c r="C13" s="382">
        <v>42447</v>
      </c>
      <c r="D13" s="382">
        <v>3182</v>
      </c>
      <c r="E13" s="382">
        <v>156600</v>
      </c>
      <c r="F13" s="382">
        <v>1001358</v>
      </c>
      <c r="G13" s="382">
        <v>408516</v>
      </c>
      <c r="H13" s="382">
        <v>68602.5</v>
      </c>
      <c r="I13" s="382">
        <v>913965</v>
      </c>
      <c r="J13" s="382">
        <v>1629</v>
      </c>
      <c r="K13" s="382">
        <v>25124</v>
      </c>
    </row>
    <row r="14" spans="1:11" s="162" customFormat="1" ht="9.9499999999999993" customHeight="1">
      <c r="A14" s="304" t="s">
        <v>1466</v>
      </c>
      <c r="B14" s="296">
        <v>1004</v>
      </c>
      <c r="C14" s="296">
        <v>41744</v>
      </c>
      <c r="D14" s="296">
        <v>5635</v>
      </c>
      <c r="E14" s="296">
        <v>152810</v>
      </c>
      <c r="F14" s="296">
        <v>1082720</v>
      </c>
      <c r="G14" s="296">
        <v>359883</v>
      </c>
      <c r="H14" s="296">
        <v>68953.100000000006</v>
      </c>
      <c r="I14" s="296">
        <v>923425</v>
      </c>
      <c r="J14" s="296">
        <v>1431</v>
      </c>
      <c r="K14" s="296">
        <v>34653</v>
      </c>
    </row>
    <row r="15" spans="1:11" s="162" customFormat="1" ht="9.9499999999999993" customHeight="1">
      <c r="A15" s="190" t="s">
        <v>1550</v>
      </c>
      <c r="B15" s="346">
        <v>1241</v>
      </c>
      <c r="C15" s="346">
        <v>35782</v>
      </c>
      <c r="D15" s="346">
        <v>7220</v>
      </c>
      <c r="E15" s="346">
        <v>161860</v>
      </c>
      <c r="F15" s="346">
        <v>1088705</v>
      </c>
      <c r="G15" s="346">
        <v>430242</v>
      </c>
      <c r="H15" s="346">
        <v>82140.45</v>
      </c>
      <c r="I15" s="346">
        <v>1100799</v>
      </c>
      <c r="J15" s="346">
        <v>1021</v>
      </c>
      <c r="K15" s="346">
        <v>44264</v>
      </c>
    </row>
    <row r="16" spans="1:11" s="162" customFormat="1" ht="9.9499999999999993" customHeight="1">
      <c r="A16" s="306" t="s">
        <v>1606</v>
      </c>
      <c r="B16" s="491">
        <v>1472</v>
      </c>
      <c r="C16" s="491">
        <v>39495</v>
      </c>
      <c r="D16" s="543">
        <v>6027</v>
      </c>
      <c r="E16" s="491">
        <v>154030</v>
      </c>
      <c r="F16" s="491">
        <v>987319</v>
      </c>
      <c r="G16" s="491">
        <v>332939</v>
      </c>
      <c r="H16" s="491">
        <v>48134</v>
      </c>
      <c r="I16" s="491">
        <v>1205833</v>
      </c>
      <c r="J16" s="543">
        <v>100</v>
      </c>
      <c r="K16" s="491">
        <v>45323</v>
      </c>
    </row>
    <row r="17" spans="1:11" s="162" customFormat="1" ht="9.9499999999999993" customHeight="1">
      <c r="A17" s="190" t="s">
        <v>1927</v>
      </c>
      <c r="B17" s="346">
        <f>SUM(B18:B29)</f>
        <v>1479</v>
      </c>
      <c r="C17" s="346">
        <f t="shared" ref="C17:I17" si="0">SUM(C18:C29)</f>
        <v>51854</v>
      </c>
      <c r="D17" s="496">
        <f t="shared" si="0"/>
        <v>2277</v>
      </c>
      <c r="E17" s="346">
        <f t="shared" si="0"/>
        <v>149500</v>
      </c>
      <c r="F17" s="346">
        <f t="shared" si="0"/>
        <v>888610</v>
      </c>
      <c r="G17" s="346">
        <f t="shared" si="0"/>
        <v>429542</v>
      </c>
      <c r="H17" s="346">
        <f t="shared" si="0"/>
        <v>21486</v>
      </c>
      <c r="I17" s="346">
        <f t="shared" si="0"/>
        <v>1197117</v>
      </c>
      <c r="J17" s="496">
        <f>SUM(J18:J29)</f>
        <v>1368</v>
      </c>
      <c r="K17" s="346">
        <f>SUM(K18:K29)</f>
        <v>41441</v>
      </c>
    </row>
    <row r="18" spans="1:11" s="162" customFormat="1" ht="9.9499999999999993" customHeight="1">
      <c r="A18" s="304" t="s">
        <v>565</v>
      </c>
      <c r="B18" s="294">
        <v>120</v>
      </c>
      <c r="C18" s="294">
        <v>3416</v>
      </c>
      <c r="D18" s="294">
        <v>181</v>
      </c>
      <c r="E18" s="294">
        <v>13100</v>
      </c>
      <c r="F18" s="294">
        <v>53644</v>
      </c>
      <c r="G18" s="294">
        <v>26786</v>
      </c>
      <c r="H18" s="296">
        <v>0</v>
      </c>
      <c r="I18" s="296">
        <v>53314</v>
      </c>
      <c r="J18" s="294">
        <v>6</v>
      </c>
      <c r="K18" s="294">
        <v>3710</v>
      </c>
    </row>
    <row r="19" spans="1:11" s="162" customFormat="1" ht="9.9499999999999993" customHeight="1">
      <c r="A19" s="162" t="s">
        <v>566</v>
      </c>
      <c r="B19" s="255">
        <v>130</v>
      </c>
      <c r="C19" s="255">
        <v>3962</v>
      </c>
      <c r="D19" s="255">
        <v>51</v>
      </c>
      <c r="E19" s="255">
        <v>13150</v>
      </c>
      <c r="F19" s="255">
        <v>74490</v>
      </c>
      <c r="G19" s="255">
        <v>41400</v>
      </c>
      <c r="H19" s="382">
        <v>0</v>
      </c>
      <c r="I19" s="382">
        <v>93154</v>
      </c>
      <c r="J19" s="255">
        <v>86</v>
      </c>
      <c r="K19" s="255">
        <v>3715</v>
      </c>
    </row>
    <row r="20" spans="1:11" s="162" customFormat="1" ht="9.9499999999999993" customHeight="1">
      <c r="A20" s="304" t="s">
        <v>560</v>
      </c>
      <c r="B20" s="294">
        <v>129</v>
      </c>
      <c r="C20" s="294">
        <v>3970</v>
      </c>
      <c r="D20" s="294">
        <v>276</v>
      </c>
      <c r="E20" s="294">
        <v>13200</v>
      </c>
      <c r="F20" s="294">
        <v>101464</v>
      </c>
      <c r="G20" s="294">
        <v>42419</v>
      </c>
      <c r="H20" s="296">
        <v>0</v>
      </c>
      <c r="I20" s="296">
        <v>89898</v>
      </c>
      <c r="J20" s="296">
        <v>140</v>
      </c>
      <c r="K20" s="294">
        <v>3725</v>
      </c>
    </row>
    <row r="21" spans="1:11" s="162" customFormat="1" ht="9.9499999999999993" customHeight="1">
      <c r="A21" s="162" t="s">
        <v>567</v>
      </c>
      <c r="B21" s="255">
        <v>130</v>
      </c>
      <c r="C21" s="255">
        <v>4008</v>
      </c>
      <c r="D21" s="255">
        <v>154</v>
      </c>
      <c r="E21" s="255">
        <v>13250</v>
      </c>
      <c r="F21" s="255">
        <v>66228</v>
      </c>
      <c r="G21" s="255">
        <v>45628</v>
      </c>
      <c r="H21" s="382">
        <v>0</v>
      </c>
      <c r="I21" s="382">
        <v>89076</v>
      </c>
      <c r="J21" s="382">
        <v>128</v>
      </c>
      <c r="K21" s="255">
        <v>3730</v>
      </c>
    </row>
    <row r="22" spans="1:11" s="162" customFormat="1" ht="9.9499999999999993" customHeight="1">
      <c r="A22" s="304" t="s">
        <v>568</v>
      </c>
      <c r="B22" s="294">
        <v>127</v>
      </c>
      <c r="C22" s="294">
        <v>4101</v>
      </c>
      <c r="D22" s="294">
        <v>183</v>
      </c>
      <c r="E22" s="294">
        <v>12900</v>
      </c>
      <c r="F22" s="294">
        <v>86446</v>
      </c>
      <c r="G22" s="294">
        <v>44704</v>
      </c>
      <c r="H22" s="296">
        <v>110</v>
      </c>
      <c r="I22" s="296">
        <v>57692</v>
      </c>
      <c r="J22" s="296">
        <v>137</v>
      </c>
      <c r="K22" s="294">
        <v>3572</v>
      </c>
    </row>
    <row r="23" spans="1:11" s="162" customFormat="1" ht="9.9499999999999993" customHeight="1">
      <c r="A23" s="162" t="s">
        <v>561</v>
      </c>
      <c r="B23" s="255">
        <v>129</v>
      </c>
      <c r="C23" s="255">
        <v>4132</v>
      </c>
      <c r="D23" s="255">
        <v>293</v>
      </c>
      <c r="E23" s="255">
        <v>13050</v>
      </c>
      <c r="F23" s="255">
        <v>80134</v>
      </c>
      <c r="G23" s="255">
        <v>36157</v>
      </c>
      <c r="H23" s="382">
        <v>6600</v>
      </c>
      <c r="I23" s="382">
        <v>59945</v>
      </c>
      <c r="J23" s="382">
        <v>129</v>
      </c>
      <c r="K23" s="255">
        <v>3275</v>
      </c>
    </row>
    <row r="24" spans="1:11" s="162" customFormat="1" ht="9.9499999999999993" customHeight="1">
      <c r="A24" s="304" t="s">
        <v>569</v>
      </c>
      <c r="B24" s="294">
        <v>131</v>
      </c>
      <c r="C24" s="294">
        <v>4154</v>
      </c>
      <c r="D24" s="294">
        <v>336</v>
      </c>
      <c r="E24" s="294">
        <v>13100</v>
      </c>
      <c r="F24" s="294">
        <v>80512</v>
      </c>
      <c r="G24" s="294">
        <v>35932</v>
      </c>
      <c r="H24" s="296">
        <v>12735</v>
      </c>
      <c r="I24" s="296">
        <v>105807</v>
      </c>
      <c r="J24" s="296">
        <v>131</v>
      </c>
      <c r="K24" s="294">
        <v>3285</v>
      </c>
    </row>
    <row r="25" spans="1:11" s="162" customFormat="1" ht="9.9499999999999993" customHeight="1">
      <c r="A25" s="162" t="s">
        <v>570</v>
      </c>
      <c r="B25" s="255">
        <v>126</v>
      </c>
      <c r="C25" s="255">
        <v>4175</v>
      </c>
      <c r="D25" s="255">
        <v>315</v>
      </c>
      <c r="E25" s="255">
        <v>12050</v>
      </c>
      <c r="F25" s="255">
        <v>73491</v>
      </c>
      <c r="G25" s="255">
        <v>39220</v>
      </c>
      <c r="H25" s="382">
        <v>2041</v>
      </c>
      <c r="I25" s="382">
        <v>104876</v>
      </c>
      <c r="J25" s="382">
        <v>120</v>
      </c>
      <c r="K25" s="255">
        <v>3290</v>
      </c>
    </row>
    <row r="26" spans="1:11" s="162" customFormat="1" ht="9.9499999999999993" customHeight="1">
      <c r="A26" s="304" t="s">
        <v>562</v>
      </c>
      <c r="B26" s="294">
        <v>101</v>
      </c>
      <c r="C26" s="294">
        <v>4182</v>
      </c>
      <c r="D26" s="294">
        <v>135</v>
      </c>
      <c r="E26" s="294">
        <v>11500</v>
      </c>
      <c r="F26" s="294">
        <v>70490</v>
      </c>
      <c r="G26" s="294">
        <v>30444</v>
      </c>
      <c r="H26" s="296">
        <v>0</v>
      </c>
      <c r="I26" s="296">
        <v>151828</v>
      </c>
      <c r="J26" s="296">
        <v>144</v>
      </c>
      <c r="K26" s="294">
        <v>3299</v>
      </c>
    </row>
    <row r="27" spans="1:11" s="162" customFormat="1" ht="9.9499999999999993" customHeight="1">
      <c r="A27" s="162" t="s">
        <v>571</v>
      </c>
      <c r="B27" s="255">
        <v>109</v>
      </c>
      <c r="C27" s="255">
        <v>4187</v>
      </c>
      <c r="D27" s="255">
        <v>106</v>
      </c>
      <c r="E27" s="255">
        <v>11450</v>
      </c>
      <c r="F27" s="255">
        <v>78608</v>
      </c>
      <c r="G27" s="255">
        <v>26301</v>
      </c>
      <c r="H27" s="382">
        <v>0</v>
      </c>
      <c r="I27" s="382">
        <v>106132</v>
      </c>
      <c r="J27" s="382">
        <v>130</v>
      </c>
      <c r="K27" s="255">
        <v>3290</v>
      </c>
    </row>
    <row r="28" spans="1:11" s="162" customFormat="1" ht="9.9499999999999993" customHeight="1">
      <c r="A28" s="304" t="s">
        <v>572</v>
      </c>
      <c r="B28" s="294">
        <v>124</v>
      </c>
      <c r="C28" s="294">
        <v>5527</v>
      </c>
      <c r="D28" s="294">
        <v>122</v>
      </c>
      <c r="E28" s="294">
        <v>11400</v>
      </c>
      <c r="F28" s="294">
        <v>60180</v>
      </c>
      <c r="G28" s="294">
        <v>30026</v>
      </c>
      <c r="H28" s="296">
        <v>0</v>
      </c>
      <c r="I28" s="296">
        <v>152818</v>
      </c>
      <c r="J28" s="296">
        <v>94</v>
      </c>
      <c r="K28" s="294">
        <v>3275</v>
      </c>
    </row>
    <row r="29" spans="1:11" s="162" customFormat="1" ht="9.9499999999999993" customHeight="1">
      <c r="A29" s="162" t="s">
        <v>563</v>
      </c>
      <c r="B29" s="255">
        <v>123</v>
      </c>
      <c r="C29" s="255">
        <v>6040</v>
      </c>
      <c r="D29" s="255">
        <v>125</v>
      </c>
      <c r="E29" s="255">
        <v>11350</v>
      </c>
      <c r="F29" s="255">
        <v>62923</v>
      </c>
      <c r="G29" s="255">
        <v>30525</v>
      </c>
      <c r="H29" s="382">
        <v>0</v>
      </c>
      <c r="I29" s="382">
        <v>132577</v>
      </c>
      <c r="J29" s="382">
        <v>123</v>
      </c>
      <c r="K29" s="255">
        <v>3275</v>
      </c>
    </row>
    <row r="30" spans="1:11" s="162" customFormat="1" ht="9.9499999999999993" customHeight="1">
      <c r="A30" s="306" t="s">
        <v>2183</v>
      </c>
      <c r="B30" s="294"/>
      <c r="C30" s="294"/>
      <c r="D30" s="543">
        <f t="shared" ref="D30" si="1">SUM(D31:D42)</f>
        <v>1541</v>
      </c>
      <c r="E30" s="294"/>
      <c r="F30" s="294"/>
      <c r="G30" s="294"/>
      <c r="H30" s="491">
        <f t="shared" ref="H30:I30" si="2">SUM(H31:H42)</f>
        <v>20753.25</v>
      </c>
      <c r="I30" s="491">
        <f t="shared" si="2"/>
        <v>947827.05</v>
      </c>
      <c r="J30" s="543">
        <f>SUM(J31:J42)</f>
        <v>1257</v>
      </c>
      <c r="K30" s="294"/>
    </row>
    <row r="31" spans="1:11" s="162" customFormat="1" ht="9.9499999999999993" customHeight="1">
      <c r="A31" s="253" t="s">
        <v>565</v>
      </c>
      <c r="B31" s="255">
        <v>121</v>
      </c>
      <c r="C31" s="255">
        <v>4185</v>
      </c>
      <c r="D31" s="255">
        <v>113</v>
      </c>
      <c r="E31" s="255">
        <v>11250</v>
      </c>
      <c r="F31" s="255">
        <v>65923</v>
      </c>
      <c r="G31" s="255">
        <v>29216</v>
      </c>
      <c r="H31" s="382">
        <v>0</v>
      </c>
      <c r="I31" s="382">
        <v>71531</v>
      </c>
      <c r="J31" s="382">
        <v>116</v>
      </c>
      <c r="K31" s="255">
        <v>3127</v>
      </c>
    </row>
    <row r="32" spans="1:11" s="162" customFormat="1" ht="9.9499999999999993" customHeight="1">
      <c r="A32" s="326" t="s">
        <v>566</v>
      </c>
      <c r="B32" s="294">
        <v>124</v>
      </c>
      <c r="C32" s="294">
        <v>4503</v>
      </c>
      <c r="D32" s="294">
        <v>112</v>
      </c>
      <c r="E32" s="294">
        <v>11320</v>
      </c>
      <c r="F32" s="294">
        <v>74093</v>
      </c>
      <c r="G32" s="294">
        <v>47331</v>
      </c>
      <c r="H32" s="296">
        <v>0</v>
      </c>
      <c r="I32" s="296">
        <v>97401</v>
      </c>
      <c r="J32" s="296">
        <v>141</v>
      </c>
      <c r="K32" s="294">
        <v>3100</v>
      </c>
    </row>
    <row r="33" spans="1:11" s="162" customFormat="1" ht="9.9499999999999993" customHeight="1">
      <c r="A33" s="253" t="s">
        <v>560</v>
      </c>
      <c r="B33" s="255">
        <v>120</v>
      </c>
      <c r="C33" s="255">
        <v>3663</v>
      </c>
      <c r="D33" s="255">
        <v>0</v>
      </c>
      <c r="E33" s="255">
        <v>11920</v>
      </c>
      <c r="F33" s="255">
        <v>58214</v>
      </c>
      <c r="G33" s="255" t="s">
        <v>295</v>
      </c>
      <c r="H33" s="382">
        <v>0</v>
      </c>
      <c r="I33" s="382">
        <v>76099</v>
      </c>
      <c r="J33" s="382">
        <v>119</v>
      </c>
      <c r="K33" s="255">
        <v>3250</v>
      </c>
    </row>
    <row r="34" spans="1:11" s="162" customFormat="1" ht="9.9499999999999993" customHeight="1">
      <c r="A34" s="326" t="s">
        <v>567</v>
      </c>
      <c r="B34" s="294" t="s">
        <v>295</v>
      </c>
      <c r="C34" s="294" t="s">
        <v>295</v>
      </c>
      <c r="D34" s="294">
        <v>38</v>
      </c>
      <c r="E34" s="294" t="s">
        <v>295</v>
      </c>
      <c r="F34" s="294" t="s">
        <v>295</v>
      </c>
      <c r="G34" s="294" t="s">
        <v>295</v>
      </c>
      <c r="H34" s="296">
        <v>0</v>
      </c>
      <c r="I34" s="296">
        <v>101250</v>
      </c>
      <c r="J34" s="296">
        <v>121</v>
      </c>
      <c r="K34" s="294" t="s">
        <v>295</v>
      </c>
    </row>
    <row r="35" spans="1:11" s="162" customFormat="1" ht="9.9499999999999993" customHeight="1">
      <c r="A35" s="253" t="s">
        <v>568</v>
      </c>
      <c r="B35" s="255" t="s">
        <v>295</v>
      </c>
      <c r="C35" s="255" t="s">
        <v>295</v>
      </c>
      <c r="D35" s="255">
        <v>63</v>
      </c>
      <c r="E35" s="255" t="s">
        <v>295</v>
      </c>
      <c r="F35" s="255" t="s">
        <v>295</v>
      </c>
      <c r="G35" s="255" t="s">
        <v>295</v>
      </c>
      <c r="H35" s="382">
        <v>340</v>
      </c>
      <c r="I35" s="382">
        <v>98044</v>
      </c>
      <c r="J35" s="382">
        <v>125</v>
      </c>
      <c r="K35" s="255" t="s">
        <v>295</v>
      </c>
    </row>
    <row r="36" spans="1:11" s="162" customFormat="1" ht="9.9499999999999993" customHeight="1">
      <c r="A36" s="326" t="s">
        <v>561</v>
      </c>
      <c r="B36" s="294" t="s">
        <v>295</v>
      </c>
      <c r="C36" s="294" t="s">
        <v>295</v>
      </c>
      <c r="D36" s="294">
        <v>0</v>
      </c>
      <c r="E36" s="294" t="s">
        <v>295</v>
      </c>
      <c r="F36" s="294" t="s">
        <v>295</v>
      </c>
      <c r="G36" s="294" t="s">
        <v>295</v>
      </c>
      <c r="H36" s="296">
        <v>8726</v>
      </c>
      <c r="I36" s="296">
        <v>101463</v>
      </c>
      <c r="J36" s="296">
        <v>127</v>
      </c>
      <c r="K36" s="294" t="s">
        <v>295</v>
      </c>
    </row>
    <row r="37" spans="1:11" s="162" customFormat="1" ht="9.9499999999999993" customHeight="1">
      <c r="A37" s="253" t="s">
        <v>569</v>
      </c>
      <c r="B37" s="255" t="s">
        <v>295</v>
      </c>
      <c r="C37" s="255" t="s">
        <v>295</v>
      </c>
      <c r="D37" s="255">
        <v>202</v>
      </c>
      <c r="E37" s="255" t="s">
        <v>295</v>
      </c>
      <c r="F37" s="255" t="s">
        <v>295</v>
      </c>
      <c r="G37" s="255" t="s">
        <v>295</v>
      </c>
      <c r="H37" s="382">
        <v>11444.5</v>
      </c>
      <c r="I37" s="382">
        <v>79747</v>
      </c>
      <c r="J37" s="382">
        <v>132</v>
      </c>
      <c r="K37" s="255" t="s">
        <v>295</v>
      </c>
    </row>
    <row r="38" spans="1:11" s="162" customFormat="1" ht="9.9499999999999993" customHeight="1">
      <c r="A38" s="326" t="s">
        <v>570</v>
      </c>
      <c r="B38" s="294" t="s">
        <v>295</v>
      </c>
      <c r="C38" s="294" t="s">
        <v>295</v>
      </c>
      <c r="D38" s="294">
        <v>244</v>
      </c>
      <c r="E38" s="294" t="s">
        <v>295</v>
      </c>
      <c r="F38" s="294" t="s">
        <v>295</v>
      </c>
      <c r="G38" s="294" t="s">
        <v>295</v>
      </c>
      <c r="H38" s="296">
        <v>242.75</v>
      </c>
      <c r="I38" s="296">
        <v>41073</v>
      </c>
      <c r="J38" s="296">
        <v>112</v>
      </c>
      <c r="K38" s="294" t="s">
        <v>295</v>
      </c>
    </row>
    <row r="39" spans="1:11" s="162" customFormat="1" ht="9.9499999999999993" customHeight="1">
      <c r="A39" s="1374" t="s">
        <v>562</v>
      </c>
      <c r="B39" s="449" t="s">
        <v>295</v>
      </c>
      <c r="C39" s="449" t="s">
        <v>295</v>
      </c>
      <c r="D39" s="449">
        <v>191</v>
      </c>
      <c r="E39" s="449" t="s">
        <v>295</v>
      </c>
      <c r="F39" s="449" t="s">
        <v>295</v>
      </c>
      <c r="G39" s="449" t="s">
        <v>295</v>
      </c>
      <c r="H39" s="1464">
        <v>0</v>
      </c>
      <c r="I39" s="1464">
        <v>58484</v>
      </c>
      <c r="J39" s="1464">
        <v>93</v>
      </c>
      <c r="K39" s="449" t="s">
        <v>295</v>
      </c>
    </row>
    <row r="40" spans="1:11" s="162" customFormat="1" ht="9.9499999999999993" customHeight="1">
      <c r="A40" s="1465" t="s">
        <v>571</v>
      </c>
      <c r="B40" s="1466" t="s">
        <v>295</v>
      </c>
      <c r="C40" s="1466" t="s">
        <v>295</v>
      </c>
      <c r="D40" s="1466">
        <v>167</v>
      </c>
      <c r="E40" s="1466" t="s">
        <v>295</v>
      </c>
      <c r="F40" s="1466" t="s">
        <v>295</v>
      </c>
      <c r="G40" s="1466" t="s">
        <v>295</v>
      </c>
      <c r="H40" s="1064">
        <v>0</v>
      </c>
      <c r="I40" s="1064">
        <v>81520</v>
      </c>
      <c r="J40" s="1064">
        <v>69</v>
      </c>
      <c r="K40" s="1466" t="s">
        <v>295</v>
      </c>
    </row>
    <row r="41" spans="1:11" s="162" customFormat="1" ht="9.9499999999999993" customHeight="1">
      <c r="A41" s="1374" t="s">
        <v>572</v>
      </c>
      <c r="B41" s="449" t="s">
        <v>295</v>
      </c>
      <c r="C41" s="449" t="s">
        <v>295</v>
      </c>
      <c r="D41" s="449">
        <v>202</v>
      </c>
      <c r="E41" s="449" t="s">
        <v>295</v>
      </c>
      <c r="F41" s="449" t="s">
        <v>295</v>
      </c>
      <c r="G41" s="449" t="s">
        <v>295</v>
      </c>
      <c r="H41" s="1464">
        <v>0</v>
      </c>
      <c r="I41" s="1464">
        <v>69408</v>
      </c>
      <c r="J41" s="1464">
        <v>48</v>
      </c>
      <c r="K41" s="449" t="s">
        <v>295</v>
      </c>
    </row>
    <row r="42" spans="1:11" s="162" customFormat="1" ht="9.9499999999999993" customHeight="1">
      <c r="A42" s="1465" t="s">
        <v>563</v>
      </c>
      <c r="B42" s="1466" t="s">
        <v>295</v>
      </c>
      <c r="C42" s="1466" t="s">
        <v>295</v>
      </c>
      <c r="D42" s="1466">
        <v>209</v>
      </c>
      <c r="E42" s="1466" t="s">
        <v>295</v>
      </c>
      <c r="F42" s="1466" t="s">
        <v>295</v>
      </c>
      <c r="G42" s="1466" t="s">
        <v>295</v>
      </c>
      <c r="H42" s="1064">
        <v>0</v>
      </c>
      <c r="I42" s="1064">
        <f>8472+7950+55385.05</f>
        <v>71807.05</v>
      </c>
      <c r="J42" s="1064">
        <v>54</v>
      </c>
      <c r="K42" s="1466" t="s">
        <v>295</v>
      </c>
    </row>
    <row r="43" spans="1:11" s="162" customFormat="1" ht="9.9499999999999993" customHeight="1">
      <c r="A43" s="190" t="s">
        <v>2345</v>
      </c>
      <c r="B43" s="346"/>
      <c r="C43" s="346"/>
      <c r="D43" s="496">
        <f t="shared" ref="D43:I43" si="3">SUM(D44:D55)</f>
        <v>2509.77</v>
      </c>
      <c r="E43" s="346"/>
      <c r="F43" s="346"/>
      <c r="G43" s="346"/>
      <c r="H43" s="346">
        <f t="shared" si="3"/>
        <v>30819</v>
      </c>
      <c r="I43" s="346">
        <f t="shared" si="3"/>
        <v>663247.75</v>
      </c>
      <c r="J43" s="496">
        <f>SUM(J44:J55)</f>
        <v>53</v>
      </c>
      <c r="K43" s="346"/>
    </row>
    <row r="44" spans="1:11" s="162" customFormat="1" ht="9.9499999999999993" customHeight="1">
      <c r="A44" s="1465" t="s">
        <v>565</v>
      </c>
      <c r="B44" s="1466" t="s">
        <v>295</v>
      </c>
      <c r="C44" s="1466" t="s">
        <v>295</v>
      </c>
      <c r="D44" s="1466">
        <v>330</v>
      </c>
      <c r="E44" s="1466" t="s">
        <v>295</v>
      </c>
      <c r="F44" s="1466" t="s">
        <v>295</v>
      </c>
      <c r="G44" s="1466" t="s">
        <v>295</v>
      </c>
      <c r="H44" s="1064">
        <v>0</v>
      </c>
      <c r="I44" s="1064">
        <f>3402+5705+58877</f>
        <v>67984</v>
      </c>
      <c r="J44" s="1064">
        <v>38</v>
      </c>
      <c r="K44" s="1466" t="s">
        <v>295</v>
      </c>
    </row>
    <row r="45" spans="1:11" s="162" customFormat="1" ht="9.9499999999999993" customHeight="1">
      <c r="A45" s="1374" t="s">
        <v>566</v>
      </c>
      <c r="B45" s="449" t="s">
        <v>295</v>
      </c>
      <c r="C45" s="449" t="s">
        <v>295</v>
      </c>
      <c r="D45" s="1464">
        <v>79.33</v>
      </c>
      <c r="E45" s="449" t="s">
        <v>295</v>
      </c>
      <c r="F45" s="449" t="s">
        <v>295</v>
      </c>
      <c r="G45" s="449" t="s">
        <v>295</v>
      </c>
      <c r="H45" s="1464">
        <v>0</v>
      </c>
      <c r="I45" s="1464">
        <f>4838+6880+79156</f>
        <v>90874</v>
      </c>
      <c r="J45" s="1464">
        <v>15</v>
      </c>
      <c r="K45" s="449" t="s">
        <v>295</v>
      </c>
    </row>
    <row r="46" spans="1:11" s="162" customFormat="1" ht="9.9499999999999993" customHeight="1">
      <c r="A46" s="1465" t="s">
        <v>560</v>
      </c>
      <c r="B46" s="1466" t="s">
        <v>295</v>
      </c>
      <c r="C46" s="1466" t="s">
        <v>295</v>
      </c>
      <c r="D46" s="1064">
        <v>408</v>
      </c>
      <c r="E46" s="1466" t="s">
        <v>295</v>
      </c>
      <c r="F46" s="1466" t="s">
        <v>295</v>
      </c>
      <c r="G46" s="1466" t="s">
        <v>295</v>
      </c>
      <c r="H46" s="1064">
        <v>0</v>
      </c>
      <c r="I46" s="1064">
        <f>30814+9066+6908</f>
        <v>46788</v>
      </c>
      <c r="J46" s="1064">
        <v>0</v>
      </c>
      <c r="K46" s="1466" t="s">
        <v>295</v>
      </c>
    </row>
    <row r="47" spans="1:11" s="162" customFormat="1" ht="9.9499999999999993" customHeight="1">
      <c r="A47" s="1374" t="s">
        <v>567</v>
      </c>
      <c r="B47" s="449" t="s">
        <v>295</v>
      </c>
      <c r="C47" s="449" t="s">
        <v>295</v>
      </c>
      <c r="D47" s="1464">
        <v>227</v>
      </c>
      <c r="E47" s="449" t="s">
        <v>295</v>
      </c>
      <c r="F47" s="449" t="s">
        <v>295</v>
      </c>
      <c r="G47" s="449" t="s">
        <v>295</v>
      </c>
      <c r="H47" s="1464">
        <v>0</v>
      </c>
      <c r="I47" s="1464">
        <f>4589+6765+8624</f>
        <v>19978</v>
      </c>
      <c r="J47" s="1464">
        <v>0</v>
      </c>
      <c r="K47" s="449" t="s">
        <v>295</v>
      </c>
    </row>
    <row r="48" spans="1:11" s="162" customFormat="1" ht="9.9499999999999993" customHeight="1">
      <c r="A48" s="1465" t="s">
        <v>568</v>
      </c>
      <c r="B48" s="1466" t="s">
        <v>295</v>
      </c>
      <c r="C48" s="1466" t="s">
        <v>295</v>
      </c>
      <c r="D48" s="1064">
        <v>331</v>
      </c>
      <c r="E48" s="1466" t="s">
        <v>295</v>
      </c>
      <c r="F48" s="1466" t="s">
        <v>295</v>
      </c>
      <c r="G48" s="1466" t="s">
        <v>295</v>
      </c>
      <c r="H48" s="1064">
        <v>1941</v>
      </c>
      <c r="I48" s="1064">
        <f>61870+11865+3283</f>
        <v>77018</v>
      </c>
      <c r="J48" s="1064">
        <v>0</v>
      </c>
      <c r="K48" s="1466" t="s">
        <v>295</v>
      </c>
    </row>
    <row r="49" spans="1:11" s="162" customFormat="1" ht="9.9499999999999993" customHeight="1">
      <c r="A49" s="1374" t="s">
        <v>561</v>
      </c>
      <c r="B49" s="449" t="s">
        <v>295</v>
      </c>
      <c r="C49" s="449" t="s">
        <v>295</v>
      </c>
      <c r="D49" s="1464">
        <v>210</v>
      </c>
      <c r="E49" s="449" t="s">
        <v>295</v>
      </c>
      <c r="F49" s="449" t="s">
        <v>295</v>
      </c>
      <c r="G49" s="449" t="s">
        <v>295</v>
      </c>
      <c r="H49" s="1464">
        <v>8970</v>
      </c>
      <c r="I49" s="1464">
        <v>101010</v>
      </c>
      <c r="J49" s="1464">
        <v>0</v>
      </c>
      <c r="K49" s="449" t="s">
        <v>295</v>
      </c>
    </row>
    <row r="50" spans="1:11" s="162" customFormat="1" ht="9.9499999999999993" customHeight="1">
      <c r="A50" s="1465" t="s">
        <v>569</v>
      </c>
      <c r="B50" s="1466" t="s">
        <v>295</v>
      </c>
      <c r="C50" s="1466" t="s">
        <v>295</v>
      </c>
      <c r="D50" s="1064">
        <v>53</v>
      </c>
      <c r="E50" s="1466" t="s">
        <v>295</v>
      </c>
      <c r="F50" s="1466" t="s">
        <v>295</v>
      </c>
      <c r="G50" s="1466" t="s">
        <v>295</v>
      </c>
      <c r="H50" s="1064">
        <v>14569</v>
      </c>
      <c r="I50" s="1064">
        <v>118635</v>
      </c>
      <c r="J50" s="1064">
        <v>0</v>
      </c>
      <c r="K50" s="1466" t="s">
        <v>295</v>
      </c>
    </row>
    <row r="51" spans="1:11" s="162" customFormat="1" ht="9.9499999999999993" customHeight="1">
      <c r="A51" s="1374" t="s">
        <v>570</v>
      </c>
      <c r="B51" s="1464" t="s">
        <v>295</v>
      </c>
      <c r="C51" s="449" t="s">
        <v>295</v>
      </c>
      <c r="D51" s="1464">
        <v>254.64</v>
      </c>
      <c r="E51" s="449" t="s">
        <v>295</v>
      </c>
      <c r="F51" s="449" t="s">
        <v>295</v>
      </c>
      <c r="G51" s="449" t="s">
        <v>295</v>
      </c>
      <c r="H51" s="1464">
        <v>5116</v>
      </c>
      <c r="I51" s="1464">
        <v>57503</v>
      </c>
      <c r="J51" s="1464">
        <v>0</v>
      </c>
      <c r="K51" s="449" t="s">
        <v>295</v>
      </c>
    </row>
    <row r="52" spans="1:11" s="162" customFormat="1" ht="9.9499999999999993" customHeight="1">
      <c r="A52" s="1465" t="s">
        <v>562</v>
      </c>
      <c r="B52" s="1466" t="s">
        <v>295</v>
      </c>
      <c r="C52" s="1466" t="s">
        <v>295</v>
      </c>
      <c r="D52" s="1064">
        <v>189.69</v>
      </c>
      <c r="E52" s="1466" t="s">
        <v>295</v>
      </c>
      <c r="F52" s="1466" t="s">
        <v>295</v>
      </c>
      <c r="G52" s="1466" t="s">
        <v>295</v>
      </c>
      <c r="H52" s="1064">
        <v>223</v>
      </c>
      <c r="I52" s="1064">
        <v>30614</v>
      </c>
      <c r="J52" s="1064">
        <v>0</v>
      </c>
      <c r="K52" s="1466" t="s">
        <v>295</v>
      </c>
    </row>
    <row r="53" spans="1:11" s="162" customFormat="1" ht="9.9499999999999993" customHeight="1">
      <c r="A53" s="1374" t="s">
        <v>571</v>
      </c>
      <c r="B53" s="1464" t="s">
        <v>295</v>
      </c>
      <c r="C53" s="449" t="s">
        <v>295</v>
      </c>
      <c r="D53" s="1464">
        <v>208.71</v>
      </c>
      <c r="E53" s="449" t="s">
        <v>295</v>
      </c>
      <c r="F53" s="449" t="s">
        <v>295</v>
      </c>
      <c r="G53" s="449" t="s">
        <v>295</v>
      </c>
      <c r="H53" s="1464">
        <v>0</v>
      </c>
      <c r="I53" s="1464">
        <v>10858</v>
      </c>
      <c r="J53" s="1464">
        <v>0</v>
      </c>
      <c r="K53" s="449" t="s">
        <v>295</v>
      </c>
    </row>
    <row r="54" spans="1:11" s="162" customFormat="1" ht="9.9499999999999993" customHeight="1">
      <c r="A54" s="1465" t="s">
        <v>572</v>
      </c>
      <c r="B54" s="1064" t="s">
        <v>295</v>
      </c>
      <c r="C54" s="1466" t="s">
        <v>295</v>
      </c>
      <c r="D54" s="1064">
        <v>128</v>
      </c>
      <c r="E54" s="1466" t="s">
        <v>295</v>
      </c>
      <c r="F54" s="1466" t="s">
        <v>295</v>
      </c>
      <c r="G54" s="1466" t="s">
        <v>295</v>
      </c>
      <c r="H54" s="1064">
        <v>0</v>
      </c>
      <c r="I54" s="1064">
        <v>20948</v>
      </c>
      <c r="J54" s="1064">
        <v>0</v>
      </c>
      <c r="K54" s="1466" t="s">
        <v>295</v>
      </c>
    </row>
    <row r="55" spans="1:11" s="162" customFormat="1" ht="9.9499999999999993" customHeight="1" thickBot="1">
      <c r="A55" s="1583" t="s">
        <v>563</v>
      </c>
      <c r="B55" s="1585" t="s">
        <v>295</v>
      </c>
      <c r="C55" s="1584" t="s">
        <v>295</v>
      </c>
      <c r="D55" s="1585">
        <v>90.4</v>
      </c>
      <c r="E55" s="1584" t="s">
        <v>295</v>
      </c>
      <c r="F55" s="1584" t="s">
        <v>295</v>
      </c>
      <c r="G55" s="1584" t="s">
        <v>295</v>
      </c>
      <c r="H55" s="1585">
        <v>0</v>
      </c>
      <c r="I55" s="1585">
        <v>21037.75</v>
      </c>
      <c r="J55" s="1585">
        <v>0</v>
      </c>
      <c r="K55" s="1584" t="s">
        <v>295</v>
      </c>
    </row>
    <row r="56" spans="1:11" s="283" customFormat="1" ht="9.9499999999999993" customHeight="1">
      <c r="A56" s="475" t="s">
        <v>705</v>
      </c>
      <c r="B56" s="2248" t="s">
        <v>1401</v>
      </c>
      <c r="C56" s="2248"/>
      <c r="D56" s="2248"/>
      <c r="E56" s="2248"/>
      <c r="F56" s="260"/>
      <c r="G56" s="476" t="s">
        <v>236</v>
      </c>
      <c r="H56" s="2247" t="s">
        <v>2326</v>
      </c>
      <c r="I56" s="2247"/>
      <c r="J56" s="2247"/>
      <c r="K56" s="2247"/>
    </row>
    <row r="57" spans="1:11" s="283" customFormat="1" ht="9.9499999999999993" customHeight="1">
      <c r="A57" s="161" t="s">
        <v>635</v>
      </c>
      <c r="B57" s="277" t="s">
        <v>1402</v>
      </c>
      <c r="C57" s="1577"/>
      <c r="D57" s="1577"/>
      <c r="E57" s="1578"/>
      <c r="F57" s="1578"/>
      <c r="G57" s="1579"/>
      <c r="H57" s="1575" t="s">
        <v>2300</v>
      </c>
      <c r="I57" s="1575"/>
      <c r="J57" s="1575"/>
      <c r="K57" s="1575"/>
    </row>
    <row r="58" spans="1:11" s="283" customFormat="1" ht="9.9499999999999993" customHeight="1">
      <c r="A58" s="477" t="s">
        <v>237</v>
      </c>
      <c r="B58" s="2242" t="s">
        <v>2325</v>
      </c>
      <c r="C58" s="2242"/>
      <c r="D58" s="2242"/>
      <c r="E58" s="1578"/>
      <c r="F58" s="1580"/>
      <c r="G58" s="477"/>
      <c r="H58" s="2246" t="s">
        <v>2301</v>
      </c>
      <c r="I58" s="2246"/>
      <c r="J58" s="2246"/>
      <c r="K58" s="2246"/>
    </row>
    <row r="59" spans="1:11" s="283" customFormat="1" ht="9.9499999999999993" customHeight="1">
      <c r="A59" s="477" t="s">
        <v>238</v>
      </c>
      <c r="E59" s="850"/>
      <c r="F59" s="223"/>
      <c r="G59" s="477"/>
      <c r="H59" s="2242" t="s">
        <v>1417</v>
      </c>
      <c r="I59" s="2242"/>
      <c r="J59" s="2242"/>
      <c r="K59" s="2242"/>
    </row>
    <row r="60" spans="1:11" s="283" customFormat="1" ht="9.9499999999999993" customHeight="1">
      <c r="A60" s="477" t="s">
        <v>239</v>
      </c>
      <c r="B60" s="850"/>
      <c r="C60" s="850"/>
      <c r="D60" s="223"/>
      <c r="E60" s="223"/>
      <c r="F60" s="223"/>
      <c r="G60" s="477"/>
      <c r="H60" s="2242" t="s">
        <v>1604</v>
      </c>
      <c r="I60" s="2242"/>
      <c r="J60" s="1577"/>
      <c r="K60" s="1577"/>
    </row>
    <row r="61" spans="1:11">
      <c r="F61" s="850"/>
    </row>
    <row r="62" spans="1:11">
      <c r="B62" s="850"/>
      <c r="C62" s="850"/>
      <c r="D62" s="850"/>
      <c r="E62" s="850"/>
      <c r="F62" s="850"/>
    </row>
    <row r="63" spans="1:11">
      <c r="B63" s="850"/>
      <c r="C63" s="850"/>
      <c r="D63" s="850"/>
      <c r="E63" s="850"/>
    </row>
    <row r="64" spans="1:11">
      <c r="B64" s="850"/>
      <c r="C64" s="850"/>
      <c r="D64" s="850"/>
      <c r="E64" s="850"/>
    </row>
    <row r="65" spans="2:3">
      <c r="B65" s="850"/>
      <c r="C65" s="850"/>
    </row>
    <row r="67" spans="2:3">
      <c r="B67" s="850"/>
    </row>
  </sheetData>
  <customSheetViews>
    <customSheetView guid="{A374FC54-96E3-45F0-9C12-8450400C12DF}" scale="172">
      <pane xSplit="1" ySplit="4" topLeftCell="J43" activePane="bottomRight" state="frozen"/>
      <selection pane="bottomRight" activeCell="O54" sqref="O54"/>
      <pageMargins left="0.62992125984251968" right="0.39370078740157483" top="0.51180993000874886" bottom="0.51180993000874886" header="0" footer="0.51333333333333331"/>
      <pageSetup paperSize="132" firstPageNumber="4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H59:K59"/>
    <mergeCell ref="H60:I60"/>
    <mergeCell ref="A1:I1"/>
    <mergeCell ref="J1:K1"/>
    <mergeCell ref="G2:I2"/>
    <mergeCell ref="B58:D58"/>
    <mergeCell ref="H58:K58"/>
    <mergeCell ref="H56:K56"/>
    <mergeCell ref="B56:E56"/>
    <mergeCell ref="A3:A4"/>
    <mergeCell ref="C2:E2"/>
  </mergeCells>
  <phoneticPr fontId="5" type="noConversion"/>
  <pageMargins left="0.62992125984251968" right="0.39370078740157483" top="0.51180993000874886" bottom="0.51180993000874886" header="0" footer="0.51333333333333331"/>
  <pageSetup paperSize="448" firstPageNumber="40" orientation="portrait" useFirstPageNumber="1" r:id="rId2"/>
  <headerFooter alignWithMargins="0">
    <oddFooter>&amp;C&amp;"Times New Roman,Regular"&amp;8&amp;P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H53"/>
  <sheetViews>
    <sheetView topLeftCell="A37" zoomScale="160" zoomScaleNormal="160" workbookViewId="0">
      <selection activeCell="E52" sqref="E52"/>
    </sheetView>
  </sheetViews>
  <sheetFormatPr defaultColWidth="9.140625" defaultRowHeight="12.75"/>
  <cols>
    <col min="1" max="1" width="7.5703125" style="2" customWidth="1"/>
    <col min="2" max="2" width="9.28515625" style="2" customWidth="1"/>
    <col min="3" max="3" width="8.140625" style="2" customWidth="1"/>
    <col min="4" max="4" width="10.140625" style="2" customWidth="1"/>
    <col min="5" max="5" width="9.85546875" style="2" customWidth="1"/>
    <col min="6" max="6" width="11" style="2" customWidth="1"/>
    <col min="7" max="7" width="10.140625" style="2" customWidth="1"/>
    <col min="8" max="8" width="9.85546875" style="2" customWidth="1"/>
    <col min="9" max="9" width="11.5703125" style="2" customWidth="1"/>
    <col min="10" max="10" width="11.42578125" style="2" customWidth="1"/>
    <col min="11" max="16384" width="9.140625" style="2"/>
  </cols>
  <sheetData>
    <row r="1" spans="1:8" s="33" customFormat="1" ht="15.75" customHeight="1">
      <c r="A1" s="2253" t="s">
        <v>2302</v>
      </c>
      <c r="B1" s="2253"/>
      <c r="C1" s="2253"/>
      <c r="D1" s="2253"/>
      <c r="E1" s="2253"/>
      <c r="F1" s="2253"/>
      <c r="G1" s="2257" t="s">
        <v>2327</v>
      </c>
      <c r="H1" s="2257"/>
    </row>
    <row r="2" spans="1:8" s="33" customFormat="1" ht="8.25" customHeight="1">
      <c r="A2" s="1372"/>
      <c r="B2" s="1372"/>
      <c r="C2" s="1372"/>
      <c r="D2" s="1372"/>
      <c r="E2" s="1372"/>
      <c r="F2" s="1372"/>
      <c r="G2" s="1373"/>
      <c r="H2" s="1373"/>
    </row>
    <row r="3" spans="1:8" s="940" customFormat="1" ht="9.75" customHeight="1">
      <c r="A3" s="2181" t="s">
        <v>487</v>
      </c>
      <c r="B3" s="2254" t="s">
        <v>1326</v>
      </c>
      <c r="C3" s="2254"/>
      <c r="D3" s="2254" t="s">
        <v>91</v>
      </c>
      <c r="E3" s="2254"/>
      <c r="F3" s="2255" t="s">
        <v>2173</v>
      </c>
      <c r="G3" s="2254" t="s">
        <v>1293</v>
      </c>
      <c r="H3" s="2254"/>
    </row>
    <row r="4" spans="1:8" s="940" customFormat="1" ht="19.5" customHeight="1">
      <c r="A4" s="2181"/>
      <c r="B4" s="2256" t="s">
        <v>2172</v>
      </c>
      <c r="C4" s="2256" t="s">
        <v>2303</v>
      </c>
      <c r="D4" s="2256" t="s">
        <v>1421</v>
      </c>
      <c r="E4" s="2256" t="s">
        <v>1422</v>
      </c>
      <c r="F4" s="2256"/>
      <c r="G4" s="2256" t="s">
        <v>2272</v>
      </c>
      <c r="H4" s="2256" t="s">
        <v>1423</v>
      </c>
    </row>
    <row r="5" spans="1:8" s="940" customFormat="1" ht="12.75" customHeight="1">
      <c r="A5" s="2181"/>
      <c r="B5" s="2256"/>
      <c r="C5" s="2256"/>
      <c r="D5" s="2256"/>
      <c r="E5" s="2256"/>
      <c r="F5" s="2256"/>
      <c r="G5" s="2256"/>
      <c r="H5" s="2256"/>
    </row>
    <row r="6" spans="1:8" s="940" customFormat="1" ht="12.75" customHeight="1">
      <c r="A6" s="2182"/>
      <c r="B6" s="2256"/>
      <c r="C6" s="2256"/>
      <c r="D6" s="2256"/>
      <c r="E6" s="2256"/>
      <c r="F6" s="2256"/>
      <c r="G6" s="2256"/>
      <c r="H6" s="2256"/>
    </row>
    <row r="7" spans="1:8" s="8" customFormat="1" ht="11.45" customHeight="1">
      <c r="A7" s="1827">
        <v>2009</v>
      </c>
      <c r="B7" s="895">
        <v>3756.3333333333335</v>
      </c>
      <c r="C7" s="895">
        <v>7758.333333333333</v>
      </c>
      <c r="D7" s="751">
        <v>35.204166666666673</v>
      </c>
      <c r="E7" s="895">
        <v>23980.833333333332</v>
      </c>
      <c r="F7" s="751">
        <v>128.69797063195713</v>
      </c>
      <c r="G7" s="895">
        <v>586.66666666666663</v>
      </c>
      <c r="H7" s="895">
        <v>90.25</v>
      </c>
    </row>
    <row r="8" spans="1:8" s="8" customFormat="1" ht="11.45" customHeight="1">
      <c r="A8" s="892">
        <v>2010</v>
      </c>
      <c r="B8" s="896">
        <v>6190.916666666667</v>
      </c>
      <c r="C8" s="896">
        <v>13941.416666666666</v>
      </c>
      <c r="D8" s="715">
        <v>35.166666666666664</v>
      </c>
      <c r="E8" s="896">
        <v>31114.166666666668</v>
      </c>
      <c r="F8" s="715">
        <v>142.05333333333334</v>
      </c>
      <c r="G8" s="896">
        <v>912.5</v>
      </c>
      <c r="H8" s="896">
        <v>101.58333333333333</v>
      </c>
    </row>
    <row r="9" spans="1:8" s="164" customFormat="1" ht="11.45" customHeight="1">
      <c r="A9" s="893">
        <v>2011</v>
      </c>
      <c r="B9" s="897">
        <v>5937.5</v>
      </c>
      <c r="C9" s="897">
        <v>13850</v>
      </c>
      <c r="D9" s="770">
        <v>37.541666666666664</v>
      </c>
      <c r="E9" s="897">
        <v>26950</v>
      </c>
      <c r="F9" s="770">
        <v>166.13499999999999</v>
      </c>
      <c r="G9" s="897">
        <v>1087.9166666666667</v>
      </c>
      <c r="H9" s="897">
        <v>156.33333333333334</v>
      </c>
    </row>
    <row r="10" spans="1:8" s="164" customFormat="1" ht="11.45" customHeight="1">
      <c r="A10" s="892">
        <v>2012</v>
      </c>
      <c r="B10" s="896">
        <v>5833.333333333333</v>
      </c>
      <c r="C10" s="896">
        <v>13600</v>
      </c>
      <c r="D10" s="715">
        <v>32.875</v>
      </c>
      <c r="E10" s="896">
        <v>54033.333333333336</v>
      </c>
      <c r="F10" s="715">
        <v>172.94416666666669</v>
      </c>
      <c r="G10" s="896">
        <v>1053.125</v>
      </c>
      <c r="H10" s="896">
        <v>112.77777777777777</v>
      </c>
    </row>
    <row r="11" spans="1:8" s="219" customFormat="1" ht="11.45" customHeight="1">
      <c r="A11" s="1827">
        <v>2013</v>
      </c>
      <c r="B11" s="897">
        <v>5375</v>
      </c>
      <c r="C11" s="897">
        <v>12500</v>
      </c>
      <c r="D11" s="770">
        <v>37.041666666666664</v>
      </c>
      <c r="E11" s="897">
        <v>51868.181818181816</v>
      </c>
      <c r="F11" s="770">
        <v>199.83166666666662</v>
      </c>
      <c r="G11" s="897">
        <v>680</v>
      </c>
      <c r="H11" s="897">
        <v>79.833333333333329</v>
      </c>
    </row>
    <row r="12" spans="1:8" s="219" customFormat="1" ht="11.45" customHeight="1">
      <c r="A12" s="892">
        <v>2014</v>
      </c>
      <c r="B12" s="896">
        <v>5375</v>
      </c>
      <c r="C12" s="896">
        <v>12500</v>
      </c>
      <c r="D12" s="715">
        <v>40</v>
      </c>
      <c r="E12" s="896">
        <v>48600</v>
      </c>
      <c r="F12" s="715">
        <v>185.97166666666666</v>
      </c>
      <c r="G12" s="896">
        <v>1078.75</v>
      </c>
      <c r="H12" s="896">
        <v>109.33333333333333</v>
      </c>
    </row>
    <row r="13" spans="1:8" s="219" customFormat="1" ht="11.45" customHeight="1">
      <c r="A13" s="894">
        <v>2015</v>
      </c>
      <c r="B13" s="897">
        <v>5770.833333333333</v>
      </c>
      <c r="C13" s="897">
        <v>13650</v>
      </c>
      <c r="D13" s="770">
        <v>37.666666666666664</v>
      </c>
      <c r="E13" s="897">
        <v>44166.666666666664</v>
      </c>
      <c r="F13" s="770">
        <v>166.07666666666668</v>
      </c>
      <c r="G13" s="897">
        <v>1287.5</v>
      </c>
      <c r="H13" s="897">
        <v>96.416666666666671</v>
      </c>
    </row>
    <row r="14" spans="1:8" s="908" customFormat="1" ht="11.45" customHeight="1">
      <c r="A14" s="892">
        <v>2016</v>
      </c>
      <c r="B14" s="848">
        <v>6375</v>
      </c>
      <c r="C14" s="848">
        <v>15100</v>
      </c>
      <c r="D14" s="715">
        <v>38.416666666666664</v>
      </c>
      <c r="E14" s="896">
        <v>44000</v>
      </c>
      <c r="F14" s="715">
        <v>161.27999999999997</v>
      </c>
      <c r="G14" s="896">
        <v>1009.1666666666666</v>
      </c>
      <c r="H14" s="896">
        <v>87</v>
      </c>
    </row>
    <row r="15" spans="1:8" s="908" customFormat="1" ht="11.45" customHeight="1">
      <c r="A15" s="894">
        <v>2017</v>
      </c>
      <c r="B15" s="834">
        <v>6375</v>
      </c>
      <c r="C15" s="834">
        <v>15100</v>
      </c>
      <c r="D15" s="770">
        <v>45.166666666666664</v>
      </c>
      <c r="E15" s="897">
        <v>43173.333333333336</v>
      </c>
      <c r="F15" s="770">
        <v>164.67</v>
      </c>
      <c r="G15" s="897">
        <v>778.75</v>
      </c>
      <c r="H15" s="897">
        <v>67.666666666666671</v>
      </c>
    </row>
    <row r="16" spans="1:8" s="908" customFormat="1" ht="11.45" customHeight="1">
      <c r="A16" s="892">
        <v>2018</v>
      </c>
      <c r="B16" s="848">
        <v>6375</v>
      </c>
      <c r="C16" s="848">
        <v>15100</v>
      </c>
      <c r="D16" s="715">
        <v>44.666666666666664</v>
      </c>
      <c r="E16" s="896">
        <v>41401.666666666664</v>
      </c>
      <c r="F16" s="715">
        <v>171.87749999999997</v>
      </c>
      <c r="G16" s="896">
        <v>690.83333333333337</v>
      </c>
      <c r="H16" s="896">
        <v>59.166666666666664</v>
      </c>
    </row>
    <row r="17" spans="1:8" s="263" customFormat="1" ht="11.45" customHeight="1">
      <c r="A17" s="1363">
        <v>2019</v>
      </c>
      <c r="B17" s="901">
        <v>6385.416666666667</v>
      </c>
      <c r="C17" s="901">
        <v>15125</v>
      </c>
      <c r="D17" s="900">
        <v>35.583333333333336</v>
      </c>
      <c r="E17" s="901">
        <v>41673.333333333336</v>
      </c>
      <c r="F17" s="900">
        <v>172.48000000000002</v>
      </c>
      <c r="G17" s="901">
        <v>500.33333333333331</v>
      </c>
      <c r="H17" s="901">
        <v>45.75</v>
      </c>
    </row>
    <row r="18" spans="1:8" s="263" customFormat="1" ht="11.45" customHeight="1">
      <c r="A18" s="1364">
        <v>2020</v>
      </c>
      <c r="B18" s="899">
        <v>6677.083333333333</v>
      </c>
      <c r="C18" s="899">
        <v>15812.5</v>
      </c>
      <c r="D18" s="898">
        <v>43.75</v>
      </c>
      <c r="E18" s="899">
        <v>66450.416666666672</v>
      </c>
      <c r="F18" s="898">
        <v>180.03</v>
      </c>
      <c r="G18" s="899">
        <v>299.75</v>
      </c>
      <c r="H18" s="899">
        <v>22.75</v>
      </c>
    </row>
    <row r="19" spans="1:8" s="263" customFormat="1" ht="11.45" customHeight="1">
      <c r="A19" s="1363">
        <v>2021</v>
      </c>
      <c r="B19" s="1126">
        <v>14750</v>
      </c>
      <c r="C19" s="1126">
        <v>31700</v>
      </c>
      <c r="D19" s="900">
        <v>52</v>
      </c>
      <c r="E19" s="901">
        <v>64838.400000000001</v>
      </c>
      <c r="F19" s="900">
        <v>212.56583333333336</v>
      </c>
      <c r="G19" s="901">
        <v>311.5</v>
      </c>
      <c r="H19" s="901">
        <v>26.75</v>
      </c>
    </row>
    <row r="20" spans="1:8" s="263" customFormat="1" ht="11.45" customHeight="1">
      <c r="A20" s="1364">
        <v>2022</v>
      </c>
      <c r="B20" s="899">
        <v>12208.333333333334</v>
      </c>
      <c r="C20" s="899">
        <v>26283.333333333332</v>
      </c>
      <c r="D20" s="898">
        <v>52.916666666666664</v>
      </c>
      <c r="E20" s="899">
        <v>68920.833333333328</v>
      </c>
      <c r="F20" s="898">
        <v>224.35833333333335</v>
      </c>
      <c r="G20" s="899">
        <v>449</v>
      </c>
      <c r="H20" s="899">
        <v>25.166666666666668</v>
      </c>
    </row>
    <row r="21" spans="1:8" s="263" customFormat="1" ht="11.45" customHeight="1">
      <c r="A21" s="1363">
        <v>2023</v>
      </c>
      <c r="B21" s="1126">
        <f>AVERAGE(B22:B33)</f>
        <v>11700</v>
      </c>
      <c r="C21" s="1126">
        <f t="shared" ref="C21:D21" si="0">AVERAGE(C22:C33)</f>
        <v>24975</v>
      </c>
      <c r="D21" s="900">
        <f t="shared" si="0"/>
        <v>54.5</v>
      </c>
      <c r="E21" s="901">
        <f>AVERAGE(E22:E33)</f>
        <v>84539.166666666672</v>
      </c>
      <c r="F21" s="900">
        <f>AVERAGE(F22:F33)</f>
        <v>202.33083333333335</v>
      </c>
      <c r="G21" s="901">
        <f t="shared" ref="G21:H21" si="1">AVERAGE(G22:G33)</f>
        <v>531.41666666666663</v>
      </c>
      <c r="H21" s="901">
        <f t="shared" si="1"/>
        <v>34.5</v>
      </c>
    </row>
    <row r="22" spans="1:8" s="263" customFormat="1" ht="11.45" customHeight="1">
      <c r="A22" s="1362" t="s">
        <v>569</v>
      </c>
      <c r="B22" s="848">
        <v>11700</v>
      </c>
      <c r="C22" s="848">
        <v>25200</v>
      </c>
      <c r="D22" s="715">
        <v>54</v>
      </c>
      <c r="E22" s="848">
        <v>80100</v>
      </c>
      <c r="F22" s="902">
        <v>206.95</v>
      </c>
      <c r="G22" s="912">
        <v>450</v>
      </c>
      <c r="H22" s="912">
        <v>17</v>
      </c>
    </row>
    <row r="23" spans="1:8" s="263" customFormat="1" ht="11.45" customHeight="1">
      <c r="A23" s="1361" t="s">
        <v>570</v>
      </c>
      <c r="B23" s="834">
        <v>11700</v>
      </c>
      <c r="C23" s="834">
        <v>25200</v>
      </c>
      <c r="D23" s="770">
        <v>55</v>
      </c>
      <c r="E23" s="834">
        <v>79100</v>
      </c>
      <c r="F23" s="903">
        <v>203.04</v>
      </c>
      <c r="G23" s="911">
        <v>466</v>
      </c>
      <c r="H23" s="911">
        <v>21</v>
      </c>
    </row>
    <row r="24" spans="1:8" s="263" customFormat="1" ht="11.45" customHeight="1">
      <c r="A24" s="1362" t="s">
        <v>562</v>
      </c>
      <c r="B24" s="848">
        <v>11700</v>
      </c>
      <c r="C24" s="848">
        <v>25200</v>
      </c>
      <c r="D24" s="715">
        <v>55</v>
      </c>
      <c r="E24" s="848">
        <v>82700</v>
      </c>
      <c r="F24" s="902">
        <v>209.53</v>
      </c>
      <c r="G24" s="912">
        <v>484</v>
      </c>
      <c r="H24" s="912">
        <v>22</v>
      </c>
    </row>
    <row r="25" spans="1:8" s="263" customFormat="1" ht="11.45" customHeight="1">
      <c r="A25" s="1361" t="s">
        <v>571</v>
      </c>
      <c r="B25" s="834">
        <v>11700</v>
      </c>
      <c r="C25" s="834">
        <v>25200</v>
      </c>
      <c r="D25" s="770">
        <v>55</v>
      </c>
      <c r="E25" s="834">
        <v>82700</v>
      </c>
      <c r="F25" s="903">
        <v>199.24</v>
      </c>
      <c r="G25" s="911">
        <v>481</v>
      </c>
      <c r="H25" s="911">
        <v>20</v>
      </c>
    </row>
    <row r="26" spans="1:8" s="263" customFormat="1" ht="11.45" customHeight="1">
      <c r="A26" s="1362" t="s">
        <v>572</v>
      </c>
      <c r="B26" s="848">
        <v>11700</v>
      </c>
      <c r="C26" s="848">
        <v>25200</v>
      </c>
      <c r="D26" s="715">
        <v>54</v>
      </c>
      <c r="E26" s="848">
        <v>84400</v>
      </c>
      <c r="F26" s="902">
        <v>202.63</v>
      </c>
      <c r="G26" s="912">
        <v>483</v>
      </c>
      <c r="H26" s="912">
        <v>21</v>
      </c>
    </row>
    <row r="27" spans="1:8" s="263" customFormat="1" ht="11.45" customHeight="1">
      <c r="A27" s="1361" t="s">
        <v>563</v>
      </c>
      <c r="B27" s="834">
        <v>11700</v>
      </c>
      <c r="C27" s="834">
        <v>25200</v>
      </c>
      <c r="D27" s="770">
        <v>54</v>
      </c>
      <c r="E27" s="834">
        <v>84400</v>
      </c>
      <c r="F27" s="903">
        <v>211.93</v>
      </c>
      <c r="G27" s="911">
        <v>468</v>
      </c>
      <c r="H27" s="911">
        <v>21</v>
      </c>
    </row>
    <row r="28" spans="1:8" s="263" customFormat="1" ht="11.45" customHeight="1">
      <c r="A28" s="1362" t="s">
        <v>565</v>
      </c>
      <c r="B28" s="848">
        <v>11700</v>
      </c>
      <c r="C28" s="848">
        <v>25200</v>
      </c>
      <c r="D28" s="715">
        <v>54</v>
      </c>
      <c r="E28" s="848">
        <v>86400</v>
      </c>
      <c r="F28" s="902">
        <v>208.59</v>
      </c>
      <c r="G28" s="912">
        <v>550</v>
      </c>
      <c r="H28" s="912">
        <v>22</v>
      </c>
    </row>
    <row r="29" spans="1:8" s="263" customFormat="1" ht="11.45" customHeight="1">
      <c r="A29" s="1361" t="s">
        <v>566</v>
      </c>
      <c r="B29" s="834">
        <v>11700</v>
      </c>
      <c r="C29" s="834">
        <v>25200</v>
      </c>
      <c r="D29" s="770">
        <v>55</v>
      </c>
      <c r="E29" s="834">
        <v>87500</v>
      </c>
      <c r="F29" s="903">
        <v>193.48</v>
      </c>
      <c r="G29" s="911">
        <v>543</v>
      </c>
      <c r="H29" s="911">
        <v>21</v>
      </c>
    </row>
    <row r="30" spans="1:8" s="263" customFormat="1" ht="11.45" customHeight="1">
      <c r="A30" s="1362" t="s">
        <v>560</v>
      </c>
      <c r="B30" s="848">
        <v>11700</v>
      </c>
      <c r="C30" s="848">
        <v>25200</v>
      </c>
      <c r="D30" s="715">
        <v>55</v>
      </c>
      <c r="E30" s="848">
        <v>86620</v>
      </c>
      <c r="F30" s="902">
        <v>171.91</v>
      </c>
      <c r="G30" s="912">
        <v>591</v>
      </c>
      <c r="H30" s="912">
        <v>73</v>
      </c>
    </row>
    <row r="31" spans="1:8" s="263" customFormat="1" ht="11.45" customHeight="1">
      <c r="A31" s="1361" t="s">
        <v>567</v>
      </c>
      <c r="B31" s="834">
        <v>11700</v>
      </c>
      <c r="C31" s="834">
        <v>22500</v>
      </c>
      <c r="D31" s="770">
        <v>55</v>
      </c>
      <c r="E31" s="834">
        <v>86700</v>
      </c>
      <c r="F31" s="903">
        <v>203.5</v>
      </c>
      <c r="G31" s="911">
        <v>612</v>
      </c>
      <c r="H31" s="911">
        <v>78</v>
      </c>
    </row>
    <row r="32" spans="1:8" s="263" customFormat="1" ht="11.45" customHeight="1">
      <c r="A32" s="1362" t="s">
        <v>568</v>
      </c>
      <c r="B32" s="848">
        <v>11700</v>
      </c>
      <c r="C32" s="848">
        <v>25200</v>
      </c>
      <c r="D32" s="715">
        <v>55</v>
      </c>
      <c r="E32" s="848">
        <v>87000</v>
      </c>
      <c r="F32" s="902">
        <v>206</v>
      </c>
      <c r="G32" s="912">
        <v>618</v>
      </c>
      <c r="H32" s="912">
        <v>50</v>
      </c>
    </row>
    <row r="33" spans="1:8" s="263" customFormat="1" ht="11.45" customHeight="1">
      <c r="A33" s="1361" t="s">
        <v>561</v>
      </c>
      <c r="B33" s="897">
        <v>11700</v>
      </c>
      <c r="C33" s="897">
        <v>25200</v>
      </c>
      <c r="D33" s="770">
        <v>53</v>
      </c>
      <c r="E33" s="834">
        <v>86850</v>
      </c>
      <c r="F33" s="903">
        <v>211.17</v>
      </c>
      <c r="G33" s="911">
        <v>631</v>
      </c>
      <c r="H33" s="911">
        <v>48</v>
      </c>
    </row>
    <row r="34" spans="1:8" s="263" customFormat="1" ht="11.45" customHeight="1">
      <c r="A34" s="1364">
        <v>2024</v>
      </c>
      <c r="B34" s="899">
        <f>AVERAGE(B35:B46)</f>
        <v>12308.333333333334</v>
      </c>
      <c r="C34" s="1763">
        <f t="shared" ref="C34:D34" si="2">AVERAGE(C35:C46)</f>
        <v>26350</v>
      </c>
      <c r="D34" s="898">
        <f t="shared" si="2"/>
        <v>58</v>
      </c>
      <c r="E34" s="899"/>
      <c r="F34" s="898">
        <f>AVERAGE(F35:F46)</f>
        <v>186.54666666666665</v>
      </c>
      <c r="G34" s="899"/>
      <c r="H34" s="899"/>
    </row>
    <row r="35" spans="1:8" s="263" customFormat="1" ht="11.45" customHeight="1">
      <c r="A35" s="1361" t="s">
        <v>569</v>
      </c>
      <c r="B35" s="897">
        <v>11700</v>
      </c>
      <c r="C35" s="897">
        <v>25200</v>
      </c>
      <c r="D35" s="770">
        <v>54</v>
      </c>
      <c r="E35" s="834">
        <v>95090</v>
      </c>
      <c r="F35" s="903">
        <v>191.05</v>
      </c>
      <c r="G35" s="911">
        <v>778</v>
      </c>
      <c r="H35" s="911">
        <v>34</v>
      </c>
    </row>
    <row r="36" spans="1:8" s="263" customFormat="1" ht="11.45" customHeight="1">
      <c r="A36" s="1362" t="s">
        <v>570</v>
      </c>
      <c r="B36" s="848">
        <v>11700</v>
      </c>
      <c r="C36" s="848">
        <v>25200</v>
      </c>
      <c r="D36" s="715">
        <v>55</v>
      </c>
      <c r="E36" s="848">
        <v>95540</v>
      </c>
      <c r="F36" s="902">
        <v>187.11</v>
      </c>
      <c r="G36" s="848">
        <v>1100</v>
      </c>
      <c r="H36" s="912">
        <v>13</v>
      </c>
    </row>
    <row r="37" spans="1:8" s="263" customFormat="1" ht="11.45" customHeight="1">
      <c r="A37" s="1361" t="s">
        <v>562</v>
      </c>
      <c r="B37" s="897">
        <v>11700</v>
      </c>
      <c r="C37" s="897">
        <v>25200</v>
      </c>
      <c r="D37" s="770">
        <v>55</v>
      </c>
      <c r="E37" s="834">
        <v>97800</v>
      </c>
      <c r="F37" s="903">
        <v>162.69</v>
      </c>
      <c r="G37" s="911">
        <v>917</v>
      </c>
      <c r="H37" s="911">
        <v>11</v>
      </c>
    </row>
    <row r="38" spans="1:8" s="263" customFormat="1" ht="11.45" customHeight="1">
      <c r="A38" s="1362" t="s">
        <v>571</v>
      </c>
      <c r="B38" s="848">
        <v>11700</v>
      </c>
      <c r="C38" s="848">
        <v>25200</v>
      </c>
      <c r="D38" s="715">
        <v>55</v>
      </c>
      <c r="E38" s="848">
        <v>96550</v>
      </c>
      <c r="F38" s="902">
        <v>175.58</v>
      </c>
      <c r="G38" s="848">
        <v>869</v>
      </c>
      <c r="H38" s="912">
        <v>11</v>
      </c>
    </row>
    <row r="39" spans="1:8" s="263" customFormat="1" ht="11.45" customHeight="1">
      <c r="A39" s="1361" t="s">
        <v>572</v>
      </c>
      <c r="B39" s="834">
        <v>11700</v>
      </c>
      <c r="C39" s="834">
        <v>25200</v>
      </c>
      <c r="D39" s="770">
        <v>56</v>
      </c>
      <c r="E39" s="834">
        <v>102910</v>
      </c>
      <c r="F39" s="903">
        <v>147.36000000000001</v>
      </c>
      <c r="G39" s="834">
        <v>830</v>
      </c>
      <c r="H39" s="911">
        <v>20</v>
      </c>
    </row>
    <row r="40" spans="1:8" s="263" customFormat="1" ht="11.45" customHeight="1">
      <c r="A40" s="1362" t="s">
        <v>563</v>
      </c>
      <c r="B40" s="848">
        <v>11700</v>
      </c>
      <c r="C40" s="848">
        <v>25200</v>
      </c>
      <c r="D40" s="715">
        <v>57</v>
      </c>
      <c r="E40" s="848">
        <v>102910</v>
      </c>
      <c r="F40" s="902">
        <v>168.59</v>
      </c>
      <c r="G40" s="848">
        <v>827</v>
      </c>
      <c r="H40" s="912">
        <v>20</v>
      </c>
    </row>
    <row r="41" spans="1:8" s="263" customFormat="1" ht="11.45" customHeight="1">
      <c r="A41" s="1361" t="s">
        <v>565</v>
      </c>
      <c r="B41" s="834">
        <v>13000</v>
      </c>
      <c r="C41" s="834">
        <v>27700</v>
      </c>
      <c r="D41" s="770">
        <v>58</v>
      </c>
      <c r="E41" s="834">
        <v>109120</v>
      </c>
      <c r="F41" s="903">
        <v>191.1</v>
      </c>
      <c r="G41" s="834">
        <v>759</v>
      </c>
      <c r="H41" s="911">
        <v>35</v>
      </c>
    </row>
    <row r="42" spans="1:8" s="263" customFormat="1" ht="11.45" customHeight="1">
      <c r="A42" s="1362" t="s">
        <v>566</v>
      </c>
      <c r="B42" s="848">
        <v>13000</v>
      </c>
      <c r="C42" s="848">
        <v>27700</v>
      </c>
      <c r="D42" s="715">
        <v>60</v>
      </c>
      <c r="E42" s="848">
        <v>105500</v>
      </c>
      <c r="F42" s="902">
        <v>192.28</v>
      </c>
      <c r="G42" s="848">
        <v>560</v>
      </c>
      <c r="H42" s="912">
        <v>7</v>
      </c>
    </row>
    <row r="43" spans="1:8" s="263" customFormat="1" ht="11.45" customHeight="1">
      <c r="A43" s="1361" t="s">
        <v>560</v>
      </c>
      <c r="B43" s="834">
        <v>13000</v>
      </c>
      <c r="C43" s="834">
        <v>27700</v>
      </c>
      <c r="D43" s="770">
        <v>61</v>
      </c>
      <c r="E43" s="834">
        <v>120068</v>
      </c>
      <c r="F43" s="903">
        <v>199.45</v>
      </c>
      <c r="G43" s="834">
        <v>550</v>
      </c>
      <c r="H43" s="911">
        <v>6</v>
      </c>
    </row>
    <row r="44" spans="1:8" s="263" customFormat="1" ht="11.45" customHeight="1">
      <c r="A44" s="1362" t="s">
        <v>567</v>
      </c>
      <c r="B44" s="848">
        <v>13000</v>
      </c>
      <c r="C44" s="848">
        <v>27700</v>
      </c>
      <c r="D44" s="715">
        <v>62</v>
      </c>
      <c r="E44" s="848">
        <v>119210</v>
      </c>
      <c r="F44" s="902">
        <v>223.8</v>
      </c>
      <c r="G44" s="848">
        <v>578</v>
      </c>
      <c r="H44" s="912">
        <v>9</v>
      </c>
    </row>
    <row r="45" spans="1:8" s="263" customFormat="1" ht="11.45" customHeight="1">
      <c r="A45" s="1361" t="s">
        <v>568</v>
      </c>
      <c r="B45" s="834">
        <v>13000</v>
      </c>
      <c r="C45" s="834">
        <v>27700</v>
      </c>
      <c r="D45" s="770">
        <v>62</v>
      </c>
      <c r="E45" s="834" t="s">
        <v>295</v>
      </c>
      <c r="F45" s="903">
        <v>190.96</v>
      </c>
      <c r="G45" s="834" t="s">
        <v>295</v>
      </c>
      <c r="H45" s="911" t="s">
        <v>295</v>
      </c>
    </row>
    <row r="46" spans="1:8" s="263" customFormat="1" ht="11.45" customHeight="1">
      <c r="A46" s="1362" t="s">
        <v>561</v>
      </c>
      <c r="B46" s="848">
        <v>12500</v>
      </c>
      <c r="C46" s="848">
        <v>26500</v>
      </c>
      <c r="D46" s="715">
        <v>61</v>
      </c>
      <c r="E46" s="848" t="s">
        <v>295</v>
      </c>
      <c r="F46" s="902">
        <v>208.59</v>
      </c>
      <c r="G46" s="848" t="s">
        <v>295</v>
      </c>
      <c r="H46" s="912" t="s">
        <v>295</v>
      </c>
    </row>
    <row r="47" spans="1:8" s="263" customFormat="1" ht="11.45" customHeight="1">
      <c r="A47" s="1363">
        <v>2025</v>
      </c>
      <c r="B47" s="834"/>
      <c r="C47" s="834"/>
      <c r="D47" s="770"/>
      <c r="E47" s="834"/>
      <c r="F47" s="903"/>
      <c r="G47" s="834"/>
      <c r="H47" s="911"/>
    </row>
    <row r="48" spans="1:8" s="263" customFormat="1" ht="11.45" customHeight="1">
      <c r="A48" s="1362" t="s">
        <v>569</v>
      </c>
      <c r="B48" s="848">
        <v>12500</v>
      </c>
      <c r="C48" s="848">
        <v>26500</v>
      </c>
      <c r="D48" s="715" t="s">
        <v>295</v>
      </c>
      <c r="E48" s="848" t="s">
        <v>295</v>
      </c>
      <c r="F48" s="902">
        <v>186.73</v>
      </c>
      <c r="G48" s="848" t="s">
        <v>295</v>
      </c>
      <c r="H48" s="912" t="s">
        <v>295</v>
      </c>
    </row>
    <row r="49" spans="1:8" s="263" customFormat="1" ht="11.45" customHeight="1" thickBot="1">
      <c r="A49" s="1764" t="s">
        <v>570</v>
      </c>
      <c r="B49" s="762">
        <v>12500</v>
      </c>
      <c r="C49" s="762">
        <v>26500</v>
      </c>
      <c r="D49" s="713" t="s">
        <v>295</v>
      </c>
      <c r="E49" s="762" t="s">
        <v>295</v>
      </c>
      <c r="F49" s="1765" t="s">
        <v>295</v>
      </c>
      <c r="G49" s="762" t="s">
        <v>295</v>
      </c>
      <c r="H49" s="1766" t="s">
        <v>295</v>
      </c>
    </row>
    <row r="50" spans="1:8" s="37" customFormat="1" ht="10.5" customHeight="1">
      <c r="A50" s="800" t="s">
        <v>1908</v>
      </c>
      <c r="B50" s="2252" t="s">
        <v>1272</v>
      </c>
      <c r="C50" s="2252"/>
      <c r="D50" s="2252"/>
      <c r="E50" s="2252" t="s">
        <v>2304</v>
      </c>
      <c r="F50" s="2252"/>
      <c r="G50" s="46"/>
      <c r="H50" s="46"/>
    </row>
    <row r="51" spans="1:8" s="37" customFormat="1" ht="8.25">
      <c r="A51" s="696"/>
      <c r="B51" s="2251" t="s">
        <v>2305</v>
      </c>
      <c r="C51" s="2251"/>
      <c r="D51" s="2251"/>
      <c r="E51" s="2252" t="s">
        <v>2306</v>
      </c>
      <c r="F51" s="2252"/>
      <c r="G51" s="46"/>
      <c r="H51" s="37" t="s">
        <v>1403</v>
      </c>
    </row>
    <row r="52" spans="1:8" s="37" customFormat="1" ht="8.25">
      <c r="A52" s="36"/>
      <c r="B52" s="36"/>
      <c r="C52" s="134"/>
      <c r="D52" s="46"/>
      <c r="E52" s="36"/>
      <c r="F52" s="46"/>
      <c r="G52" s="46"/>
      <c r="H52" s="46"/>
    </row>
    <row r="53" spans="1:8">
      <c r="A53" s="37"/>
      <c r="B53" s="941"/>
      <c r="C53" s="37"/>
      <c r="D53" s="37"/>
      <c r="E53" s="37"/>
      <c r="F53" s="37"/>
      <c r="G53" s="37"/>
      <c r="H53" s="942"/>
    </row>
  </sheetData>
  <mergeCells count="17">
    <mergeCell ref="G1:H1"/>
    <mergeCell ref="G3:H3"/>
    <mergeCell ref="G4:G6"/>
    <mergeCell ref="H4:H6"/>
    <mergeCell ref="B51:D51"/>
    <mergeCell ref="E51:F51"/>
    <mergeCell ref="B50:D50"/>
    <mergeCell ref="E50:F50"/>
    <mergeCell ref="A1:F1"/>
    <mergeCell ref="A3:A6"/>
    <mergeCell ref="B3:C3"/>
    <mergeCell ref="D3:E3"/>
    <mergeCell ref="F3:F6"/>
    <mergeCell ref="B4:B6"/>
    <mergeCell ref="C4:C6"/>
    <mergeCell ref="D4:D6"/>
    <mergeCell ref="E4:E6"/>
  </mergeCells>
  <pageMargins left="0.7" right="0.7" top="0.75" bottom="0.75" header="0.3" footer="0.3"/>
  <pageSetup paperSize="448" firstPageNumber="41" orientation="portrait" useFirstPageNumber="1" r:id="rId1"/>
  <headerFooter alignWithMargins="0">
    <oddFooter xml:space="preserve">&amp;C&amp;"Times New Roman,Regular"&amp;8 41
</oddFooter>
    <firstFooter>&amp;C&amp;9&amp;P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Q61"/>
  <sheetViews>
    <sheetView topLeftCell="A34" zoomScale="150" zoomScaleNormal="150" workbookViewId="0">
      <selection activeCell="D7" sqref="D7:D13"/>
    </sheetView>
  </sheetViews>
  <sheetFormatPr defaultColWidth="9.140625" defaultRowHeight="11.25"/>
  <cols>
    <col min="1" max="1" width="10.140625" style="17" customWidth="1"/>
    <col min="2" max="2" width="7.140625" style="8" customWidth="1"/>
    <col min="3" max="3" width="6.7109375" style="8" customWidth="1"/>
    <col min="4" max="4" width="7.42578125" style="8" customWidth="1"/>
    <col min="5" max="5" width="7.7109375" style="8" customWidth="1"/>
    <col min="6" max="6" width="8.140625" style="8" customWidth="1"/>
    <col min="7" max="7" width="8.42578125" style="8" customWidth="1"/>
    <col min="8" max="8" width="7.7109375" style="8" customWidth="1"/>
    <col min="9" max="9" width="7.28515625" style="8" customWidth="1"/>
    <col min="10" max="10" width="8.28515625" style="8" customWidth="1"/>
    <col min="11" max="11" width="9.7109375" style="8" customWidth="1"/>
    <col min="12" max="12" width="9.85546875" style="8" customWidth="1"/>
    <col min="13" max="13" width="10.7109375" style="8" customWidth="1"/>
    <col min="14" max="14" width="10.85546875" style="8" customWidth="1"/>
    <col min="15" max="15" width="10.42578125" style="8" customWidth="1"/>
    <col min="16" max="16" width="13.42578125" style="8" customWidth="1"/>
    <col min="17" max="17" width="12.5703125" style="8" customWidth="1"/>
    <col min="18" max="16384" width="9.140625" style="8"/>
  </cols>
  <sheetData>
    <row r="1" spans="1:17" s="23" customFormat="1" ht="15.75" customHeight="1">
      <c r="B1" s="51"/>
      <c r="C1" s="51"/>
      <c r="D1" s="2270" t="s">
        <v>1291</v>
      </c>
      <c r="E1" s="2270"/>
      <c r="F1" s="2270"/>
      <c r="G1" s="2270"/>
      <c r="H1" s="2270"/>
      <c r="I1" s="2270"/>
      <c r="J1" s="2270"/>
      <c r="K1" s="2273" t="s">
        <v>2320</v>
      </c>
      <c r="L1" s="2273"/>
      <c r="M1" s="2273"/>
      <c r="N1" s="2273"/>
      <c r="O1" s="2273"/>
      <c r="P1" s="2273"/>
      <c r="Q1" s="1366" t="s">
        <v>1103</v>
      </c>
    </row>
    <row r="2" spans="1:17" s="21" customFormat="1" ht="11.25" customHeight="1">
      <c r="B2" s="978"/>
      <c r="F2" s="978"/>
      <c r="G2" s="2272"/>
      <c r="H2" s="2272"/>
      <c r="I2" s="2272"/>
      <c r="J2" s="2272"/>
      <c r="K2" s="1343"/>
      <c r="L2" s="978"/>
      <c r="M2" s="978"/>
      <c r="N2" s="978"/>
      <c r="O2" s="978"/>
      <c r="P2" s="978"/>
      <c r="Q2" s="978"/>
    </row>
    <row r="3" spans="1:17" s="79" customFormat="1" ht="12" customHeight="1">
      <c r="A3" s="2265" t="s">
        <v>487</v>
      </c>
      <c r="B3" s="1339" t="s">
        <v>506</v>
      </c>
      <c r="C3" s="2225" t="s">
        <v>508</v>
      </c>
      <c r="D3" s="2271"/>
      <c r="E3" s="1339" t="s">
        <v>506</v>
      </c>
      <c r="F3" s="2225" t="s">
        <v>92</v>
      </c>
      <c r="G3" s="2271"/>
      <c r="H3" s="1339" t="s">
        <v>506</v>
      </c>
      <c r="I3" s="2225" t="s">
        <v>93</v>
      </c>
      <c r="J3" s="2271"/>
      <c r="K3" s="2225" t="s">
        <v>184</v>
      </c>
      <c r="L3" s="2274"/>
      <c r="M3" s="2274"/>
      <c r="N3" s="2274"/>
      <c r="O3" s="2274"/>
      <c r="P3" s="2274"/>
      <c r="Q3" s="2271"/>
    </row>
    <row r="4" spans="1:17" s="79" customFormat="1" ht="12.75" customHeight="1">
      <c r="A4" s="2223"/>
      <c r="B4" s="2268" t="s">
        <v>507</v>
      </c>
      <c r="C4" s="2263" t="s">
        <v>94</v>
      </c>
      <c r="D4" s="2261" t="s">
        <v>95</v>
      </c>
      <c r="E4" s="2263" t="s">
        <v>504</v>
      </c>
      <c r="F4" s="2261" t="s">
        <v>94</v>
      </c>
      <c r="G4" s="2263" t="s">
        <v>95</v>
      </c>
      <c r="H4" s="2261" t="s">
        <v>261</v>
      </c>
      <c r="I4" s="2263" t="s">
        <v>110</v>
      </c>
      <c r="J4" s="2263" t="s">
        <v>95</v>
      </c>
      <c r="K4" s="2265" t="s">
        <v>19</v>
      </c>
      <c r="L4" s="2258" t="s">
        <v>20</v>
      </c>
      <c r="M4" s="2259" t="s">
        <v>888</v>
      </c>
      <c r="N4" s="2259" t="s">
        <v>1292</v>
      </c>
      <c r="O4" s="2259" t="s">
        <v>262</v>
      </c>
      <c r="P4" s="2275" t="s">
        <v>263</v>
      </c>
      <c r="Q4" s="2259" t="s">
        <v>889</v>
      </c>
    </row>
    <row r="5" spans="1:17" s="79" customFormat="1" ht="24.75" customHeight="1">
      <c r="A5" s="2223"/>
      <c r="B5" s="2269"/>
      <c r="C5" s="2263"/>
      <c r="D5" s="2262"/>
      <c r="E5" s="2263"/>
      <c r="F5" s="2262"/>
      <c r="G5" s="2263"/>
      <c r="H5" s="2262"/>
      <c r="I5" s="2263"/>
      <c r="J5" s="2263"/>
      <c r="K5" s="2224"/>
      <c r="L5" s="2258"/>
      <c r="M5" s="2259"/>
      <c r="N5" s="2259"/>
      <c r="O5" s="2259"/>
      <c r="P5" s="2275"/>
      <c r="Q5" s="2259"/>
    </row>
    <row r="6" spans="1:17" ht="11.1" customHeight="1">
      <c r="A6" s="84" t="s">
        <v>574</v>
      </c>
      <c r="B6" s="1338">
        <v>100</v>
      </c>
      <c r="C6" s="2266" t="s">
        <v>140</v>
      </c>
      <c r="D6" s="2267"/>
      <c r="E6" s="1338">
        <v>56.18</v>
      </c>
      <c r="F6" s="2264" t="s">
        <v>140</v>
      </c>
      <c r="G6" s="2264"/>
      <c r="H6" s="1338">
        <v>43.82</v>
      </c>
      <c r="I6" s="2264" t="s">
        <v>140</v>
      </c>
      <c r="J6" s="2264"/>
      <c r="K6" s="1338">
        <v>6.84</v>
      </c>
      <c r="L6" s="1338">
        <v>14.88</v>
      </c>
      <c r="M6" s="1338">
        <v>4.7300000000000004</v>
      </c>
      <c r="N6" s="1338">
        <v>3.47</v>
      </c>
      <c r="O6" s="1338">
        <v>5.8</v>
      </c>
      <c r="P6" s="1338">
        <v>4.28</v>
      </c>
      <c r="Q6" s="1338">
        <v>3.82</v>
      </c>
    </row>
    <row r="7" spans="1:17" s="273" customFormat="1" ht="11.85" customHeight="1">
      <c r="A7" s="1167" t="s">
        <v>840</v>
      </c>
      <c r="B7" s="15">
        <v>181.72583333333333</v>
      </c>
      <c r="C7" s="28">
        <v>8.0500000000000007</v>
      </c>
      <c r="D7" s="28">
        <v>6.78</v>
      </c>
      <c r="E7" s="15">
        <v>193.23666666666665</v>
      </c>
      <c r="F7" s="28">
        <v>8.26</v>
      </c>
      <c r="G7" s="28">
        <v>5.22</v>
      </c>
      <c r="H7" s="15">
        <v>166.96916666666667</v>
      </c>
      <c r="I7" s="15">
        <v>7.75</v>
      </c>
      <c r="J7" s="15">
        <v>9.17</v>
      </c>
      <c r="K7" s="15">
        <v>179.65833333333333</v>
      </c>
      <c r="L7" s="15">
        <v>155.61333333333334</v>
      </c>
      <c r="M7" s="15">
        <v>195.33166666666671</v>
      </c>
      <c r="N7" s="15">
        <v>159.6575</v>
      </c>
      <c r="O7" s="15">
        <v>159.33833333333334</v>
      </c>
      <c r="P7" s="15">
        <v>157.23416666666671</v>
      </c>
      <c r="Q7" s="15">
        <v>182.53750000000002</v>
      </c>
    </row>
    <row r="8" spans="1:17" s="82" customFormat="1" ht="11.85" customHeight="1">
      <c r="A8" s="304" t="s">
        <v>1019</v>
      </c>
      <c r="B8" s="300">
        <v>195.08250000000001</v>
      </c>
      <c r="C8" s="300">
        <v>6.97</v>
      </c>
      <c r="D8" s="300">
        <v>7.35</v>
      </c>
      <c r="E8" s="300">
        <v>209.79083333333335</v>
      </c>
      <c r="F8" s="300">
        <v>8</v>
      </c>
      <c r="G8" s="298">
        <v>8.57</v>
      </c>
      <c r="H8" s="300">
        <v>176.22416666666666</v>
      </c>
      <c r="I8" s="300">
        <v>5.45</v>
      </c>
      <c r="J8" s="300">
        <v>5.54</v>
      </c>
      <c r="K8" s="300">
        <v>194.76499999999999</v>
      </c>
      <c r="L8" s="300">
        <v>163.47083333333333</v>
      </c>
      <c r="M8" s="300">
        <v>206.13583333333338</v>
      </c>
      <c r="N8" s="300">
        <v>164.05583333333337</v>
      </c>
      <c r="O8" s="300">
        <v>167.20250000000001</v>
      </c>
      <c r="P8" s="300">
        <v>164.38166666666666</v>
      </c>
      <c r="Q8" s="300">
        <v>193.75416666666663</v>
      </c>
    </row>
    <row r="9" spans="1:17" s="273" customFormat="1" ht="11.85" customHeight="1">
      <c r="A9" s="253" t="s">
        <v>1070</v>
      </c>
      <c r="B9" s="28">
        <v>207.57750000000001</v>
      </c>
      <c r="C9" s="28">
        <v>6.25</v>
      </c>
      <c r="D9" s="28">
        <v>6.4</v>
      </c>
      <c r="E9" s="28">
        <v>223.7883333333333</v>
      </c>
      <c r="F9" s="28">
        <v>6.32</v>
      </c>
      <c r="G9" s="27">
        <v>6.67</v>
      </c>
      <c r="H9" s="28">
        <v>186.785</v>
      </c>
      <c r="I9" s="28">
        <v>6.15</v>
      </c>
      <c r="J9" s="28">
        <v>5.99</v>
      </c>
      <c r="K9" s="28">
        <v>209.44583333333333</v>
      </c>
      <c r="L9" s="28">
        <v>171.79583333333335</v>
      </c>
      <c r="M9" s="28">
        <v>214.44333333333336</v>
      </c>
      <c r="N9" s="28">
        <v>181.09000000000003</v>
      </c>
      <c r="O9" s="28">
        <v>181.77833333333331</v>
      </c>
      <c r="P9" s="28">
        <v>168.02416666666667</v>
      </c>
      <c r="Q9" s="28">
        <v>204.20583333333332</v>
      </c>
    </row>
    <row r="10" spans="1:17" s="82" customFormat="1" ht="11.85" customHeight="1">
      <c r="A10" s="326" t="s">
        <v>1193</v>
      </c>
      <c r="B10" s="300">
        <v>219.85833333333335</v>
      </c>
      <c r="C10" s="300">
        <v>5.53</v>
      </c>
      <c r="D10" s="300">
        <v>5.92</v>
      </c>
      <c r="E10" s="300">
        <v>234.77166666666668</v>
      </c>
      <c r="F10" s="300">
        <v>4.2300000000000004</v>
      </c>
      <c r="G10" s="300">
        <v>4.91</v>
      </c>
      <c r="H10" s="300">
        <v>200.73749999999998</v>
      </c>
      <c r="I10" s="300">
        <v>7.5</v>
      </c>
      <c r="J10" s="300">
        <v>7.47</v>
      </c>
      <c r="K10" s="300">
        <v>233.52</v>
      </c>
      <c r="L10" s="300">
        <v>182.75</v>
      </c>
      <c r="M10" s="300">
        <v>227.5325</v>
      </c>
      <c r="N10" s="300">
        <v>200.02916666666667</v>
      </c>
      <c r="O10" s="300">
        <v>201.59583333333333</v>
      </c>
      <c r="P10" s="300">
        <v>171.00583333333336</v>
      </c>
      <c r="Q10" s="300">
        <v>211.61166666666665</v>
      </c>
    </row>
    <row r="11" spans="1:17" s="273" customFormat="1" ht="11.85" customHeight="1">
      <c r="A11" s="253" t="s">
        <v>1236</v>
      </c>
      <c r="B11" s="28">
        <v>231.81916666666666</v>
      </c>
      <c r="C11" s="28">
        <v>5.94</v>
      </c>
      <c r="D11" s="28">
        <v>5.44</v>
      </c>
      <c r="E11" s="28">
        <v>248.89999999999998</v>
      </c>
      <c r="F11" s="28">
        <v>7.51</v>
      </c>
      <c r="G11" s="28">
        <v>6.02</v>
      </c>
      <c r="H11" s="28">
        <v>209.92083333333332</v>
      </c>
      <c r="I11" s="28">
        <v>3.67</v>
      </c>
      <c r="J11" s="28">
        <v>4.57</v>
      </c>
      <c r="K11" s="28">
        <v>243.56333333333336</v>
      </c>
      <c r="L11" s="28">
        <v>194.00750000000002</v>
      </c>
      <c r="M11" s="28">
        <v>235.8475</v>
      </c>
      <c r="N11" s="28">
        <v>206.69833333333335</v>
      </c>
      <c r="O11" s="28">
        <v>210.77666666666664</v>
      </c>
      <c r="P11" s="28">
        <v>177.55500000000004</v>
      </c>
      <c r="Q11" s="28">
        <v>217.51000000000002</v>
      </c>
    </row>
    <row r="12" spans="1:17" s="273" customFormat="1" ht="11.85" customHeight="1">
      <c r="A12" s="326" t="s">
        <v>1350</v>
      </c>
      <c r="B12" s="300">
        <v>245.22416666666666</v>
      </c>
      <c r="C12" s="300">
        <v>5.54</v>
      </c>
      <c r="D12" s="300">
        <v>5.78</v>
      </c>
      <c r="E12" s="300">
        <v>266.63833333333332</v>
      </c>
      <c r="F12" s="300">
        <v>5.98</v>
      </c>
      <c r="G12" s="300">
        <v>7.13</v>
      </c>
      <c r="H12" s="300">
        <v>217.76500000000001</v>
      </c>
      <c r="I12" s="300">
        <v>4.87</v>
      </c>
      <c r="J12" s="300">
        <v>3.73</v>
      </c>
      <c r="K12" s="300">
        <v>255.23666666666665</v>
      </c>
      <c r="L12" s="300">
        <v>200.24833333333333</v>
      </c>
      <c r="M12" s="300">
        <v>249.67583333333332</v>
      </c>
      <c r="N12" s="300">
        <v>209.2775</v>
      </c>
      <c r="O12" s="300">
        <v>218.79666666666665</v>
      </c>
      <c r="P12" s="300">
        <v>183.64916666666667</v>
      </c>
      <c r="Q12" s="300">
        <v>223.80666666666664</v>
      </c>
    </row>
    <row r="13" spans="1:17" s="164" customFormat="1" ht="11.85" customHeight="1">
      <c r="A13" s="253" t="s">
        <v>1466</v>
      </c>
      <c r="B13" s="28">
        <v>258.64916666666664</v>
      </c>
      <c r="C13" s="28">
        <v>5.52</v>
      </c>
      <c r="D13" s="28">
        <v>5.48</v>
      </c>
      <c r="E13" s="28">
        <v>281.32416666666666</v>
      </c>
      <c r="F13" s="28">
        <v>5.4</v>
      </c>
      <c r="G13" s="28">
        <v>5.51</v>
      </c>
      <c r="H13" s="28">
        <v>229.57666666666663</v>
      </c>
      <c r="I13" s="28">
        <v>5.71</v>
      </c>
      <c r="J13" s="28">
        <v>5.42</v>
      </c>
      <c r="K13" s="28">
        <v>277.64083333333332</v>
      </c>
      <c r="L13" s="28">
        <v>206.97666666666666</v>
      </c>
      <c r="M13" s="28">
        <v>265.24916666666667</v>
      </c>
      <c r="N13" s="28">
        <v>215.30833333333339</v>
      </c>
      <c r="O13" s="28">
        <v>235.22750000000005</v>
      </c>
      <c r="P13" s="28">
        <v>186.7258333333333</v>
      </c>
      <c r="Q13" s="28">
        <v>239.86916666666664</v>
      </c>
    </row>
    <row r="14" spans="1:17" s="164" customFormat="1" ht="11.85" customHeight="1">
      <c r="A14" s="621" t="s">
        <v>1550</v>
      </c>
      <c r="B14" s="303">
        <v>273.25666666666666</v>
      </c>
      <c r="C14" s="303">
        <v>6.02</v>
      </c>
      <c r="D14" s="303">
        <v>5.6476114685594103</v>
      </c>
      <c r="E14" s="303">
        <v>296.85749999999996</v>
      </c>
      <c r="F14" s="303">
        <v>6.54</v>
      </c>
      <c r="G14" s="303">
        <v>5.5215069211378198</v>
      </c>
      <c r="H14" s="303">
        <v>242.9966666666667</v>
      </c>
      <c r="I14" s="303">
        <v>5.22</v>
      </c>
      <c r="J14" s="303">
        <v>5.8455417943171106</v>
      </c>
      <c r="K14" s="303">
        <v>290.00333333333339</v>
      </c>
      <c r="L14" s="303">
        <v>220.70083333333335</v>
      </c>
      <c r="M14" s="303">
        <v>282.67083333333329</v>
      </c>
      <c r="N14" s="303">
        <v>230.07166666666669</v>
      </c>
      <c r="O14" s="303">
        <v>248.48</v>
      </c>
      <c r="P14" s="303">
        <v>190.13000000000002</v>
      </c>
      <c r="Q14" s="303">
        <v>259.27083333333331</v>
      </c>
    </row>
    <row r="15" spans="1:17" s="164" customFormat="1" ht="11.85" customHeight="1">
      <c r="A15" s="102" t="s">
        <v>1606</v>
      </c>
      <c r="B15" s="143">
        <f>AVERAGE(B16:B27)</f>
        <v>288.44333333333333</v>
      </c>
      <c r="C15" s="143">
        <f>C27</f>
        <v>5.64</v>
      </c>
      <c r="D15" s="143">
        <f>D27</f>
        <v>5.5576564158239528</v>
      </c>
      <c r="E15" s="143">
        <f>AVERAGE(E16:E27)</f>
        <v>313.86333333333334</v>
      </c>
      <c r="F15" s="143">
        <f>F27</f>
        <v>5.45</v>
      </c>
      <c r="G15" s="143">
        <f>G27</f>
        <v>5.7286183887331088</v>
      </c>
      <c r="H15" s="143">
        <f>AVERAGE(H16:H27)</f>
        <v>255.85166666666666</v>
      </c>
      <c r="I15" s="143">
        <f>I27</f>
        <v>5.94</v>
      </c>
      <c r="J15" s="143">
        <f>J27</f>
        <v>5.2901960246368063</v>
      </c>
      <c r="K15" s="143">
        <f t="shared" ref="K15:Q15" si="0">AVERAGE(K16:K27)</f>
        <v>298.14083333333332</v>
      </c>
      <c r="L15" s="143">
        <f t="shared" si="0"/>
        <v>228.29250000000002</v>
      </c>
      <c r="M15" s="143">
        <f t="shared" si="0"/>
        <v>298.14833333333331</v>
      </c>
      <c r="N15" s="143">
        <f t="shared" si="0"/>
        <v>247.86333333333334</v>
      </c>
      <c r="O15" s="143">
        <f t="shared" si="0"/>
        <v>271.44833333333332</v>
      </c>
      <c r="P15" s="143">
        <f t="shared" si="0"/>
        <v>193.61083333333332</v>
      </c>
      <c r="Q15" s="143">
        <f t="shared" si="0"/>
        <v>288.52833333333336</v>
      </c>
    </row>
    <row r="16" spans="1:17" s="164" customFormat="1" ht="11.85" customHeight="1">
      <c r="A16" s="312" t="s">
        <v>565</v>
      </c>
      <c r="B16" s="294">
        <v>278.27</v>
      </c>
      <c r="C16" s="294">
        <v>5.53</v>
      </c>
      <c r="D16" s="295">
        <v>5.6394992671184641</v>
      </c>
      <c r="E16" s="295">
        <v>300.75</v>
      </c>
      <c r="F16" s="295">
        <v>5.7</v>
      </c>
      <c r="G16" s="295">
        <v>5.5442822929815838</v>
      </c>
      <c r="H16" s="295">
        <v>249.46</v>
      </c>
      <c r="I16" s="295">
        <v>5.28</v>
      </c>
      <c r="J16" s="295">
        <v>5.7893006672181668</v>
      </c>
      <c r="K16" s="295">
        <v>292.2</v>
      </c>
      <c r="L16" s="295">
        <v>227.57</v>
      </c>
      <c r="M16" s="295">
        <v>288.73</v>
      </c>
      <c r="N16" s="295">
        <v>240.64</v>
      </c>
      <c r="O16" s="295">
        <v>257.25</v>
      </c>
      <c r="P16" s="295">
        <v>190.98</v>
      </c>
      <c r="Q16" s="295">
        <v>271.37</v>
      </c>
    </row>
    <row r="17" spans="1:17" s="164" customFormat="1" ht="11.85" customHeight="1">
      <c r="A17" s="142" t="s">
        <v>566</v>
      </c>
      <c r="B17" s="255">
        <v>282.11</v>
      </c>
      <c r="C17" s="255">
        <v>5.68</v>
      </c>
      <c r="D17" s="256">
        <v>5.6547200899186079</v>
      </c>
      <c r="E17" s="256">
        <v>307.2</v>
      </c>
      <c r="F17" s="256">
        <v>6.08</v>
      </c>
      <c r="G17" s="256">
        <v>5.6114043048078877</v>
      </c>
      <c r="H17" s="256">
        <v>249.95</v>
      </c>
      <c r="I17" s="256">
        <v>5.05</v>
      </c>
      <c r="J17" s="256">
        <v>5.7235824973933092</v>
      </c>
      <c r="K17" s="256">
        <v>292.29000000000002</v>
      </c>
      <c r="L17" s="256">
        <v>227.6</v>
      </c>
      <c r="M17" s="256">
        <v>291.54000000000002</v>
      </c>
      <c r="N17" s="256">
        <v>240.81</v>
      </c>
      <c r="O17" s="256">
        <v>257.58999999999997</v>
      </c>
      <c r="P17" s="256">
        <v>191.01</v>
      </c>
      <c r="Q17" s="256">
        <v>272.54000000000002</v>
      </c>
    </row>
    <row r="18" spans="1:17" s="164" customFormat="1" ht="11.85" customHeight="1">
      <c r="A18" s="312" t="s">
        <v>560</v>
      </c>
      <c r="B18" s="294">
        <v>288.12</v>
      </c>
      <c r="C18" s="294">
        <v>5.97</v>
      </c>
      <c r="D18" s="295">
        <v>5.6907183725365407</v>
      </c>
      <c r="E18" s="295">
        <v>316.11</v>
      </c>
      <c r="F18" s="295">
        <v>6.5</v>
      </c>
      <c r="G18" s="295">
        <v>5.7140685033245875</v>
      </c>
      <c r="H18" s="295">
        <v>252.24</v>
      </c>
      <c r="I18" s="295">
        <v>5.12</v>
      </c>
      <c r="J18" s="295">
        <v>5.6553071506268981</v>
      </c>
      <c r="K18" s="295">
        <v>292.42</v>
      </c>
      <c r="L18" s="295">
        <v>227.99</v>
      </c>
      <c r="M18" s="295">
        <v>293.11</v>
      </c>
      <c r="N18" s="295">
        <v>246.45</v>
      </c>
      <c r="O18" s="295">
        <v>263.02</v>
      </c>
      <c r="P18" s="295">
        <v>191.79</v>
      </c>
      <c r="Q18" s="295">
        <v>280.87</v>
      </c>
    </row>
    <row r="19" spans="1:17" s="164" customFormat="1" ht="11.85" customHeight="1">
      <c r="A19" s="142" t="s">
        <v>567</v>
      </c>
      <c r="B19" s="255">
        <v>290.91000000000003</v>
      </c>
      <c r="C19" s="255">
        <v>6.44</v>
      </c>
      <c r="D19" s="256">
        <v>5.7740564589879639</v>
      </c>
      <c r="E19" s="256">
        <v>320.94</v>
      </c>
      <c r="F19" s="256">
        <v>7.34</v>
      </c>
      <c r="G19" s="256">
        <v>5.8744938917721701</v>
      </c>
      <c r="H19" s="256">
        <v>252.4</v>
      </c>
      <c r="I19" s="256">
        <v>5</v>
      </c>
      <c r="J19" s="256">
        <v>5.616036250418599</v>
      </c>
      <c r="K19" s="256">
        <v>292.57</v>
      </c>
      <c r="L19" s="256">
        <v>228.09</v>
      </c>
      <c r="M19" s="256">
        <v>293.35000000000002</v>
      </c>
      <c r="N19" s="256">
        <v>246.54</v>
      </c>
      <c r="O19" s="256">
        <v>263.41000000000003</v>
      </c>
      <c r="P19" s="256">
        <v>191.81</v>
      </c>
      <c r="Q19" s="256">
        <v>281.05</v>
      </c>
    </row>
    <row r="20" spans="1:17" s="164" customFormat="1" ht="11.85" customHeight="1">
      <c r="A20" s="312" t="s">
        <v>568</v>
      </c>
      <c r="B20" s="294">
        <v>288.70999999999998</v>
      </c>
      <c r="C20" s="294">
        <v>5.52</v>
      </c>
      <c r="D20" s="295">
        <v>5.7302638415250406</v>
      </c>
      <c r="E20" s="295">
        <v>316.41000000000003</v>
      </c>
      <c r="F20" s="295">
        <v>5.73</v>
      </c>
      <c r="G20" s="295">
        <v>5.8186503742525542</v>
      </c>
      <c r="H20" s="295">
        <v>253.19</v>
      </c>
      <c r="I20" s="295">
        <v>5.19</v>
      </c>
      <c r="J20" s="295">
        <v>5.5911591237148173</v>
      </c>
      <c r="K20" s="295">
        <v>292.73</v>
      </c>
      <c r="L20" s="295">
        <v>228.62</v>
      </c>
      <c r="M20" s="295">
        <v>295.29000000000002</v>
      </c>
      <c r="N20" s="295">
        <v>246.77</v>
      </c>
      <c r="O20" s="295">
        <v>264.74</v>
      </c>
      <c r="P20" s="295">
        <v>191.96</v>
      </c>
      <c r="Q20" s="295">
        <v>282.91000000000003</v>
      </c>
    </row>
    <row r="21" spans="1:17" s="164" customFormat="1" ht="11.85" customHeight="1">
      <c r="A21" s="142" t="s">
        <v>561</v>
      </c>
      <c r="B21" s="255">
        <v>287.41000000000003</v>
      </c>
      <c r="C21" s="255">
        <v>5.29</v>
      </c>
      <c r="D21" s="256">
        <v>5.691074747462066</v>
      </c>
      <c r="E21" s="256">
        <v>313.58999999999997</v>
      </c>
      <c r="F21" s="256">
        <v>5.34</v>
      </c>
      <c r="G21" s="256">
        <v>5.7730823873869852</v>
      </c>
      <c r="H21" s="256">
        <v>253.85</v>
      </c>
      <c r="I21" s="256">
        <v>5.21</v>
      </c>
      <c r="J21" s="256">
        <v>5.5622442458629351</v>
      </c>
      <c r="K21" s="256">
        <v>293.08</v>
      </c>
      <c r="L21" s="256">
        <v>228.84</v>
      </c>
      <c r="M21" s="256">
        <v>295.74</v>
      </c>
      <c r="N21" s="256">
        <v>247.29</v>
      </c>
      <c r="O21" s="256">
        <v>266.32</v>
      </c>
      <c r="P21" s="256">
        <v>192.16</v>
      </c>
      <c r="Q21" s="256">
        <v>285.38</v>
      </c>
    </row>
    <row r="22" spans="1:17" s="164" customFormat="1" ht="11.85" customHeight="1">
      <c r="A22" s="312" t="s">
        <v>569</v>
      </c>
      <c r="B22" s="294">
        <v>290.02999999999997</v>
      </c>
      <c r="C22" s="294">
        <v>5.0199999999999996</v>
      </c>
      <c r="D22" s="295">
        <v>5.6430352022812658</v>
      </c>
      <c r="E22" s="295">
        <v>315.81</v>
      </c>
      <c r="F22" s="295">
        <v>5.23</v>
      </c>
      <c r="G22" s="295">
        <v>5.7801577189297015</v>
      </c>
      <c r="H22" s="295">
        <v>256.97000000000003</v>
      </c>
      <c r="I22" s="295">
        <v>4.6900000000000004</v>
      </c>
      <c r="J22" s="295">
        <v>5.4270318877640555</v>
      </c>
      <c r="K22" s="295">
        <v>301.14999999999998</v>
      </c>
      <c r="L22" s="295">
        <v>229.98</v>
      </c>
      <c r="M22" s="295">
        <v>297.45</v>
      </c>
      <c r="N22" s="295">
        <v>249.01</v>
      </c>
      <c r="O22" s="295">
        <v>269.58</v>
      </c>
      <c r="P22" s="295">
        <v>194.13</v>
      </c>
      <c r="Q22" s="295">
        <v>291.52999999999997</v>
      </c>
    </row>
    <row r="23" spans="1:17" s="164" customFormat="1" ht="11.85" customHeight="1">
      <c r="A23" s="142" t="s">
        <v>570</v>
      </c>
      <c r="B23" s="256">
        <v>290.3</v>
      </c>
      <c r="C23" s="256">
        <v>5.32</v>
      </c>
      <c r="D23" s="256">
        <v>5.6304473421008305</v>
      </c>
      <c r="E23" s="256">
        <v>315.35000000000002</v>
      </c>
      <c r="F23" s="256">
        <v>5.42</v>
      </c>
      <c r="G23" s="256">
        <v>5.815339325778468</v>
      </c>
      <c r="H23" s="256">
        <v>258.18</v>
      </c>
      <c r="I23" s="256">
        <v>5.17</v>
      </c>
      <c r="J23" s="256">
        <v>5.3403232852774041</v>
      </c>
      <c r="K23" s="256">
        <v>302.12</v>
      </c>
      <c r="L23" s="256">
        <v>229.35</v>
      </c>
      <c r="M23" s="256">
        <v>299.52999999999997</v>
      </c>
      <c r="N23" s="256">
        <v>250.79</v>
      </c>
      <c r="O23" s="256">
        <v>272.60000000000002</v>
      </c>
      <c r="P23" s="256">
        <v>195.12</v>
      </c>
      <c r="Q23" s="256">
        <v>296.14999999999998</v>
      </c>
    </row>
    <row r="24" spans="1:17" s="164" customFormat="1" ht="11.85" customHeight="1">
      <c r="A24" s="312" t="s">
        <v>562</v>
      </c>
      <c r="B24" s="295">
        <v>291.95999999999998</v>
      </c>
      <c r="C24" s="295">
        <v>5.47</v>
      </c>
      <c r="D24" s="295">
        <v>5.6286025282636043</v>
      </c>
      <c r="E24" s="295">
        <v>317.32</v>
      </c>
      <c r="F24" s="295">
        <v>5.51</v>
      </c>
      <c r="G24" s="295">
        <v>5.8668131780540422</v>
      </c>
      <c r="H24" s="295">
        <v>259.44</v>
      </c>
      <c r="I24" s="295">
        <v>5.39</v>
      </c>
      <c r="J24" s="295">
        <v>5.2552526450105441</v>
      </c>
      <c r="K24" s="295">
        <v>303.73</v>
      </c>
      <c r="L24" s="295">
        <v>229.5</v>
      </c>
      <c r="M24" s="295">
        <v>302.63</v>
      </c>
      <c r="N24" s="295">
        <v>251.13</v>
      </c>
      <c r="O24" s="295">
        <v>274.68</v>
      </c>
      <c r="P24" s="295">
        <v>195.89</v>
      </c>
      <c r="Q24" s="295">
        <v>299.06</v>
      </c>
    </row>
    <row r="25" spans="1:17" s="164" customFormat="1" ht="11.85" customHeight="1">
      <c r="A25" s="142" t="s">
        <v>571</v>
      </c>
      <c r="B25" s="256">
        <v>293.88</v>
      </c>
      <c r="C25" s="256">
        <v>5.56</v>
      </c>
      <c r="D25" s="256">
        <v>5.5962455762425423</v>
      </c>
      <c r="E25" s="256">
        <v>320.27999999999997</v>
      </c>
      <c r="F25" s="256">
        <v>5.57</v>
      </c>
      <c r="G25" s="256">
        <v>5.8375404420722088</v>
      </c>
      <c r="H25" s="256">
        <v>260.02</v>
      </c>
      <c r="I25" s="256">
        <v>5.55</v>
      </c>
      <c r="J25" s="256">
        <v>5.2176319977855989</v>
      </c>
      <c r="K25" s="256">
        <v>304.23</v>
      </c>
      <c r="L25" s="256">
        <v>229.44</v>
      </c>
      <c r="M25" s="256">
        <v>305</v>
      </c>
      <c r="N25" s="256">
        <v>251.5</v>
      </c>
      <c r="O25" s="256">
        <v>276.02</v>
      </c>
      <c r="P25" s="256">
        <v>195.95</v>
      </c>
      <c r="Q25" s="256">
        <v>299.67</v>
      </c>
    </row>
    <row r="26" spans="1:17" s="164" customFormat="1" ht="11.85" customHeight="1">
      <c r="A26" s="312" t="s">
        <v>572</v>
      </c>
      <c r="B26" s="295">
        <v>287.92</v>
      </c>
      <c r="C26" s="295">
        <v>5.26</v>
      </c>
      <c r="D26" s="295">
        <v>5.5874241588527385</v>
      </c>
      <c r="E26" s="295">
        <v>308.41000000000003</v>
      </c>
      <c r="F26" s="295">
        <v>4.87</v>
      </c>
      <c r="G26" s="295">
        <v>5.816325666833122</v>
      </c>
      <c r="H26" s="295">
        <v>261.64999999999998</v>
      </c>
      <c r="I26" s="295">
        <v>5.86</v>
      </c>
      <c r="J26" s="295">
        <v>5.228935994351902</v>
      </c>
      <c r="K26" s="295">
        <v>305.17</v>
      </c>
      <c r="L26" s="295">
        <v>225.9</v>
      </c>
      <c r="M26" s="295">
        <v>306.45999999999998</v>
      </c>
      <c r="N26" s="295">
        <v>251.53</v>
      </c>
      <c r="O26" s="295">
        <v>294.86</v>
      </c>
      <c r="P26" s="295">
        <v>195.99</v>
      </c>
      <c r="Q26" s="295">
        <v>299.99</v>
      </c>
    </row>
    <row r="27" spans="1:17" s="164" customFormat="1" ht="11.85" customHeight="1">
      <c r="A27" s="142" t="s">
        <v>563</v>
      </c>
      <c r="B27" s="256">
        <v>291.7</v>
      </c>
      <c r="C27" s="256">
        <v>5.64</v>
      </c>
      <c r="D27" s="256">
        <v>5.5576564158239528</v>
      </c>
      <c r="E27" s="256">
        <v>314.19</v>
      </c>
      <c r="F27" s="256">
        <v>5.45</v>
      </c>
      <c r="G27" s="256">
        <v>5.7286183887331088</v>
      </c>
      <c r="H27" s="256">
        <v>262.87</v>
      </c>
      <c r="I27" s="256">
        <v>5.94</v>
      </c>
      <c r="J27" s="256">
        <v>5.2901960246368063</v>
      </c>
      <c r="K27" s="256">
        <v>306</v>
      </c>
      <c r="L27" s="256">
        <v>226.63</v>
      </c>
      <c r="M27" s="256">
        <v>308.95</v>
      </c>
      <c r="N27" s="256">
        <v>251.9</v>
      </c>
      <c r="O27" s="256">
        <v>297.31</v>
      </c>
      <c r="P27" s="256">
        <v>196.54</v>
      </c>
      <c r="Q27" s="256">
        <v>301.82</v>
      </c>
    </row>
    <row r="28" spans="1:17" s="162" customFormat="1" ht="11.85" customHeight="1">
      <c r="A28" s="999" t="s">
        <v>1927</v>
      </c>
      <c r="B28" s="303">
        <f>AVERAGE(B29:B40)</f>
        <v>306.18166666666667</v>
      </c>
      <c r="C28" s="303">
        <f>C40</f>
        <v>7.56</v>
      </c>
      <c r="D28" s="303">
        <f>D40</f>
        <v>6.1496770018374614</v>
      </c>
      <c r="E28" s="303">
        <f>AVERAGE(E29:E40)</f>
        <v>332.85583333333329</v>
      </c>
      <c r="F28" s="303">
        <f>F40</f>
        <v>8.3699999999999992</v>
      </c>
      <c r="G28" s="303">
        <f>G40</f>
        <v>6.0512006287237297</v>
      </c>
      <c r="H28" s="303">
        <f>AVERAGE(H29:H40)</f>
        <v>271.98333333333335</v>
      </c>
      <c r="I28" s="303">
        <f>I40</f>
        <v>6.33</v>
      </c>
      <c r="J28" s="303">
        <f>J40</f>
        <v>6.3050856290428836</v>
      </c>
      <c r="K28" s="303">
        <f t="shared" ref="K28:Q28" si="1">AVERAGE(K29:K40)</f>
        <v>320.14250000000004</v>
      </c>
      <c r="L28" s="303">
        <f t="shared" si="1"/>
        <v>232.42499999999998</v>
      </c>
      <c r="M28" s="303">
        <f t="shared" si="1"/>
        <v>320.29583333333341</v>
      </c>
      <c r="N28" s="303">
        <f t="shared" si="1"/>
        <v>253.62</v>
      </c>
      <c r="O28" s="303">
        <f t="shared" si="1"/>
        <v>313.00416666666666</v>
      </c>
      <c r="P28" s="303">
        <f t="shared" si="1"/>
        <v>202.60249999999999</v>
      </c>
      <c r="Q28" s="303">
        <f t="shared" si="1"/>
        <v>312.2791666666667</v>
      </c>
    </row>
    <row r="29" spans="1:17" s="162" customFormat="1" ht="11.85" customHeight="1">
      <c r="A29" s="142" t="s">
        <v>565</v>
      </c>
      <c r="B29" s="256">
        <v>293.19</v>
      </c>
      <c r="C29" s="256">
        <v>5.36</v>
      </c>
      <c r="D29" s="256">
        <v>5.5433772763430422</v>
      </c>
      <c r="E29" s="256">
        <v>316.02</v>
      </c>
      <c r="F29" s="256">
        <v>5.08</v>
      </c>
      <c r="G29" s="256">
        <v>5.6764007265614147</v>
      </c>
      <c r="H29" s="256">
        <v>263.93</v>
      </c>
      <c r="I29" s="256">
        <v>5.8</v>
      </c>
      <c r="J29" s="256">
        <v>5.3345262201763832</v>
      </c>
      <c r="K29" s="256">
        <v>307.11</v>
      </c>
      <c r="L29" s="256">
        <v>227.12</v>
      </c>
      <c r="M29" s="256">
        <v>310.07</v>
      </c>
      <c r="N29" s="256">
        <v>252.47</v>
      </c>
      <c r="O29" s="256">
        <v>300.58</v>
      </c>
      <c r="P29" s="256">
        <v>197</v>
      </c>
      <c r="Q29" s="256">
        <v>302.72000000000003</v>
      </c>
    </row>
    <row r="30" spans="1:17" s="162" customFormat="1" ht="11.85" customHeight="1">
      <c r="A30" s="312" t="s">
        <v>566</v>
      </c>
      <c r="B30" s="295">
        <v>297.73</v>
      </c>
      <c r="C30" s="295">
        <v>5.54</v>
      </c>
      <c r="D30" s="295">
        <v>5.5322003983305335</v>
      </c>
      <c r="E30" s="295">
        <v>323.04000000000002</v>
      </c>
      <c r="F30" s="295">
        <v>5.16</v>
      </c>
      <c r="G30" s="295">
        <v>5.5996774283251449</v>
      </c>
      <c r="H30" s="295">
        <v>265.27999999999997</v>
      </c>
      <c r="I30" s="295">
        <v>6.13</v>
      </c>
      <c r="J30" s="295">
        <v>5.4252862618135111</v>
      </c>
      <c r="K30" s="295">
        <v>310.33999999999997</v>
      </c>
      <c r="L30" s="295">
        <v>228.06</v>
      </c>
      <c r="M30" s="295">
        <v>311.89999999999998</v>
      </c>
      <c r="N30" s="295">
        <v>252.66</v>
      </c>
      <c r="O30" s="295">
        <v>301.81</v>
      </c>
      <c r="P30" s="295">
        <v>197.47</v>
      </c>
      <c r="Q30" s="295">
        <v>303.97000000000003</v>
      </c>
    </row>
    <row r="31" spans="1:17" s="162" customFormat="1" ht="11.85" customHeight="1">
      <c r="A31" s="142" t="s">
        <v>560</v>
      </c>
      <c r="B31" s="256">
        <v>304.22000000000003</v>
      </c>
      <c r="C31" s="256">
        <v>5.59</v>
      </c>
      <c r="D31" s="256">
        <v>5.5016044968015265</v>
      </c>
      <c r="E31" s="256">
        <v>332.58</v>
      </c>
      <c r="F31" s="256">
        <v>5.21</v>
      </c>
      <c r="G31" s="256">
        <v>5.491508546772117</v>
      </c>
      <c r="H31" s="256">
        <v>267.85000000000002</v>
      </c>
      <c r="I31" s="256">
        <v>6.19</v>
      </c>
      <c r="J31" s="256">
        <v>5.5154990060180875</v>
      </c>
      <c r="K31" s="256">
        <v>313.63</v>
      </c>
      <c r="L31" s="256">
        <v>230.62</v>
      </c>
      <c r="M31" s="256">
        <v>316.69</v>
      </c>
      <c r="N31" s="256">
        <v>252.89</v>
      </c>
      <c r="O31" s="256">
        <v>303.73</v>
      </c>
      <c r="P31" s="256">
        <v>199.55</v>
      </c>
      <c r="Q31" s="256">
        <v>306.12</v>
      </c>
    </row>
    <row r="32" spans="1:17" s="162" customFormat="1" ht="11.85" customHeight="1">
      <c r="A32" s="312" t="s">
        <v>567</v>
      </c>
      <c r="B32" s="295">
        <v>307.49</v>
      </c>
      <c r="C32" s="295">
        <v>5.7</v>
      </c>
      <c r="D32" s="295">
        <v>5.44</v>
      </c>
      <c r="E32" s="295">
        <v>337.7</v>
      </c>
      <c r="F32" s="295">
        <v>5.22</v>
      </c>
      <c r="G32" s="295">
        <v>5.32</v>
      </c>
      <c r="H32" s="295">
        <v>268.75</v>
      </c>
      <c r="I32" s="295">
        <v>6.48</v>
      </c>
      <c r="J32" s="295">
        <v>5.64</v>
      </c>
      <c r="K32" s="295">
        <v>314.48</v>
      </c>
      <c r="L32" s="295">
        <v>231.64</v>
      </c>
      <c r="M32" s="295">
        <v>316.85000000000002</v>
      </c>
      <c r="N32" s="295">
        <v>252.99</v>
      </c>
      <c r="O32" s="295">
        <v>306.31</v>
      </c>
      <c r="P32" s="295">
        <v>199.71</v>
      </c>
      <c r="Q32" s="295">
        <v>306.66000000000003</v>
      </c>
    </row>
    <row r="33" spans="1:17" s="162" customFormat="1" ht="11.85" customHeight="1">
      <c r="A33" s="142" t="s">
        <v>568</v>
      </c>
      <c r="B33" s="256">
        <v>305.97000000000003</v>
      </c>
      <c r="C33" s="256">
        <v>5.98</v>
      </c>
      <c r="D33" s="256">
        <v>5.4813491177127638</v>
      </c>
      <c r="E33" s="256">
        <v>333.58</v>
      </c>
      <c r="F33" s="256">
        <v>5.43</v>
      </c>
      <c r="G33" s="256">
        <v>5.2912847174716227</v>
      </c>
      <c r="H33" s="256">
        <v>270.58</v>
      </c>
      <c r="I33" s="256">
        <v>6.87</v>
      </c>
      <c r="J33" s="256">
        <v>5.7801080180567288</v>
      </c>
      <c r="K33" s="256">
        <v>316.73</v>
      </c>
      <c r="L33" s="256">
        <v>232.46</v>
      </c>
      <c r="M33" s="256">
        <v>317.92</v>
      </c>
      <c r="N33" s="256">
        <v>253.09</v>
      </c>
      <c r="O33" s="256">
        <v>313.36</v>
      </c>
      <c r="P33" s="256">
        <v>200.25</v>
      </c>
      <c r="Q33" s="256">
        <v>307.70999999999998</v>
      </c>
    </row>
    <row r="34" spans="1:17" s="162" customFormat="1" ht="11.85" customHeight="1">
      <c r="A34" s="312" t="s">
        <v>561</v>
      </c>
      <c r="B34" s="295">
        <v>304.81</v>
      </c>
      <c r="C34" s="295">
        <v>6.05</v>
      </c>
      <c r="D34" s="295">
        <v>5.54</v>
      </c>
      <c r="E34" s="295">
        <v>330.71</v>
      </c>
      <c r="F34" s="295">
        <v>5.46</v>
      </c>
      <c r="G34" s="295">
        <v>5.3016020052310431</v>
      </c>
      <c r="H34" s="295">
        <v>271.61</v>
      </c>
      <c r="I34" s="295">
        <v>7</v>
      </c>
      <c r="J34" s="295">
        <v>5.9293944512266439</v>
      </c>
      <c r="K34" s="295">
        <v>320.38</v>
      </c>
      <c r="L34" s="295">
        <v>232.71</v>
      </c>
      <c r="M34" s="295">
        <v>318.7</v>
      </c>
      <c r="N34" s="295">
        <v>253.16</v>
      </c>
      <c r="O34" s="295">
        <v>314.27</v>
      </c>
      <c r="P34" s="295">
        <v>201.02</v>
      </c>
      <c r="Q34" s="295">
        <v>308.64999999999998</v>
      </c>
    </row>
    <row r="35" spans="1:17" s="162" customFormat="1" ht="11.85" customHeight="1">
      <c r="A35" s="142" t="s">
        <v>569</v>
      </c>
      <c r="B35" s="256">
        <v>307.02</v>
      </c>
      <c r="C35" s="256">
        <v>5.86</v>
      </c>
      <c r="D35" s="256">
        <v>5.6150806542117015</v>
      </c>
      <c r="E35" s="256">
        <v>333.51</v>
      </c>
      <c r="F35" s="256">
        <v>5.6</v>
      </c>
      <c r="G35" s="256">
        <v>5.3332790754455628</v>
      </c>
      <c r="H35" s="256">
        <v>273.05</v>
      </c>
      <c r="I35" s="256">
        <v>6.26</v>
      </c>
      <c r="J35" s="256">
        <v>6.0589199562864904</v>
      </c>
      <c r="K35" s="256">
        <v>321.57</v>
      </c>
      <c r="L35" s="256">
        <v>233.53</v>
      </c>
      <c r="M35" s="256">
        <v>320.51</v>
      </c>
      <c r="N35" s="256">
        <v>253.44</v>
      </c>
      <c r="O35" s="256">
        <v>315.7</v>
      </c>
      <c r="P35" s="256">
        <v>203.16</v>
      </c>
      <c r="Q35" s="256">
        <v>312.88</v>
      </c>
    </row>
    <row r="36" spans="1:17" s="162" customFormat="1" ht="11.85" customHeight="1">
      <c r="A36" s="312" t="s">
        <v>570</v>
      </c>
      <c r="B36" s="295">
        <v>308.20999999999998</v>
      </c>
      <c r="C36" s="295">
        <v>6.17</v>
      </c>
      <c r="D36" s="295">
        <v>5.6861320951678174</v>
      </c>
      <c r="E36" s="295">
        <v>334.95</v>
      </c>
      <c r="F36" s="295">
        <v>6.22</v>
      </c>
      <c r="G36" s="295">
        <v>5.4012078912681671</v>
      </c>
      <c r="H36" s="295">
        <v>273.93</v>
      </c>
      <c r="I36" s="295">
        <v>6.1</v>
      </c>
      <c r="J36" s="295">
        <v>6.1349347223835116</v>
      </c>
      <c r="K36" s="295">
        <v>323.49</v>
      </c>
      <c r="L36" s="295">
        <v>233.65</v>
      </c>
      <c r="M36" s="295">
        <v>322.05</v>
      </c>
      <c r="N36" s="295">
        <v>253.57</v>
      </c>
      <c r="O36" s="295">
        <v>317.11</v>
      </c>
      <c r="P36" s="295">
        <v>203.76</v>
      </c>
      <c r="Q36" s="295">
        <v>314.16000000000003</v>
      </c>
    </row>
    <row r="37" spans="1:17" s="162" customFormat="1" ht="11.85" customHeight="1">
      <c r="A37" s="142" t="s">
        <v>562</v>
      </c>
      <c r="B37" s="256">
        <v>310.12</v>
      </c>
      <c r="C37" s="256">
        <v>6.22</v>
      </c>
      <c r="D37" s="256">
        <v>5.7496501613063966</v>
      </c>
      <c r="E37" s="256">
        <v>337.43</v>
      </c>
      <c r="F37" s="256">
        <v>6.34</v>
      </c>
      <c r="G37" s="256">
        <v>5.4720481862916115</v>
      </c>
      <c r="H37" s="256">
        <v>275.11</v>
      </c>
      <c r="I37" s="256">
        <v>6.04</v>
      </c>
      <c r="J37" s="256">
        <v>6.1873207985941425</v>
      </c>
      <c r="K37" s="256">
        <v>325.31</v>
      </c>
      <c r="L37" s="256">
        <v>234.17</v>
      </c>
      <c r="M37" s="256">
        <v>323.51</v>
      </c>
      <c r="N37" s="256">
        <v>253.91</v>
      </c>
      <c r="O37" s="256">
        <v>317.88</v>
      </c>
      <c r="P37" s="256">
        <v>204.95</v>
      </c>
      <c r="Q37" s="256">
        <v>317.85000000000002</v>
      </c>
    </row>
    <row r="38" spans="1:17" s="162" customFormat="1" ht="11.85" customHeight="1">
      <c r="A38" s="312" t="s">
        <v>571</v>
      </c>
      <c r="B38" s="295">
        <v>312.38</v>
      </c>
      <c r="C38" s="295">
        <v>6.29</v>
      </c>
      <c r="D38" s="295">
        <v>5.8114153321578765</v>
      </c>
      <c r="E38" s="295">
        <v>340.25</v>
      </c>
      <c r="F38" s="295">
        <v>6.23</v>
      </c>
      <c r="G38" s="295">
        <v>5.5297540814660318</v>
      </c>
      <c r="H38" s="295">
        <v>276.64</v>
      </c>
      <c r="I38" s="295">
        <v>6.39</v>
      </c>
      <c r="J38" s="295">
        <v>6.2561657349555988</v>
      </c>
      <c r="K38" s="295">
        <v>328.18</v>
      </c>
      <c r="L38" s="295">
        <v>234.65</v>
      </c>
      <c r="M38" s="295">
        <v>325.93</v>
      </c>
      <c r="N38" s="295">
        <v>254.59</v>
      </c>
      <c r="O38" s="295">
        <v>319.82</v>
      </c>
      <c r="P38" s="295">
        <v>206.59</v>
      </c>
      <c r="Q38" s="295">
        <v>319.99</v>
      </c>
    </row>
    <row r="39" spans="1:17" s="162" customFormat="1" ht="11.85" customHeight="1">
      <c r="A39" s="142" t="s">
        <v>572</v>
      </c>
      <c r="B39" s="256">
        <v>309.27999999999997</v>
      </c>
      <c r="C39" s="256">
        <v>7.42</v>
      </c>
      <c r="D39" s="256">
        <v>5.9894246228676229</v>
      </c>
      <c r="E39" s="256">
        <v>334.02</v>
      </c>
      <c r="F39" s="256">
        <v>8.3000000000000007</v>
      </c>
      <c r="G39" s="256">
        <v>5.8094140987488219</v>
      </c>
      <c r="H39" s="256">
        <v>277.57</v>
      </c>
      <c r="I39" s="256">
        <v>6.08</v>
      </c>
      <c r="J39" s="256">
        <v>6.2736460392475157</v>
      </c>
      <c r="K39" s="256">
        <v>329.4</v>
      </c>
      <c r="L39" s="256">
        <v>235.01</v>
      </c>
      <c r="M39" s="256">
        <v>328.4</v>
      </c>
      <c r="N39" s="256">
        <v>255.05</v>
      </c>
      <c r="O39" s="256">
        <v>320.76</v>
      </c>
      <c r="P39" s="256">
        <v>207.47</v>
      </c>
      <c r="Q39" s="256">
        <v>321.14999999999998</v>
      </c>
    </row>
    <row r="40" spans="1:17" s="162" customFormat="1" ht="11.85" customHeight="1">
      <c r="A40" s="312" t="s">
        <v>563</v>
      </c>
      <c r="B40" s="295">
        <v>313.76</v>
      </c>
      <c r="C40" s="295">
        <v>7.56</v>
      </c>
      <c r="D40" s="295">
        <v>6.1496770018374614</v>
      </c>
      <c r="E40" s="295">
        <v>340.48</v>
      </c>
      <c r="F40" s="295">
        <v>8.3699999999999992</v>
      </c>
      <c r="G40" s="295">
        <v>6.0512006287237297</v>
      </c>
      <c r="H40" s="295">
        <v>279.5</v>
      </c>
      <c r="I40" s="295">
        <v>6.33</v>
      </c>
      <c r="J40" s="295">
        <v>6.3050856290428836</v>
      </c>
      <c r="K40" s="295">
        <v>331.09</v>
      </c>
      <c r="L40" s="295">
        <v>235.48</v>
      </c>
      <c r="M40" s="295">
        <v>331.02</v>
      </c>
      <c r="N40" s="295">
        <v>255.62</v>
      </c>
      <c r="O40" s="295">
        <v>324.72000000000003</v>
      </c>
      <c r="P40" s="295">
        <v>210.3</v>
      </c>
      <c r="Q40" s="295">
        <v>325.49</v>
      </c>
    </row>
    <row r="41" spans="1:17" s="162" customFormat="1" ht="11.85" customHeight="1">
      <c r="A41" s="102" t="s">
        <v>2183</v>
      </c>
      <c r="B41" s="256"/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</row>
    <row r="42" spans="1:17" s="162" customFormat="1" ht="11.85" customHeight="1">
      <c r="A42" s="312" t="s">
        <v>565</v>
      </c>
      <c r="B42" s="295">
        <v>315.13</v>
      </c>
      <c r="C42" s="295">
        <v>7.48</v>
      </c>
      <c r="D42" s="295">
        <v>6.325224955699249</v>
      </c>
      <c r="E42" s="295">
        <v>341.91</v>
      </c>
      <c r="F42" s="295">
        <v>8.19</v>
      </c>
      <c r="G42" s="295">
        <v>6.3075975174726073</v>
      </c>
      <c r="H42" s="295">
        <v>280.8</v>
      </c>
      <c r="I42" s="295">
        <v>6.39</v>
      </c>
      <c r="J42" s="295">
        <v>6.3533126505419091</v>
      </c>
      <c r="K42" s="295">
        <v>332.97</v>
      </c>
      <c r="L42" s="295">
        <v>235.87</v>
      </c>
      <c r="M42" s="295">
        <v>331.6</v>
      </c>
      <c r="N42" s="295">
        <v>256.22000000000003</v>
      </c>
      <c r="O42" s="295">
        <v>325.44</v>
      </c>
      <c r="P42" s="295">
        <v>211.78</v>
      </c>
      <c r="Q42" s="295">
        <v>331.52</v>
      </c>
    </row>
    <row r="43" spans="1:17" s="162" customFormat="1" ht="11.85" customHeight="1">
      <c r="A43" s="142" t="s">
        <v>566</v>
      </c>
      <c r="B43" s="256">
        <v>326.06</v>
      </c>
      <c r="C43" s="256">
        <v>9.52</v>
      </c>
      <c r="D43" s="256">
        <v>6.6609199681544995</v>
      </c>
      <c r="E43" s="256">
        <v>355.16</v>
      </c>
      <c r="F43" s="256">
        <v>9.94</v>
      </c>
      <c r="G43" s="256">
        <v>6.709993759002697</v>
      </c>
      <c r="H43" s="256">
        <v>288.76</v>
      </c>
      <c r="I43" s="256">
        <v>8.85</v>
      </c>
      <c r="J43" s="256">
        <v>6.5847962271211369</v>
      </c>
      <c r="K43" s="256">
        <v>334.36</v>
      </c>
      <c r="L43" s="256">
        <v>247.15</v>
      </c>
      <c r="M43" s="256">
        <v>336.03</v>
      </c>
      <c r="N43" s="256">
        <v>280.11</v>
      </c>
      <c r="O43" s="256">
        <v>333.15</v>
      </c>
      <c r="P43" s="256">
        <v>213.44</v>
      </c>
      <c r="Q43" s="256">
        <v>335.56</v>
      </c>
    </row>
    <row r="44" spans="1:17" s="162" customFormat="1" ht="11.85" customHeight="1">
      <c r="A44" s="312" t="s">
        <v>560</v>
      </c>
      <c r="B44" s="295">
        <v>331.88</v>
      </c>
      <c r="C44" s="295">
        <v>9.1</v>
      </c>
      <c r="D44" s="295">
        <v>6.9598855175087682</v>
      </c>
      <c r="E44" s="295">
        <v>362.77</v>
      </c>
      <c r="F44" s="295">
        <v>9.08</v>
      </c>
      <c r="G44" s="295">
        <v>7.0407505099713052</v>
      </c>
      <c r="H44" s="295">
        <v>292.29000000000002</v>
      </c>
      <c r="I44" s="295">
        <v>9.1300000000000008</v>
      </c>
      <c r="J44" s="295">
        <v>6.8352147077798131</v>
      </c>
      <c r="K44" s="295">
        <v>337.21</v>
      </c>
      <c r="L44" s="295">
        <v>248.08</v>
      </c>
      <c r="M44" s="295">
        <v>341.28</v>
      </c>
      <c r="N44" s="295">
        <v>293.16000000000003</v>
      </c>
      <c r="O44" s="295">
        <v>337.74</v>
      </c>
      <c r="P44" s="295">
        <v>214.28</v>
      </c>
      <c r="Q44" s="295">
        <v>341.13</v>
      </c>
    </row>
    <row r="45" spans="1:17" s="162" customFormat="1" ht="11.85" customHeight="1">
      <c r="A45" s="142" t="s">
        <v>567</v>
      </c>
      <c r="B45" s="256">
        <v>334.89</v>
      </c>
      <c r="C45" s="256">
        <v>8.91</v>
      </c>
      <c r="D45" s="256">
        <v>7.2341355183939138</v>
      </c>
      <c r="E45" s="256">
        <v>366.39</v>
      </c>
      <c r="F45" s="256">
        <v>8.5</v>
      </c>
      <c r="G45" s="256">
        <v>7.3213772939671573</v>
      </c>
      <c r="H45" s="256">
        <v>294.51</v>
      </c>
      <c r="I45" s="256">
        <v>9.58</v>
      </c>
      <c r="J45" s="256">
        <v>7.0999814813632378</v>
      </c>
      <c r="K45" s="256">
        <v>338.17</v>
      </c>
      <c r="L45" s="256">
        <v>248.79</v>
      </c>
      <c r="M45" s="256">
        <v>344.34</v>
      </c>
      <c r="N45" s="256">
        <v>294.93</v>
      </c>
      <c r="O45" s="256">
        <v>341.86</v>
      </c>
      <c r="P45" s="256">
        <v>215.27</v>
      </c>
      <c r="Q45" s="256">
        <v>349.33</v>
      </c>
    </row>
    <row r="46" spans="1:17" s="162" customFormat="1" ht="11.85" customHeight="1">
      <c r="A46" s="312" t="s">
        <v>568</v>
      </c>
      <c r="B46" s="295">
        <v>333.07</v>
      </c>
      <c r="C46" s="295">
        <v>8.85</v>
      </c>
      <c r="D46" s="295">
        <v>7.4767067592749425</v>
      </c>
      <c r="E46" s="295">
        <v>360.75</v>
      </c>
      <c r="F46" s="295">
        <v>8.14</v>
      </c>
      <c r="G46" s="295">
        <v>7.5485918183306744</v>
      </c>
      <c r="H46" s="295">
        <v>297.58</v>
      </c>
      <c r="I46" s="295">
        <v>9.98</v>
      </c>
      <c r="J46" s="295">
        <v>7.3659176279700755</v>
      </c>
      <c r="K46" s="295">
        <v>340.91</v>
      </c>
      <c r="L46" s="295">
        <v>249.07</v>
      </c>
      <c r="M46" s="295">
        <v>349.61</v>
      </c>
      <c r="N46" s="295">
        <v>302.73</v>
      </c>
      <c r="O46" s="295">
        <v>347.6</v>
      </c>
      <c r="P46" s="295">
        <v>215.98</v>
      </c>
      <c r="Q46" s="295">
        <v>355.45</v>
      </c>
    </row>
    <row r="47" spans="1:17" s="162" customFormat="1" ht="11.85" customHeight="1">
      <c r="A47" s="142" t="s">
        <v>561</v>
      </c>
      <c r="B47" s="256">
        <v>331.35</v>
      </c>
      <c r="C47" s="256">
        <v>8.7100000000000009</v>
      </c>
      <c r="D47" s="256">
        <v>7.6969543717689382</v>
      </c>
      <c r="E47" s="256">
        <v>356.86</v>
      </c>
      <c r="F47" s="256">
        <v>7.91</v>
      </c>
      <c r="G47" s="256">
        <v>7.7487910706107943</v>
      </c>
      <c r="H47" s="256">
        <v>298.64999999999998</v>
      </c>
      <c r="I47" s="256">
        <v>9.9600000000000009</v>
      </c>
      <c r="J47" s="256">
        <v>7.6176222636898272</v>
      </c>
      <c r="K47" s="256">
        <v>342.96</v>
      </c>
      <c r="L47" s="256">
        <v>249.09</v>
      </c>
      <c r="M47" s="256">
        <v>353.11</v>
      </c>
      <c r="N47" s="256">
        <v>303.2</v>
      </c>
      <c r="O47" s="256">
        <v>348.59</v>
      </c>
      <c r="P47" s="256">
        <v>216.7</v>
      </c>
      <c r="Q47" s="256">
        <v>356.87</v>
      </c>
    </row>
    <row r="48" spans="1:17" s="162" customFormat="1" ht="11.85" customHeight="1">
      <c r="A48" s="312" t="s">
        <v>569</v>
      </c>
      <c r="B48" s="295">
        <v>333.34</v>
      </c>
      <c r="C48" s="295">
        <v>8.57</v>
      </c>
      <c r="D48" s="295">
        <v>7.9212793503700807</v>
      </c>
      <c r="E48" s="295">
        <v>359.4</v>
      </c>
      <c r="F48" s="295">
        <v>7.76</v>
      </c>
      <c r="G48" s="295">
        <v>7.9244029268368266</v>
      </c>
      <c r="H48" s="295">
        <v>299.93</v>
      </c>
      <c r="I48" s="295">
        <v>9.84</v>
      </c>
      <c r="J48" s="295">
        <v>7.9184219702752801</v>
      </c>
      <c r="K48" s="295">
        <v>343.9</v>
      </c>
      <c r="L48" s="295">
        <v>250.94</v>
      </c>
      <c r="M48" s="295">
        <v>354.21</v>
      </c>
      <c r="N48" s="295">
        <v>303.57</v>
      </c>
      <c r="O48" s="295">
        <v>348.96</v>
      </c>
      <c r="P48" s="295">
        <v>218.08</v>
      </c>
      <c r="Q48" s="295">
        <v>358.95</v>
      </c>
    </row>
    <row r="49" spans="1:17" s="162" customFormat="1" ht="11.85" customHeight="1">
      <c r="A49" s="142" t="s">
        <v>570</v>
      </c>
      <c r="B49" s="256">
        <v>335.29</v>
      </c>
      <c r="C49" s="256">
        <v>8.7799999999999994</v>
      </c>
      <c r="D49" s="256">
        <v>8.1369466625858866</v>
      </c>
      <c r="E49" s="256">
        <v>362.17</v>
      </c>
      <c r="F49" s="256">
        <v>8.1300000000000008</v>
      </c>
      <c r="G49" s="256">
        <v>8.0798710500757274</v>
      </c>
      <c r="H49" s="256">
        <v>300.82</v>
      </c>
      <c r="I49" s="256">
        <v>9.82</v>
      </c>
      <c r="J49" s="256">
        <v>8.2276739940480681</v>
      </c>
      <c r="K49" s="256">
        <v>344.49</v>
      </c>
      <c r="L49" s="256">
        <v>252.28</v>
      </c>
      <c r="M49" s="256">
        <v>355.04</v>
      </c>
      <c r="N49" s="256">
        <v>303.89999999999998</v>
      </c>
      <c r="O49" s="256">
        <v>349.49</v>
      </c>
      <c r="P49" s="256">
        <v>218.58</v>
      </c>
      <c r="Q49" s="256">
        <v>360.12</v>
      </c>
    </row>
    <row r="50" spans="1:17" s="162" customFormat="1" ht="11.85" customHeight="1" thickBot="1">
      <c r="A50" s="1352" t="s">
        <v>562</v>
      </c>
      <c r="B50" s="482">
        <v>339.07</v>
      </c>
      <c r="C50" s="482">
        <v>9.33</v>
      </c>
      <c r="D50" s="482">
        <v>8.394744564344748</v>
      </c>
      <c r="E50" s="482">
        <v>368.09</v>
      </c>
      <c r="F50" s="482">
        <v>9.09</v>
      </c>
      <c r="G50" s="482">
        <v>8.3074138282684284</v>
      </c>
      <c r="H50" s="482">
        <v>301.87</v>
      </c>
      <c r="I50" s="482">
        <v>9.7200000000000006</v>
      </c>
      <c r="J50" s="482">
        <v>8.5325527354625628</v>
      </c>
      <c r="K50" s="482">
        <v>345.29</v>
      </c>
      <c r="L50" s="482">
        <v>253.4</v>
      </c>
      <c r="M50" s="482">
        <v>355.94</v>
      </c>
      <c r="N50" s="482">
        <v>304.94</v>
      </c>
      <c r="O50" s="482">
        <v>350.41</v>
      </c>
      <c r="P50" s="482">
        <v>218.77</v>
      </c>
      <c r="Q50" s="482">
        <v>362.65</v>
      </c>
    </row>
    <row r="51" spans="1:17" s="162" customFormat="1" ht="11.85" customHeight="1">
      <c r="A51" s="142" t="s">
        <v>2416</v>
      </c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</row>
    <row r="52" spans="1:17">
      <c r="A52" s="2260" t="s">
        <v>2417</v>
      </c>
      <c r="B52" s="2260"/>
      <c r="C52" s="2260"/>
      <c r="D52" s="2260"/>
      <c r="E52" s="101"/>
      <c r="F52" s="101"/>
      <c r="G52" s="28"/>
      <c r="H52" s="32" t="s">
        <v>374</v>
      </c>
      <c r="I52" s="32"/>
      <c r="J52" s="32"/>
      <c r="K52" s="28"/>
      <c r="L52" s="28"/>
      <c r="M52" s="28"/>
      <c r="N52" s="28"/>
      <c r="O52" s="28"/>
      <c r="P52" s="28"/>
      <c r="Q52" s="28"/>
    </row>
    <row r="53" spans="1:17">
      <c r="E53" s="1047"/>
      <c r="F53" s="32"/>
      <c r="G53" s="32"/>
      <c r="H53" s="32"/>
      <c r="I53" s="32"/>
    </row>
    <row r="54" spans="1:17">
      <c r="A54" s="32"/>
      <c r="B54" s="32"/>
      <c r="C54" s="32"/>
      <c r="D54" s="32"/>
      <c r="E54" s="1048"/>
      <c r="F54" s="1340"/>
      <c r="G54" s="616"/>
      <c r="H54" s="1340"/>
      <c r="I54" s="146"/>
      <c r="J54" s="616"/>
      <c r="K54" s="67"/>
      <c r="L54" s="67"/>
      <c r="M54" s="67"/>
      <c r="N54" s="67"/>
    </row>
    <row r="55" spans="1:17">
      <c r="B55" s="85"/>
      <c r="C55" s="85"/>
      <c r="D55" s="85"/>
      <c r="E55" s="85"/>
      <c r="F55" s="85"/>
      <c r="H55" s="85"/>
      <c r="I55" s="256"/>
    </row>
    <row r="56" spans="1:17">
      <c r="B56" s="85"/>
      <c r="C56" s="256"/>
      <c r="D56" s="85"/>
      <c r="E56" s="85"/>
      <c r="F56" s="256"/>
      <c r="G56" s="85"/>
      <c r="H56" s="85"/>
      <c r="I56" s="256"/>
      <c r="J56" s="85"/>
    </row>
    <row r="57" spans="1:17">
      <c r="A57" s="253"/>
      <c r="B57" s="256"/>
      <c r="C57" s="256"/>
      <c r="D57" s="256"/>
      <c r="E57" s="256"/>
      <c r="F57" s="256"/>
      <c r="G57" s="256"/>
      <c r="H57" s="256"/>
      <c r="I57" s="256"/>
      <c r="J57" s="256"/>
      <c r="L57" s="256"/>
      <c r="M57" s="256"/>
      <c r="N57" s="256"/>
      <c r="O57" s="256"/>
      <c r="P57" s="256"/>
      <c r="Q57" s="256"/>
    </row>
    <row r="58" spans="1:17">
      <c r="B58" s="256"/>
      <c r="C58" s="256"/>
      <c r="D58" s="256"/>
      <c r="E58" s="256"/>
      <c r="F58" s="256"/>
      <c r="G58" s="256"/>
      <c r="H58" s="256"/>
      <c r="I58" s="256"/>
      <c r="J58" s="256"/>
    </row>
    <row r="59" spans="1:17">
      <c r="B59" s="256"/>
      <c r="C59" s="256"/>
      <c r="D59" s="256"/>
      <c r="E59" s="256"/>
      <c r="F59" s="256"/>
      <c r="G59" s="256"/>
      <c r="H59" s="256"/>
      <c r="I59" s="256"/>
      <c r="J59" s="256"/>
    </row>
    <row r="60" spans="1:17">
      <c r="H60" s="85"/>
    </row>
    <row r="61" spans="1:17">
      <c r="C61" s="616"/>
      <c r="F61" s="85"/>
      <c r="I61" s="85"/>
    </row>
  </sheetData>
  <customSheetViews>
    <customSheetView guid="{A374FC54-96E3-45F0-9C12-8450400C12DF}" scale="150">
      <pane xSplit="1" ySplit="6" topLeftCell="B10" activePane="bottomRight" state="frozen"/>
      <selection pane="bottomRight" activeCell="A12" sqref="A12:L14"/>
      <pageMargins left="0.62992125984252001" right="0.39370078740157499" top="0.511811023622047" bottom="0.511811023622047" header="0" footer="0.511811023622047"/>
      <pageSetup paperSize="132" firstPageNumber="42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D1:J1"/>
    <mergeCell ref="H4:H5"/>
    <mergeCell ref="F3:G3"/>
    <mergeCell ref="K4:K5"/>
    <mergeCell ref="I3:J3"/>
    <mergeCell ref="C3:D3"/>
    <mergeCell ref="G4:G5"/>
    <mergeCell ref="C4:C5"/>
    <mergeCell ref="G2:J2"/>
    <mergeCell ref="E4:E5"/>
    <mergeCell ref="J4:J5"/>
    <mergeCell ref="K1:P1"/>
    <mergeCell ref="K3:Q3"/>
    <mergeCell ref="O4:O5"/>
    <mergeCell ref="P4:P5"/>
    <mergeCell ref="Q4:Q5"/>
    <mergeCell ref="L4:L5"/>
    <mergeCell ref="M4:M5"/>
    <mergeCell ref="N4:N5"/>
    <mergeCell ref="A52:D52"/>
    <mergeCell ref="D4:D5"/>
    <mergeCell ref="I4:I5"/>
    <mergeCell ref="F6:G6"/>
    <mergeCell ref="F4:F5"/>
    <mergeCell ref="A3:A5"/>
    <mergeCell ref="I6:J6"/>
    <mergeCell ref="C6:D6"/>
    <mergeCell ref="B4:B5"/>
  </mergeCells>
  <phoneticPr fontId="0" type="noConversion"/>
  <pageMargins left="0.62992125984252001" right="0.39370078740157499" top="0.511811023622047" bottom="0.511811023622047" header="0" footer="0.511811023622047"/>
  <pageSetup paperSize="448" firstPageNumber="42" orientation="portrait" useFirstPageNumber="1" r:id="rId2"/>
  <headerFooter alignWithMargins="0">
    <oddFooter>&amp;C&amp;"Times New Roman,Regular"&amp;8&amp;P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U86"/>
  <sheetViews>
    <sheetView zoomScale="120" zoomScaleNormal="120" zoomScaleSheetLayoutView="100" workbookViewId="0">
      <pane xSplit="1" ySplit="5" topLeftCell="B39" activePane="bottomRight" state="frozen"/>
      <selection activeCell="F85" sqref="F85"/>
      <selection pane="topRight" activeCell="F85" sqref="F85"/>
      <selection pane="bottomLeft" activeCell="F85" sqref="F85"/>
      <selection pane="bottomRight" activeCell="B54" sqref="B54"/>
    </sheetView>
  </sheetViews>
  <sheetFormatPr defaultRowHeight="12.75"/>
  <cols>
    <col min="1" max="1" width="8.42578125" style="1808" customWidth="1"/>
    <col min="2" max="10" width="8.7109375" style="1808" customWidth="1"/>
    <col min="11" max="11" width="9.28515625" style="1808" customWidth="1"/>
    <col min="12" max="12" width="7.85546875" style="1808" customWidth="1"/>
    <col min="13" max="13" width="7.28515625" style="1808" customWidth="1"/>
    <col min="14" max="14" width="8.85546875" style="1808" customWidth="1"/>
    <col min="15" max="15" width="6.140625" style="1808" customWidth="1"/>
    <col min="16" max="16" width="8.140625" style="1808" customWidth="1"/>
    <col min="17" max="17" width="7.5703125" style="1808" customWidth="1"/>
    <col min="18" max="18" width="8" style="1808" customWidth="1"/>
    <col min="19" max="19" width="7.5703125" style="1808" customWidth="1"/>
    <col min="20" max="20" width="8.5703125" style="1808" customWidth="1"/>
    <col min="21" max="21" width="6.28515625" style="1808" customWidth="1"/>
    <col min="22" max="16384" width="9.140625" style="1808"/>
  </cols>
  <sheetData>
    <row r="1" spans="1:21" ht="15.75" customHeight="1">
      <c r="A1" s="2270" t="s">
        <v>2309</v>
      </c>
      <c r="B1" s="2270"/>
      <c r="C1" s="2270"/>
      <c r="D1" s="2270"/>
      <c r="E1" s="2270"/>
      <c r="F1" s="2270"/>
      <c r="G1" s="2270"/>
      <c r="H1" s="2270"/>
      <c r="I1" s="2270"/>
      <c r="J1" s="2270"/>
      <c r="K1" s="2276" t="s">
        <v>2310</v>
      </c>
      <c r="L1" s="2276"/>
      <c r="M1" s="2276"/>
      <c r="N1" s="2276"/>
      <c r="O1" s="2276"/>
      <c r="P1" s="2276"/>
      <c r="Q1" s="2276"/>
      <c r="R1" s="2276"/>
      <c r="S1" s="2276"/>
      <c r="T1" s="2276"/>
      <c r="U1" s="2276"/>
    </row>
    <row r="2" spans="1:21">
      <c r="A2" s="21"/>
      <c r="B2" s="978"/>
      <c r="C2" s="21"/>
      <c r="D2" s="21"/>
      <c r="E2" s="21"/>
      <c r="F2" s="978"/>
      <c r="G2" s="2272"/>
      <c r="H2" s="2272"/>
      <c r="I2" s="2272"/>
      <c r="J2" s="2272"/>
      <c r="K2" s="93"/>
      <c r="L2" s="1343"/>
      <c r="M2" s="978"/>
      <c r="N2" s="978"/>
      <c r="O2" s="978"/>
      <c r="P2" s="978"/>
      <c r="Q2" s="978"/>
      <c r="R2" s="978"/>
      <c r="S2" s="978"/>
      <c r="T2" s="978"/>
      <c r="U2" s="978"/>
    </row>
    <row r="3" spans="1:21">
      <c r="A3" s="2222" t="s">
        <v>487</v>
      </c>
      <c r="B3" s="1824" t="s">
        <v>506</v>
      </c>
      <c r="C3" s="2225" t="s">
        <v>508</v>
      </c>
      <c r="D3" s="2227"/>
      <c r="E3" s="1824" t="s">
        <v>506</v>
      </c>
      <c r="F3" s="2225" t="s">
        <v>92</v>
      </c>
      <c r="G3" s="2227"/>
      <c r="H3" s="1824" t="s">
        <v>506</v>
      </c>
      <c r="I3" s="2225" t="s">
        <v>93</v>
      </c>
      <c r="J3" s="2226"/>
      <c r="K3" s="1815"/>
      <c r="L3" s="2226" t="s">
        <v>184</v>
      </c>
      <c r="M3" s="2226"/>
      <c r="N3" s="2226"/>
      <c r="O3" s="2226"/>
      <c r="P3" s="2226"/>
      <c r="Q3" s="2226"/>
      <c r="R3" s="2226"/>
      <c r="S3" s="2226"/>
      <c r="T3" s="2226"/>
      <c r="U3" s="2227"/>
    </row>
    <row r="4" spans="1:21" ht="24" customHeight="1">
      <c r="A4" s="2223"/>
      <c r="B4" s="2268" t="s">
        <v>507</v>
      </c>
      <c r="C4" s="2263" t="s">
        <v>94</v>
      </c>
      <c r="D4" s="2261" t="s">
        <v>95</v>
      </c>
      <c r="E4" s="2263" t="s">
        <v>504</v>
      </c>
      <c r="F4" s="2261" t="s">
        <v>94</v>
      </c>
      <c r="G4" s="2263" t="s">
        <v>95</v>
      </c>
      <c r="H4" s="2261" t="s">
        <v>261</v>
      </c>
      <c r="I4" s="2263" t="s">
        <v>110</v>
      </c>
      <c r="J4" s="2263" t="s">
        <v>95</v>
      </c>
      <c r="K4" s="2223" t="s">
        <v>2311</v>
      </c>
      <c r="L4" s="2222" t="s">
        <v>19</v>
      </c>
      <c r="M4" s="2283" t="s">
        <v>2312</v>
      </c>
      <c r="N4" s="2259" t="s">
        <v>2313</v>
      </c>
      <c r="O4" s="2259" t="s">
        <v>2314</v>
      </c>
      <c r="P4" s="2259" t="s">
        <v>2315</v>
      </c>
      <c r="Q4" s="2280" t="s">
        <v>2316</v>
      </c>
      <c r="R4" s="2282" t="s">
        <v>2317</v>
      </c>
      <c r="S4" s="2278" t="s">
        <v>2084</v>
      </c>
      <c r="T4" s="2278" t="s">
        <v>2318</v>
      </c>
      <c r="U4" s="2259" t="s">
        <v>889</v>
      </c>
    </row>
    <row r="5" spans="1:21" ht="24" customHeight="1">
      <c r="A5" s="2223"/>
      <c r="B5" s="2269"/>
      <c r="C5" s="2263"/>
      <c r="D5" s="2262"/>
      <c r="E5" s="2263"/>
      <c r="F5" s="2262"/>
      <c r="G5" s="2263"/>
      <c r="H5" s="2262"/>
      <c r="I5" s="2263"/>
      <c r="J5" s="2263"/>
      <c r="K5" s="2224"/>
      <c r="L5" s="2224"/>
      <c r="M5" s="2283"/>
      <c r="N5" s="2259"/>
      <c r="O5" s="2259"/>
      <c r="P5" s="2259"/>
      <c r="Q5" s="2281"/>
      <c r="R5" s="2282"/>
      <c r="S5" s="2279"/>
      <c r="T5" s="2279"/>
      <c r="U5" s="2259"/>
    </row>
    <row r="6" spans="1:21">
      <c r="A6" s="84" t="s">
        <v>574</v>
      </c>
      <c r="B6" s="1819">
        <v>100</v>
      </c>
      <c r="C6" s="2266" t="s">
        <v>140</v>
      </c>
      <c r="D6" s="2277"/>
      <c r="E6" s="1819">
        <v>44.86</v>
      </c>
      <c r="F6" s="2264" t="s">
        <v>140</v>
      </c>
      <c r="G6" s="2264"/>
      <c r="H6" s="1819">
        <v>55.14</v>
      </c>
      <c r="I6" s="2264" t="s">
        <v>140</v>
      </c>
      <c r="J6" s="2264"/>
      <c r="K6" s="1819">
        <v>2.64</v>
      </c>
      <c r="L6" s="1819">
        <v>6.11</v>
      </c>
      <c r="M6" s="1819">
        <v>15.24</v>
      </c>
      <c r="N6" s="1819">
        <v>3.84</v>
      </c>
      <c r="O6" s="1819">
        <v>4.34</v>
      </c>
      <c r="P6" s="1819">
        <v>9.3699999999999992</v>
      </c>
      <c r="Q6" s="1819">
        <v>2.34</v>
      </c>
      <c r="R6" s="1819">
        <v>1.54</v>
      </c>
      <c r="S6" s="1819">
        <v>3.76</v>
      </c>
      <c r="T6" s="1819">
        <v>2.17</v>
      </c>
      <c r="U6" s="1819">
        <v>3.79</v>
      </c>
    </row>
    <row r="7" spans="1:21" ht="11.45" customHeight="1">
      <c r="A7" s="891" t="s">
        <v>1927</v>
      </c>
      <c r="B7" s="345">
        <v>100</v>
      </c>
      <c r="C7" s="345">
        <f>C19</f>
        <v>7.5574682481368765</v>
      </c>
      <c r="D7" s="345">
        <f>D19</f>
        <v>6.1496545684538217</v>
      </c>
      <c r="E7" s="345">
        <v>100</v>
      </c>
      <c r="F7" s="345">
        <f>F19</f>
        <v>8.3695306706218933</v>
      </c>
      <c r="G7" s="345">
        <f>G19</f>
        <v>6.0520361990950011</v>
      </c>
      <c r="H7" s="345">
        <v>100</v>
      </c>
      <c r="I7" s="345">
        <f>I19</f>
        <v>6.3217796171753751</v>
      </c>
      <c r="J7" s="345">
        <f>J19</f>
        <v>6.3048138764373318</v>
      </c>
      <c r="K7" s="345" t="s">
        <v>295</v>
      </c>
      <c r="L7" s="345">
        <v>100</v>
      </c>
      <c r="M7" s="345">
        <v>100</v>
      </c>
      <c r="N7" s="345">
        <v>100</v>
      </c>
      <c r="O7" s="345">
        <v>100</v>
      </c>
      <c r="P7" s="345">
        <v>100</v>
      </c>
      <c r="Q7" s="345" t="s">
        <v>295</v>
      </c>
      <c r="R7" s="345">
        <v>100</v>
      </c>
      <c r="S7" s="345" t="s">
        <v>295</v>
      </c>
      <c r="T7" s="345" t="s">
        <v>295</v>
      </c>
      <c r="U7" s="345">
        <v>100</v>
      </c>
    </row>
    <row r="8" spans="1:21" ht="11.45" customHeight="1">
      <c r="A8" s="398" t="s">
        <v>565</v>
      </c>
      <c r="B8" s="295">
        <v>95.76</v>
      </c>
      <c r="C8" s="295">
        <v>5.3581252062933267</v>
      </c>
      <c r="D8" s="295">
        <v>5.5433155776185128</v>
      </c>
      <c r="E8" s="295">
        <v>94.94</v>
      </c>
      <c r="F8" s="295">
        <v>5.0802434975096888</v>
      </c>
      <c r="G8" s="295">
        <v>5.6767868437697988</v>
      </c>
      <c r="H8" s="295">
        <v>97.04</v>
      </c>
      <c r="I8" s="295">
        <v>5.8002616659398241</v>
      </c>
      <c r="J8" s="295">
        <v>5.3328627684077645</v>
      </c>
      <c r="K8" s="295" t="s">
        <v>295</v>
      </c>
      <c r="L8" s="295">
        <v>95.93</v>
      </c>
      <c r="M8" s="295">
        <v>97.72</v>
      </c>
      <c r="N8" s="295">
        <v>96.81</v>
      </c>
      <c r="O8" s="295">
        <v>99.55</v>
      </c>
      <c r="P8" s="295">
        <v>96.03</v>
      </c>
      <c r="Q8" s="295" t="s">
        <v>295</v>
      </c>
      <c r="R8" s="295">
        <v>97.24</v>
      </c>
      <c r="S8" s="295" t="s">
        <v>295</v>
      </c>
      <c r="T8" s="295" t="s">
        <v>295</v>
      </c>
      <c r="U8" s="295">
        <v>96.94</v>
      </c>
    </row>
    <row r="9" spans="1:21" ht="11.45" customHeight="1">
      <c r="A9" s="1811" t="s">
        <v>566</v>
      </c>
      <c r="B9" s="256">
        <v>97.24</v>
      </c>
      <c r="C9" s="256">
        <v>5.535055350553499</v>
      </c>
      <c r="D9" s="256">
        <v>5.5318046379064567</v>
      </c>
      <c r="E9" s="256">
        <v>97.05</v>
      </c>
      <c r="F9" s="256">
        <v>5.157655217249963</v>
      </c>
      <c r="G9" s="256">
        <v>5.5999333561649989</v>
      </c>
      <c r="H9" s="256">
        <v>97.54</v>
      </c>
      <c r="I9" s="256">
        <v>6.1371055495103368</v>
      </c>
      <c r="J9" s="256">
        <v>5.423904397210344</v>
      </c>
      <c r="K9" s="256" t="s">
        <v>295</v>
      </c>
      <c r="L9" s="256">
        <v>96.94</v>
      </c>
      <c r="M9" s="256">
        <v>98.12</v>
      </c>
      <c r="N9" s="256">
        <v>97.38</v>
      </c>
      <c r="O9" s="256">
        <v>99.62</v>
      </c>
      <c r="P9" s="256">
        <v>96.42</v>
      </c>
      <c r="Q9" s="256" t="s">
        <v>295</v>
      </c>
      <c r="R9" s="256">
        <v>97.47</v>
      </c>
      <c r="S9" s="256" t="s">
        <v>295</v>
      </c>
      <c r="T9" s="256" t="s">
        <v>295</v>
      </c>
      <c r="U9" s="256">
        <v>97.34</v>
      </c>
    </row>
    <row r="10" spans="1:21" ht="11.45" customHeight="1">
      <c r="A10" s="398" t="s">
        <v>560</v>
      </c>
      <c r="B10" s="295">
        <v>99.36</v>
      </c>
      <c r="C10" s="295">
        <v>5.589798087141344</v>
      </c>
      <c r="D10" s="295">
        <v>5.501123429960586</v>
      </c>
      <c r="E10" s="295">
        <v>99.92</v>
      </c>
      <c r="F10" s="295">
        <v>5.2121722649257691</v>
      </c>
      <c r="G10" s="295">
        <v>5.4917738475560807</v>
      </c>
      <c r="H10" s="295">
        <v>98.48</v>
      </c>
      <c r="I10" s="295">
        <v>6.1893465602760509</v>
      </c>
      <c r="J10" s="295">
        <v>5.5146686316952742</v>
      </c>
      <c r="K10" s="295" t="s">
        <v>295</v>
      </c>
      <c r="L10" s="295">
        <v>97.97</v>
      </c>
      <c r="M10" s="295">
        <v>99.22</v>
      </c>
      <c r="N10" s="295">
        <v>98.87</v>
      </c>
      <c r="O10" s="295">
        <v>99.71</v>
      </c>
      <c r="P10" s="295">
        <v>97.04</v>
      </c>
      <c r="Q10" s="295" t="s">
        <v>295</v>
      </c>
      <c r="R10" s="295">
        <v>98.49</v>
      </c>
      <c r="S10" s="295" t="s">
        <v>295</v>
      </c>
      <c r="T10" s="295" t="s">
        <v>295</v>
      </c>
      <c r="U10" s="295">
        <v>98.03</v>
      </c>
    </row>
    <row r="11" spans="1:21" s="774" customFormat="1" ht="11.45" customHeight="1">
      <c r="A11" s="1811" t="s">
        <v>567</v>
      </c>
      <c r="B11" s="256">
        <v>100.43</v>
      </c>
      <c r="C11" s="256">
        <v>5.7046626670876774</v>
      </c>
      <c r="D11" s="256">
        <v>5.4419213893799556</v>
      </c>
      <c r="E11" s="256">
        <v>101.46</v>
      </c>
      <c r="F11" s="256">
        <v>5.2271313005600417</v>
      </c>
      <c r="G11" s="256">
        <v>5.3168124748343537</v>
      </c>
      <c r="H11" s="256">
        <v>98.81</v>
      </c>
      <c r="I11" s="256">
        <v>6.4762931034482811</v>
      </c>
      <c r="J11" s="256">
        <v>5.6381700257781553</v>
      </c>
      <c r="K11" s="256" t="s">
        <v>295</v>
      </c>
      <c r="L11" s="256">
        <v>98.23</v>
      </c>
      <c r="M11" s="256">
        <v>99.66</v>
      </c>
      <c r="N11" s="256">
        <v>98.92</v>
      </c>
      <c r="O11" s="256">
        <v>99.75</v>
      </c>
      <c r="P11" s="256">
        <v>97.86</v>
      </c>
      <c r="Q11" s="256" t="s">
        <v>295</v>
      </c>
      <c r="R11" s="256">
        <v>98.57</v>
      </c>
      <c r="S11" s="256" t="s">
        <v>295</v>
      </c>
      <c r="T11" s="256" t="s">
        <v>295</v>
      </c>
      <c r="U11" s="256">
        <v>98.2</v>
      </c>
    </row>
    <row r="12" spans="1:21" ht="11.45" customHeight="1">
      <c r="A12" s="398" t="s">
        <v>568</v>
      </c>
      <c r="B12" s="295">
        <v>99.93</v>
      </c>
      <c r="C12" s="295">
        <v>5.9815462933503021</v>
      </c>
      <c r="D12" s="295">
        <v>5.4822001750802318</v>
      </c>
      <c r="E12" s="295">
        <v>100.22</v>
      </c>
      <c r="F12" s="295">
        <v>5.4281506416999754</v>
      </c>
      <c r="G12" s="295">
        <v>5.2927835614940744</v>
      </c>
      <c r="H12" s="295">
        <v>99.48</v>
      </c>
      <c r="I12" s="295">
        <v>6.864324846922333</v>
      </c>
      <c r="J12" s="295">
        <v>5.7789633310799893</v>
      </c>
      <c r="K12" s="295" t="s">
        <v>295</v>
      </c>
      <c r="L12" s="295">
        <v>98.93</v>
      </c>
      <c r="M12" s="295">
        <v>100.01</v>
      </c>
      <c r="N12" s="295">
        <v>99.26</v>
      </c>
      <c r="O12" s="295">
        <v>99.79</v>
      </c>
      <c r="P12" s="295">
        <v>100.11</v>
      </c>
      <c r="Q12" s="295" t="s">
        <v>295</v>
      </c>
      <c r="R12" s="295">
        <v>98.84</v>
      </c>
      <c r="S12" s="295" t="s">
        <v>295</v>
      </c>
      <c r="T12" s="295" t="s">
        <v>295</v>
      </c>
      <c r="U12" s="295">
        <v>98.54</v>
      </c>
    </row>
    <row r="13" spans="1:21" ht="11.45" customHeight="1">
      <c r="A13" s="1811" t="s">
        <v>561</v>
      </c>
      <c r="B13" s="256">
        <v>99.55</v>
      </c>
      <c r="C13" s="256">
        <v>6.0509214871630901</v>
      </c>
      <c r="D13" s="256">
        <v>5.5458705600348823</v>
      </c>
      <c r="E13" s="256">
        <v>99.35</v>
      </c>
      <c r="F13" s="256">
        <v>5.4558964016558757</v>
      </c>
      <c r="G13" s="256">
        <v>5.3024875531654025</v>
      </c>
      <c r="H13" s="256">
        <v>99.86</v>
      </c>
      <c r="I13" s="256">
        <v>6.9966784528018868</v>
      </c>
      <c r="J13" s="256">
        <v>5.928425878756971</v>
      </c>
      <c r="K13" s="256" t="s">
        <v>295</v>
      </c>
      <c r="L13" s="256">
        <v>100.07</v>
      </c>
      <c r="M13" s="256">
        <v>100.12</v>
      </c>
      <c r="N13" s="256">
        <v>99.5</v>
      </c>
      <c r="O13" s="256">
        <v>99.82</v>
      </c>
      <c r="P13" s="256">
        <v>100.41</v>
      </c>
      <c r="Q13" s="256" t="s">
        <v>295</v>
      </c>
      <c r="R13" s="256">
        <v>99.22</v>
      </c>
      <c r="S13" s="256" t="s">
        <v>295</v>
      </c>
      <c r="T13" s="256" t="s">
        <v>295</v>
      </c>
      <c r="U13" s="256">
        <v>98.84</v>
      </c>
    </row>
    <row r="14" spans="1:21" ht="11.45" customHeight="1">
      <c r="A14" s="398" t="s">
        <v>569</v>
      </c>
      <c r="B14" s="295">
        <v>100.27</v>
      </c>
      <c r="C14" s="295">
        <v>5.8593749999999973</v>
      </c>
      <c r="D14" s="295">
        <v>5.6163417368973345</v>
      </c>
      <c r="E14" s="295">
        <v>100.2</v>
      </c>
      <c r="F14" s="295">
        <v>5.6070826306914068</v>
      </c>
      <c r="G14" s="295">
        <v>5.334067779774454</v>
      </c>
      <c r="H14" s="295">
        <v>100.39</v>
      </c>
      <c r="I14" s="295">
        <v>6.2552921253175233</v>
      </c>
      <c r="J14" s="295">
        <v>6.0579423838478919</v>
      </c>
      <c r="K14" s="295" t="s">
        <v>295</v>
      </c>
      <c r="L14" s="295">
        <v>100.45</v>
      </c>
      <c r="M14" s="295">
        <v>100.47</v>
      </c>
      <c r="N14" s="295">
        <v>100.07</v>
      </c>
      <c r="O14" s="295">
        <v>99.93</v>
      </c>
      <c r="P14" s="295">
        <v>100.86</v>
      </c>
      <c r="Q14" s="295" t="s">
        <v>295</v>
      </c>
      <c r="R14" s="295">
        <v>100.27</v>
      </c>
      <c r="S14" s="295" t="s">
        <v>295</v>
      </c>
      <c r="T14" s="295" t="s">
        <v>295</v>
      </c>
      <c r="U14" s="295">
        <v>100.19</v>
      </c>
    </row>
    <row r="15" spans="1:21" ht="11.45" customHeight="1">
      <c r="A15" s="1811" t="s">
        <v>570</v>
      </c>
      <c r="B15" s="256">
        <v>100.66</v>
      </c>
      <c r="C15" s="256">
        <v>6.1702352072566127</v>
      </c>
      <c r="D15" s="256">
        <v>5.6875579605103255</v>
      </c>
      <c r="E15" s="256">
        <v>100.63</v>
      </c>
      <c r="F15" s="256">
        <v>6.217014988389276</v>
      </c>
      <c r="G15" s="256">
        <v>5.4024166576761123</v>
      </c>
      <c r="H15" s="256">
        <v>100.72</v>
      </c>
      <c r="I15" s="256">
        <v>6.1104087652760191</v>
      </c>
      <c r="J15" s="256">
        <v>6.1353402456301831</v>
      </c>
      <c r="K15" s="256" t="s">
        <v>295</v>
      </c>
      <c r="L15" s="256">
        <v>101.04</v>
      </c>
      <c r="M15" s="256">
        <v>100.53</v>
      </c>
      <c r="N15" s="256">
        <v>100.55</v>
      </c>
      <c r="O15" s="256">
        <v>99.98</v>
      </c>
      <c r="P15" s="256">
        <v>101.31</v>
      </c>
      <c r="Q15" s="256" t="s">
        <v>295</v>
      </c>
      <c r="R15" s="256">
        <v>100.57</v>
      </c>
      <c r="S15" s="256" t="s">
        <v>295</v>
      </c>
      <c r="T15" s="256" t="s">
        <v>295</v>
      </c>
      <c r="U15" s="256">
        <v>100.6</v>
      </c>
    </row>
    <row r="16" spans="1:21" ht="11.45" customHeight="1">
      <c r="A16" s="398" t="s">
        <v>562</v>
      </c>
      <c r="B16" s="295">
        <v>101.29</v>
      </c>
      <c r="C16" s="295">
        <v>6.2296801258521359</v>
      </c>
      <c r="D16" s="295">
        <v>5.7520101110603239</v>
      </c>
      <c r="E16" s="295">
        <v>101.37</v>
      </c>
      <c r="F16" s="295">
        <v>6.3358858701353267</v>
      </c>
      <c r="G16" s="295">
        <v>5.4732112489483065</v>
      </c>
      <c r="H16" s="295">
        <v>101.15</v>
      </c>
      <c r="I16" s="295">
        <v>6.0383688017611954</v>
      </c>
      <c r="J16" s="295">
        <v>6.1875028076007643</v>
      </c>
      <c r="K16" s="295" t="s">
        <v>295</v>
      </c>
      <c r="L16" s="295">
        <v>101.61</v>
      </c>
      <c r="M16" s="295">
        <v>100.75</v>
      </c>
      <c r="N16" s="295">
        <v>101</v>
      </c>
      <c r="O16" s="295">
        <v>100.12</v>
      </c>
      <c r="P16" s="295">
        <v>101.56</v>
      </c>
      <c r="Q16" s="295" t="s">
        <v>295</v>
      </c>
      <c r="R16" s="295">
        <v>101.16</v>
      </c>
      <c r="S16" s="295" t="s">
        <v>295</v>
      </c>
      <c r="T16" s="295" t="s">
        <v>295</v>
      </c>
      <c r="U16" s="295">
        <v>101.78</v>
      </c>
    </row>
    <row r="17" spans="1:21" ht="11.45" customHeight="1">
      <c r="A17" s="1811" t="s">
        <v>571</v>
      </c>
      <c r="B17" s="256">
        <v>102.02</v>
      </c>
      <c r="C17" s="256">
        <v>6.2929777036882601</v>
      </c>
      <c r="D17" s="256">
        <v>5.8134865749953191</v>
      </c>
      <c r="E17" s="256">
        <v>102.22</v>
      </c>
      <c r="F17" s="256">
        <v>6.2357098316358348</v>
      </c>
      <c r="G17" s="256">
        <v>5.5313499594593196</v>
      </c>
      <c r="H17" s="256">
        <v>101.71</v>
      </c>
      <c r="I17" s="256">
        <v>6.3912133891213392</v>
      </c>
      <c r="J17" s="256">
        <v>6.2562607326846154</v>
      </c>
      <c r="K17" s="256" t="s">
        <v>295</v>
      </c>
      <c r="L17" s="256">
        <v>102.51</v>
      </c>
      <c r="M17" s="256">
        <v>100.96</v>
      </c>
      <c r="N17" s="256">
        <v>101.76</v>
      </c>
      <c r="O17" s="256">
        <v>100.38</v>
      </c>
      <c r="P17" s="256">
        <v>102.18</v>
      </c>
      <c r="Q17" s="256" t="s">
        <v>295</v>
      </c>
      <c r="R17" s="256">
        <v>101.97</v>
      </c>
      <c r="S17" s="256" t="s">
        <v>295</v>
      </c>
      <c r="T17" s="256" t="s">
        <v>295</v>
      </c>
      <c r="U17" s="256">
        <v>102.47</v>
      </c>
    </row>
    <row r="18" spans="1:21" ht="11.45" customHeight="1">
      <c r="A18" s="398" t="s">
        <v>572</v>
      </c>
      <c r="B18" s="295">
        <v>101.01</v>
      </c>
      <c r="C18" s="295">
        <v>7.4117396852403212</v>
      </c>
      <c r="D18" s="295">
        <v>5.9899767189749431</v>
      </c>
      <c r="E18" s="295">
        <v>100.35</v>
      </c>
      <c r="F18" s="295">
        <v>8.2991582128210641</v>
      </c>
      <c r="G18" s="295">
        <v>5.8101966910459213</v>
      </c>
      <c r="H18" s="295">
        <v>102.05</v>
      </c>
      <c r="I18" s="295">
        <v>6.0810810810810754</v>
      </c>
      <c r="J18" s="295">
        <v>6.2738116432259128</v>
      </c>
      <c r="K18" s="295" t="s">
        <v>295</v>
      </c>
      <c r="L18" s="295">
        <v>102.89</v>
      </c>
      <c r="M18" s="295">
        <v>101.11</v>
      </c>
      <c r="N18" s="295">
        <v>102.53</v>
      </c>
      <c r="O18" s="295">
        <v>100.56</v>
      </c>
      <c r="P18" s="295">
        <v>102.48</v>
      </c>
      <c r="Q18" s="295" t="s">
        <v>295</v>
      </c>
      <c r="R18" s="295">
        <v>102.41</v>
      </c>
      <c r="S18" s="295" t="s">
        <v>295</v>
      </c>
      <c r="T18" s="295" t="s">
        <v>295</v>
      </c>
      <c r="U18" s="295">
        <v>102.84</v>
      </c>
    </row>
    <row r="19" spans="1:21" ht="11.45" customHeight="1">
      <c r="A19" s="1811" t="s">
        <v>563</v>
      </c>
      <c r="B19" s="256">
        <v>102.47</v>
      </c>
      <c r="C19" s="256">
        <v>7.5574682481368765</v>
      </c>
      <c r="D19" s="256">
        <v>6.1496545684538217</v>
      </c>
      <c r="E19" s="256">
        <v>102.29</v>
      </c>
      <c r="F19" s="256">
        <v>8.3695306706218933</v>
      </c>
      <c r="G19" s="256">
        <v>6.0520361990950011</v>
      </c>
      <c r="H19" s="256">
        <v>102.76</v>
      </c>
      <c r="I19" s="256">
        <v>6.3217796171753751</v>
      </c>
      <c r="J19" s="256">
        <v>6.3048138764373318</v>
      </c>
      <c r="K19" s="256" t="s">
        <v>295</v>
      </c>
      <c r="L19" s="256">
        <v>103.42</v>
      </c>
      <c r="M19" s="256">
        <v>101.31</v>
      </c>
      <c r="N19" s="256">
        <v>103.35</v>
      </c>
      <c r="O19" s="256">
        <v>100.79</v>
      </c>
      <c r="P19" s="256">
        <v>103.74</v>
      </c>
      <c r="Q19" s="256" t="s">
        <v>295</v>
      </c>
      <c r="R19" s="256">
        <v>103.8</v>
      </c>
      <c r="S19" s="256" t="s">
        <v>295</v>
      </c>
      <c r="T19" s="256" t="s">
        <v>295</v>
      </c>
      <c r="U19" s="256">
        <v>104.23</v>
      </c>
    </row>
    <row r="20" spans="1:21" ht="11.45" customHeight="1">
      <c r="A20" s="1823" t="s">
        <v>2183</v>
      </c>
      <c r="B20" s="338">
        <v>109.02</v>
      </c>
      <c r="C20" s="338">
        <f>C32</f>
        <v>9.7491948863081834</v>
      </c>
      <c r="D20" s="338">
        <f>D32</f>
        <v>9.0234085284043974</v>
      </c>
      <c r="E20" s="338">
        <v>108.71</v>
      </c>
      <c r="F20" s="338">
        <f>F32</f>
        <v>9.7370221918075988</v>
      </c>
      <c r="G20" s="338">
        <f>G32</f>
        <v>8.7133333333333738</v>
      </c>
      <c r="H20" s="338">
        <v>109.39</v>
      </c>
      <c r="I20" s="338">
        <f>I32</f>
        <v>9.6049046321525786</v>
      </c>
      <c r="J20" s="338">
        <f>J32</f>
        <v>9.3917449312077572</v>
      </c>
      <c r="K20" s="338" t="s">
        <v>295</v>
      </c>
      <c r="L20" s="338">
        <v>106.71</v>
      </c>
      <c r="M20" s="338">
        <v>108.25</v>
      </c>
      <c r="N20" s="338">
        <v>109.68</v>
      </c>
      <c r="O20" s="338">
        <v>114.09</v>
      </c>
      <c r="P20" s="338">
        <v>109.67</v>
      </c>
      <c r="Q20" s="338" t="s">
        <v>295</v>
      </c>
      <c r="R20" s="338">
        <v>108.58</v>
      </c>
      <c r="S20" s="338" t="s">
        <v>295</v>
      </c>
      <c r="T20" s="338" t="s">
        <v>295</v>
      </c>
      <c r="U20" s="338">
        <v>112.05</v>
      </c>
    </row>
    <row r="21" spans="1:21" ht="11.45" customHeight="1">
      <c r="A21" s="1811" t="s">
        <v>565</v>
      </c>
      <c r="B21" s="256">
        <v>102.92</v>
      </c>
      <c r="C21" s="256">
        <v>7.4770258980785256</v>
      </c>
      <c r="D21" s="256">
        <v>6.3249775397677954</v>
      </c>
      <c r="E21" s="256">
        <v>102.72</v>
      </c>
      <c r="F21" s="256">
        <v>8.1946492521592607</v>
      </c>
      <c r="G21" s="256">
        <v>6.3083680277437937</v>
      </c>
      <c r="H21" s="256">
        <v>103.24</v>
      </c>
      <c r="I21" s="256">
        <v>6.3891178895300786</v>
      </c>
      <c r="J21" s="256">
        <v>6.3528312201315718</v>
      </c>
      <c r="K21" s="256" t="s">
        <v>295</v>
      </c>
      <c r="L21" s="256">
        <v>104.01</v>
      </c>
      <c r="M21" s="256">
        <v>101.48</v>
      </c>
      <c r="N21" s="256">
        <v>103.53</v>
      </c>
      <c r="O21" s="256">
        <v>101.03</v>
      </c>
      <c r="P21" s="256">
        <v>103.97</v>
      </c>
      <c r="Q21" s="256" t="s">
        <v>295</v>
      </c>
      <c r="R21" s="256">
        <v>104.53</v>
      </c>
      <c r="S21" s="256" t="s">
        <v>295</v>
      </c>
      <c r="T21" s="256" t="s">
        <v>295</v>
      </c>
      <c r="U21" s="256">
        <v>106.16</v>
      </c>
    </row>
    <row r="22" spans="1:21" ht="11.45" customHeight="1">
      <c r="A22" s="398" t="s">
        <v>566</v>
      </c>
      <c r="B22" s="295">
        <v>106.49</v>
      </c>
      <c r="C22" s="295">
        <v>9.5125462772521594</v>
      </c>
      <c r="D22" s="295">
        <v>6.6605871418049079</v>
      </c>
      <c r="E22" s="295">
        <v>106.7</v>
      </c>
      <c r="F22" s="295">
        <v>9.9433281813498251</v>
      </c>
      <c r="G22" s="295">
        <v>6.7106681742880481</v>
      </c>
      <c r="H22" s="295">
        <v>106.17</v>
      </c>
      <c r="I22" s="295">
        <v>8.8476522452327195</v>
      </c>
      <c r="J22" s="295">
        <v>6.5837266840969244</v>
      </c>
      <c r="K22" s="295" t="s">
        <v>295</v>
      </c>
      <c r="L22" s="295">
        <v>104.44</v>
      </c>
      <c r="M22" s="295">
        <v>106.34</v>
      </c>
      <c r="N22" s="295">
        <v>104.91</v>
      </c>
      <c r="O22" s="295">
        <v>110.45</v>
      </c>
      <c r="P22" s="295">
        <v>106.44</v>
      </c>
      <c r="Q22" s="295" t="s">
        <v>295</v>
      </c>
      <c r="R22" s="295">
        <v>105.35</v>
      </c>
      <c r="S22" s="295" t="s">
        <v>295</v>
      </c>
      <c r="T22" s="295" t="s">
        <v>295</v>
      </c>
      <c r="U22" s="295">
        <v>107.46</v>
      </c>
    </row>
    <row r="23" spans="1:21" ht="11.45" customHeight="1">
      <c r="A23" s="1811" t="s">
        <v>560</v>
      </c>
      <c r="B23" s="256">
        <v>108.39</v>
      </c>
      <c r="C23" s="256">
        <v>9.088164251207731</v>
      </c>
      <c r="D23" s="256">
        <v>6.9590643274854092</v>
      </c>
      <c r="E23" s="256">
        <v>108.99</v>
      </c>
      <c r="F23" s="256">
        <v>9.0772618094475508</v>
      </c>
      <c r="G23" s="256">
        <v>7.0412455708575461</v>
      </c>
      <c r="H23" s="256">
        <v>107.47</v>
      </c>
      <c r="I23" s="256">
        <v>9.1287571080422367</v>
      </c>
      <c r="J23" s="256">
        <v>6.8344507297995793</v>
      </c>
      <c r="K23" s="256" t="s">
        <v>295</v>
      </c>
      <c r="L23" s="256">
        <v>105.33</v>
      </c>
      <c r="M23" s="256">
        <v>106.74</v>
      </c>
      <c r="N23" s="256">
        <v>106.55</v>
      </c>
      <c r="O23" s="256">
        <v>115.59</v>
      </c>
      <c r="P23" s="256">
        <v>107.9</v>
      </c>
      <c r="Q23" s="256" t="s">
        <v>295</v>
      </c>
      <c r="R23" s="256">
        <v>105.76</v>
      </c>
      <c r="S23" s="256" t="s">
        <v>295</v>
      </c>
      <c r="T23" s="256" t="s">
        <v>295</v>
      </c>
      <c r="U23" s="256">
        <v>109.24</v>
      </c>
    </row>
    <row r="24" spans="1:21" ht="11.45" customHeight="1">
      <c r="A24" s="398" t="s">
        <v>567</v>
      </c>
      <c r="B24" s="295">
        <v>109.38</v>
      </c>
      <c r="C24" s="295">
        <v>8.9116797769590637</v>
      </c>
      <c r="D24" s="295">
        <v>7.2329557300715885</v>
      </c>
      <c r="E24" s="295">
        <v>110.07</v>
      </c>
      <c r="F24" s="295">
        <v>8.486102897693673</v>
      </c>
      <c r="G24" s="295">
        <v>7.3206124115878568</v>
      </c>
      <c r="H24" s="295">
        <v>108.28</v>
      </c>
      <c r="I24" s="295">
        <v>9.5840501973484447</v>
      </c>
      <c r="J24" s="295">
        <v>7.0992505622953894</v>
      </c>
      <c r="K24" s="295" t="s">
        <v>295</v>
      </c>
      <c r="L24" s="295">
        <v>105.63</v>
      </c>
      <c r="M24" s="295">
        <v>107.04</v>
      </c>
      <c r="N24" s="295">
        <v>107.51</v>
      </c>
      <c r="O24" s="295">
        <v>116.29</v>
      </c>
      <c r="P24" s="295">
        <v>109.22</v>
      </c>
      <c r="Q24" s="295" t="s">
        <v>295</v>
      </c>
      <c r="R24" s="295">
        <v>106.25</v>
      </c>
      <c r="S24" s="295" t="s">
        <v>295</v>
      </c>
      <c r="T24" s="295" t="s">
        <v>295</v>
      </c>
      <c r="U24" s="295">
        <v>111.86</v>
      </c>
    </row>
    <row r="25" spans="1:21" ht="11.45" customHeight="1">
      <c r="A25" s="1811" t="s">
        <v>568</v>
      </c>
      <c r="B25" s="256">
        <v>108.78</v>
      </c>
      <c r="C25" s="256">
        <v>8.8561993395376692</v>
      </c>
      <c r="D25" s="256">
        <v>7.4751893218991228</v>
      </c>
      <c r="E25" s="256">
        <v>108.38</v>
      </c>
      <c r="F25" s="256">
        <v>8.1420874077030501</v>
      </c>
      <c r="G25" s="256">
        <v>7.5474472759987199</v>
      </c>
      <c r="H25" s="256">
        <v>109.41</v>
      </c>
      <c r="I25" s="256">
        <v>9.9819059107358186</v>
      </c>
      <c r="J25" s="256">
        <v>7.3657938372253762</v>
      </c>
      <c r="K25" s="256" t="s">
        <v>295</v>
      </c>
      <c r="L25" s="256">
        <v>106.49</v>
      </c>
      <c r="M25" s="256">
        <v>107.16</v>
      </c>
      <c r="N25" s="256">
        <v>109.15</v>
      </c>
      <c r="O25" s="256">
        <v>119.36</v>
      </c>
      <c r="P25" s="256">
        <v>111.05</v>
      </c>
      <c r="Q25" s="256" t="s">
        <v>295</v>
      </c>
      <c r="R25" s="256">
        <v>106.6</v>
      </c>
      <c r="S25" s="256" t="s">
        <v>295</v>
      </c>
      <c r="T25" s="256" t="s">
        <v>295</v>
      </c>
      <c r="U25" s="256">
        <v>113.82</v>
      </c>
    </row>
    <row r="26" spans="1:21" ht="11.45" customHeight="1">
      <c r="A26" s="398" t="s">
        <v>561</v>
      </c>
      <c r="B26" s="295">
        <v>108.22</v>
      </c>
      <c r="C26" s="295">
        <v>8.7091913611250646</v>
      </c>
      <c r="D26" s="295">
        <v>7.6958810777330466</v>
      </c>
      <c r="E26" s="295">
        <v>107.21</v>
      </c>
      <c r="F26" s="295">
        <v>7.911424257674887</v>
      </c>
      <c r="G26" s="295">
        <v>7.7482861965620931</v>
      </c>
      <c r="H26" s="295">
        <v>109.8</v>
      </c>
      <c r="I26" s="295">
        <v>9.9539355097135971</v>
      </c>
      <c r="J26" s="295">
        <v>7.6173300699901469</v>
      </c>
      <c r="K26" s="295" t="s">
        <v>295</v>
      </c>
      <c r="L26" s="295">
        <v>107.13</v>
      </c>
      <c r="M26" s="295">
        <v>107.17</v>
      </c>
      <c r="N26" s="295">
        <v>110.24</v>
      </c>
      <c r="O26" s="295">
        <v>119.55</v>
      </c>
      <c r="P26" s="295">
        <v>111.37</v>
      </c>
      <c r="Q26" s="295" t="s">
        <v>295</v>
      </c>
      <c r="R26" s="295">
        <v>106.96</v>
      </c>
      <c r="S26" s="295" t="s">
        <v>295</v>
      </c>
      <c r="T26" s="295" t="s">
        <v>295</v>
      </c>
      <c r="U26" s="295">
        <v>114.28</v>
      </c>
    </row>
    <row r="27" spans="1:21" ht="11.45" customHeight="1">
      <c r="A27" s="1811" t="s">
        <v>569</v>
      </c>
      <c r="B27" s="256">
        <v>108.87</v>
      </c>
      <c r="C27" s="256">
        <v>8.576842525182018</v>
      </c>
      <c r="D27" s="256">
        <v>7.9204445243538091</v>
      </c>
      <c r="E27" s="256">
        <v>107.97</v>
      </c>
      <c r="F27" s="256">
        <v>7.7544910179640674</v>
      </c>
      <c r="G27" s="256">
        <v>7.9229819628283682</v>
      </c>
      <c r="H27" s="256">
        <v>110.28</v>
      </c>
      <c r="I27" s="256">
        <v>9.8515788425141952</v>
      </c>
      <c r="J27" s="256">
        <v>7.9189309272360786</v>
      </c>
      <c r="K27" s="256" t="s">
        <v>295</v>
      </c>
      <c r="L27" s="256">
        <v>107.42</v>
      </c>
      <c r="M27" s="256">
        <v>107.97</v>
      </c>
      <c r="N27" s="256">
        <v>110.59</v>
      </c>
      <c r="O27" s="256">
        <v>119.69</v>
      </c>
      <c r="P27" s="256">
        <v>111.49</v>
      </c>
      <c r="Q27" s="256" t="s">
        <v>295</v>
      </c>
      <c r="R27" s="256">
        <v>107.64</v>
      </c>
      <c r="S27" s="256" t="s">
        <v>295</v>
      </c>
      <c r="T27" s="256" t="s">
        <v>295</v>
      </c>
      <c r="U27" s="256">
        <v>114.94</v>
      </c>
    </row>
    <row r="28" spans="1:21" ht="11.45" customHeight="1">
      <c r="A28" s="398" t="s">
        <v>570</v>
      </c>
      <c r="B28" s="295">
        <v>109.51</v>
      </c>
      <c r="C28" s="295">
        <v>8.7919729783429457</v>
      </c>
      <c r="D28" s="295">
        <v>8.1365433108430132</v>
      </c>
      <c r="E28" s="295">
        <v>108.81</v>
      </c>
      <c r="F28" s="295">
        <v>8.1287886316207967</v>
      </c>
      <c r="G28" s="295">
        <v>8.0785076383735444</v>
      </c>
      <c r="H28" s="295">
        <v>110.6</v>
      </c>
      <c r="I28" s="295">
        <v>9.8093725178713225</v>
      </c>
      <c r="J28" s="295">
        <v>8.2267718677730741</v>
      </c>
      <c r="K28" s="295" t="s">
        <v>295</v>
      </c>
      <c r="L28" s="295">
        <v>107.61</v>
      </c>
      <c r="M28" s="295">
        <v>108.54</v>
      </c>
      <c r="N28" s="295">
        <v>110.85</v>
      </c>
      <c r="O28" s="295">
        <v>119.82</v>
      </c>
      <c r="P28" s="295">
        <v>111.66</v>
      </c>
      <c r="Q28" s="295" t="s">
        <v>295</v>
      </c>
      <c r="R28" s="295">
        <v>107.89</v>
      </c>
      <c r="S28" s="295" t="s">
        <v>295</v>
      </c>
      <c r="T28" s="295" t="s">
        <v>295</v>
      </c>
      <c r="U28" s="295">
        <v>115.32</v>
      </c>
    </row>
    <row r="29" spans="1:21" ht="11.45" customHeight="1">
      <c r="A29" s="1811" t="s">
        <v>562</v>
      </c>
      <c r="B29" s="256">
        <v>110.74</v>
      </c>
      <c r="C29" s="256">
        <v>9.3296475466482267</v>
      </c>
      <c r="D29" s="256">
        <v>8.3930902371628591</v>
      </c>
      <c r="E29" s="256">
        <v>110.58</v>
      </c>
      <c r="F29" s="256">
        <v>9.0855282627996381</v>
      </c>
      <c r="G29" s="256">
        <v>8.3061073819808087</v>
      </c>
      <c r="H29" s="256">
        <v>110.99</v>
      </c>
      <c r="I29" s="256">
        <v>9.7281265447355292</v>
      </c>
      <c r="J29" s="256">
        <v>8.53188033030996</v>
      </c>
      <c r="K29" s="256" t="s">
        <v>295</v>
      </c>
      <c r="L29" s="256">
        <v>107.86</v>
      </c>
      <c r="M29" s="256">
        <v>109.03</v>
      </c>
      <c r="N29" s="256">
        <v>111.13</v>
      </c>
      <c r="O29" s="256">
        <v>120.24</v>
      </c>
      <c r="P29" s="256">
        <v>111.95</v>
      </c>
      <c r="Q29" s="256" t="s">
        <v>295</v>
      </c>
      <c r="R29" s="256">
        <v>107.98</v>
      </c>
      <c r="S29" s="256" t="s">
        <v>295</v>
      </c>
      <c r="T29" s="256" t="s">
        <v>295</v>
      </c>
      <c r="U29" s="256">
        <v>116.13</v>
      </c>
    </row>
    <row r="30" spans="1:21" ht="11.45" customHeight="1">
      <c r="A30" s="398" t="s">
        <v>571</v>
      </c>
      <c r="B30" s="295">
        <v>111.45</v>
      </c>
      <c r="C30" s="295">
        <v>9.2432856302685824</v>
      </c>
      <c r="D30" s="295">
        <v>8.6362179757467636</v>
      </c>
      <c r="E30" s="295">
        <v>111.26</v>
      </c>
      <c r="F30" s="295">
        <v>8.8436705145764112</v>
      </c>
      <c r="G30" s="295">
        <v>8.520698069080801</v>
      </c>
      <c r="H30" s="295">
        <v>111.6</v>
      </c>
      <c r="I30" s="295">
        <v>9.7237243142267236</v>
      </c>
      <c r="J30" s="295">
        <v>8.8061749282425161</v>
      </c>
      <c r="K30" s="295">
        <v>115.81</v>
      </c>
      <c r="L30" s="295">
        <v>107.99</v>
      </c>
      <c r="M30" s="295">
        <v>111.71</v>
      </c>
      <c r="N30" s="295">
        <v>113.8</v>
      </c>
      <c r="O30" s="295">
        <v>108.05</v>
      </c>
      <c r="P30" s="295">
        <v>110.11</v>
      </c>
      <c r="Q30" s="295">
        <v>106.64</v>
      </c>
      <c r="R30" s="295">
        <v>114.4</v>
      </c>
      <c r="S30" s="295">
        <v>109.25</v>
      </c>
      <c r="T30" s="295">
        <v>132.84</v>
      </c>
      <c r="U30" s="295">
        <v>111.6</v>
      </c>
    </row>
    <row r="31" spans="1:21" ht="11.45" customHeight="1">
      <c r="A31" s="1811" t="s">
        <v>572</v>
      </c>
      <c r="B31" s="256">
        <v>111.06</v>
      </c>
      <c r="C31" s="256">
        <v>9.949509949509947</v>
      </c>
      <c r="D31" s="256">
        <v>8.8439708582399348</v>
      </c>
      <c r="E31" s="256">
        <v>109.62</v>
      </c>
      <c r="F31" s="256">
        <v>9.2376681614349891</v>
      </c>
      <c r="G31" s="256">
        <v>8.598271957050585</v>
      </c>
      <c r="H31" s="256">
        <v>112.22</v>
      </c>
      <c r="I31" s="256">
        <v>9.965703086722197</v>
      </c>
      <c r="J31" s="256">
        <v>9.1248701712064673</v>
      </c>
      <c r="K31" s="256">
        <v>117.11</v>
      </c>
      <c r="L31" s="256">
        <v>108.18</v>
      </c>
      <c r="M31" s="256">
        <v>112.4</v>
      </c>
      <c r="N31" s="256">
        <v>113.93</v>
      </c>
      <c r="O31" s="256">
        <v>109.5</v>
      </c>
      <c r="P31" s="256">
        <v>110.38</v>
      </c>
      <c r="Q31" s="256">
        <v>106.64</v>
      </c>
      <c r="R31" s="256">
        <v>114.65</v>
      </c>
      <c r="S31" s="256">
        <v>109.37</v>
      </c>
      <c r="T31" s="256">
        <v>136.56</v>
      </c>
      <c r="U31" s="256">
        <v>111.87</v>
      </c>
    </row>
    <row r="32" spans="1:21" s="196" customFormat="1" ht="11.45" customHeight="1">
      <c r="A32" s="398" t="s">
        <v>563</v>
      </c>
      <c r="B32" s="295">
        <v>112.46</v>
      </c>
      <c r="C32" s="295">
        <v>9.7491948863081834</v>
      </c>
      <c r="D32" s="295">
        <v>9.0234085284043974</v>
      </c>
      <c r="E32" s="295">
        <v>112.25</v>
      </c>
      <c r="F32" s="295">
        <v>9.7370221918075988</v>
      </c>
      <c r="G32" s="295">
        <v>8.7133333333333738</v>
      </c>
      <c r="H32" s="295">
        <v>112.63</v>
      </c>
      <c r="I32" s="295">
        <v>9.6049046321525786</v>
      </c>
      <c r="J32" s="295">
        <v>9.3917449312077572</v>
      </c>
      <c r="K32" s="295">
        <v>117.77</v>
      </c>
      <c r="L32" s="295">
        <v>108.4</v>
      </c>
      <c r="M32" s="295">
        <v>113.39</v>
      </c>
      <c r="N32" s="295">
        <v>114.03</v>
      </c>
      <c r="O32" s="295">
        <v>109.52</v>
      </c>
      <c r="P32" s="295">
        <v>110.52</v>
      </c>
      <c r="Q32" s="295">
        <v>106.64</v>
      </c>
      <c r="R32" s="295">
        <v>114.94</v>
      </c>
      <c r="S32" s="295">
        <v>109.37</v>
      </c>
      <c r="T32" s="295">
        <v>137.44999999999999</v>
      </c>
      <c r="U32" s="295">
        <v>111.96</v>
      </c>
    </row>
    <row r="33" spans="1:21" ht="11.45" customHeight="1">
      <c r="A33" s="891" t="s">
        <v>2345</v>
      </c>
      <c r="B33" s="345">
        <v>119.62749999999998</v>
      </c>
      <c r="C33" s="345">
        <v>9.7200000000000006</v>
      </c>
      <c r="D33" s="345">
        <v>9.73</v>
      </c>
      <c r="E33" s="345">
        <v>120.29750000000001</v>
      </c>
      <c r="F33" s="345">
        <v>10.42</v>
      </c>
      <c r="G33" s="345">
        <f>G45</f>
        <v>10.655700006132317</v>
      </c>
      <c r="H33" s="345">
        <v>119.08499999999999</v>
      </c>
      <c r="I33" s="345">
        <v>9.15</v>
      </c>
      <c r="J33" s="345">
        <f>J45</f>
        <v>8.8619552217202866</v>
      </c>
      <c r="K33" s="345">
        <v>121.23333333333333</v>
      </c>
      <c r="L33" s="345">
        <v>115.7325</v>
      </c>
      <c r="M33" s="345">
        <v>118.94000000000001</v>
      </c>
      <c r="N33" s="345">
        <v>123.80916666666667</v>
      </c>
      <c r="O33" s="345">
        <v>118.23083333333331</v>
      </c>
      <c r="P33" s="345">
        <v>117.61583333333334</v>
      </c>
      <c r="Q33" s="345">
        <v>107.62083333333332</v>
      </c>
      <c r="R33" s="345">
        <v>123.74833333333332</v>
      </c>
      <c r="S33" s="345">
        <v>112.92833333333336</v>
      </c>
      <c r="T33" s="345">
        <v>140.31666666666669</v>
      </c>
      <c r="U33" s="345">
        <v>122.52833333333332</v>
      </c>
    </row>
    <row r="34" spans="1:21" ht="11.45" customHeight="1">
      <c r="A34" s="398" t="s">
        <v>565</v>
      </c>
      <c r="B34" s="295">
        <v>112.89</v>
      </c>
      <c r="C34" s="295">
        <v>9.69</v>
      </c>
      <c r="D34" s="295">
        <v>9.1999999999999993</v>
      </c>
      <c r="E34" s="295">
        <v>112.74</v>
      </c>
      <c r="F34" s="295">
        <v>9.76</v>
      </c>
      <c r="G34" s="295">
        <v>8.8426700226862387</v>
      </c>
      <c r="H34" s="295">
        <v>113.02</v>
      </c>
      <c r="I34" s="295">
        <v>9.4700000000000006</v>
      </c>
      <c r="J34" s="295">
        <v>9.640272262247219</v>
      </c>
      <c r="K34" s="295">
        <v>117.9</v>
      </c>
      <c r="L34" s="295">
        <v>108.88</v>
      </c>
      <c r="M34" s="295">
        <v>113.84</v>
      </c>
      <c r="N34" s="295">
        <v>114.22</v>
      </c>
      <c r="O34" s="295">
        <v>109.92</v>
      </c>
      <c r="P34" s="295">
        <v>110.64</v>
      </c>
      <c r="Q34" s="295">
        <v>106.65</v>
      </c>
      <c r="R34" s="295">
        <v>115.53</v>
      </c>
      <c r="S34" s="295">
        <v>109.68</v>
      </c>
      <c r="T34" s="295">
        <v>138.91</v>
      </c>
      <c r="U34" s="295">
        <v>112.6</v>
      </c>
    </row>
    <row r="35" spans="1:21" ht="11.45" customHeight="1">
      <c r="A35" s="1811" t="s">
        <v>566</v>
      </c>
      <c r="B35" s="256">
        <v>117.06</v>
      </c>
      <c r="C35" s="256">
        <v>9.92</v>
      </c>
      <c r="D35" s="256">
        <v>9.24</v>
      </c>
      <c r="E35" s="256">
        <v>120.08</v>
      </c>
      <c r="F35" s="256">
        <v>12.54</v>
      </c>
      <c r="G35" s="256">
        <v>9.078961418726351</v>
      </c>
      <c r="H35" s="256">
        <v>114.61</v>
      </c>
      <c r="I35" s="256">
        <v>7.95</v>
      </c>
      <c r="J35" s="256">
        <v>9.5561482359526551</v>
      </c>
      <c r="K35" s="256">
        <v>116.06</v>
      </c>
      <c r="L35" s="256">
        <v>112.53</v>
      </c>
      <c r="M35" s="256">
        <v>113.8</v>
      </c>
      <c r="N35" s="256">
        <v>119.77</v>
      </c>
      <c r="O35" s="256">
        <v>110.5</v>
      </c>
      <c r="P35" s="256">
        <v>115.73</v>
      </c>
      <c r="Q35" s="256">
        <v>104.51</v>
      </c>
      <c r="R35" s="256">
        <v>118.69</v>
      </c>
      <c r="S35" s="256">
        <v>109.68</v>
      </c>
      <c r="T35" s="256">
        <v>135.06</v>
      </c>
      <c r="U35" s="256">
        <v>114.6</v>
      </c>
    </row>
    <row r="36" spans="1:21" ht="11.45" customHeight="1">
      <c r="A36" s="398" t="s">
        <v>560</v>
      </c>
      <c r="B36" s="295">
        <v>118.83</v>
      </c>
      <c r="C36" s="295">
        <v>9.6300000000000008</v>
      </c>
      <c r="D36" s="295">
        <v>9.2899999999999991</v>
      </c>
      <c r="E36" s="295">
        <v>122.47</v>
      </c>
      <c r="F36" s="295">
        <v>12.37</v>
      </c>
      <c r="G36" s="295">
        <v>9.3713819812474739</v>
      </c>
      <c r="H36" s="295">
        <v>115.87</v>
      </c>
      <c r="I36" s="295">
        <v>7.82</v>
      </c>
      <c r="J36" s="295">
        <v>9.4377395183892876</v>
      </c>
      <c r="K36" s="295">
        <v>119.31</v>
      </c>
      <c r="L36" s="295">
        <v>113.16</v>
      </c>
      <c r="M36" s="295">
        <v>115</v>
      </c>
      <c r="N36" s="295">
        <v>120.89</v>
      </c>
      <c r="O36" s="295">
        <v>111.06</v>
      </c>
      <c r="P36" s="295">
        <v>116.2</v>
      </c>
      <c r="Q36" s="295">
        <v>105.88</v>
      </c>
      <c r="R36" s="295">
        <v>121.22</v>
      </c>
      <c r="S36" s="295">
        <v>111.19</v>
      </c>
      <c r="T36" s="295">
        <v>136.25</v>
      </c>
      <c r="U36" s="295">
        <v>117.89</v>
      </c>
    </row>
    <row r="37" spans="1:21" s="774" customFormat="1" ht="11.45" customHeight="1">
      <c r="A37" s="1811" t="s">
        <v>567</v>
      </c>
      <c r="B37" s="256">
        <v>120.24</v>
      </c>
      <c r="C37" s="256">
        <v>9.93</v>
      </c>
      <c r="D37" s="256">
        <v>9.3699999999999992</v>
      </c>
      <c r="E37" s="256">
        <v>123.9</v>
      </c>
      <c r="F37" s="256">
        <v>12.56</v>
      </c>
      <c r="G37" s="256">
        <v>9.7286881330407748</v>
      </c>
      <c r="H37" s="256">
        <v>117.27</v>
      </c>
      <c r="I37" s="256">
        <v>8.3000000000000007</v>
      </c>
      <c r="J37" s="256">
        <v>9.3263492475350596</v>
      </c>
      <c r="K37" s="256">
        <v>119.33</v>
      </c>
      <c r="L37" s="256">
        <v>114.28</v>
      </c>
      <c r="M37" s="256">
        <v>116.76</v>
      </c>
      <c r="N37" s="256">
        <v>122.68</v>
      </c>
      <c r="O37" s="256">
        <v>114.28</v>
      </c>
      <c r="P37" s="256">
        <v>117.22</v>
      </c>
      <c r="Q37" s="256">
        <v>106.66</v>
      </c>
      <c r="R37" s="256">
        <v>122.2</v>
      </c>
      <c r="S37" s="256">
        <v>112.12</v>
      </c>
      <c r="T37" s="256">
        <v>137.24</v>
      </c>
      <c r="U37" s="256">
        <v>118.96</v>
      </c>
    </row>
    <row r="38" spans="1:21" ht="11.45" customHeight="1">
      <c r="A38" s="398" t="s">
        <v>568</v>
      </c>
      <c r="B38" s="295">
        <v>119.1</v>
      </c>
      <c r="C38" s="295">
        <v>9.49</v>
      </c>
      <c r="D38" s="295">
        <v>9.42</v>
      </c>
      <c r="E38" s="295">
        <v>120.04</v>
      </c>
      <c r="F38" s="295">
        <v>10.76</v>
      </c>
      <c r="G38" s="295">
        <v>9.9463511546164618</v>
      </c>
      <c r="H38" s="295">
        <v>118.33</v>
      </c>
      <c r="I38" s="295">
        <v>8.16</v>
      </c>
      <c r="J38" s="295">
        <v>9.1706147794821113</v>
      </c>
      <c r="K38" s="295">
        <v>119.44</v>
      </c>
      <c r="L38" s="295">
        <v>115.92</v>
      </c>
      <c r="M38" s="295">
        <v>118.07</v>
      </c>
      <c r="N38" s="295">
        <v>124.56</v>
      </c>
      <c r="O38" s="295">
        <v>114.8</v>
      </c>
      <c r="P38" s="295">
        <v>117.85</v>
      </c>
      <c r="Q38" s="295">
        <v>106.71</v>
      </c>
      <c r="R38" s="295">
        <v>123.58</v>
      </c>
      <c r="S38" s="295">
        <v>112.24</v>
      </c>
      <c r="T38" s="295">
        <v>138.84</v>
      </c>
      <c r="U38" s="295">
        <v>120.83</v>
      </c>
    </row>
    <row r="39" spans="1:21" ht="11.45" customHeight="1">
      <c r="A39" s="1811" t="s">
        <v>561</v>
      </c>
      <c r="B39" s="256">
        <v>118.4</v>
      </c>
      <c r="C39" s="256">
        <v>9.41</v>
      </c>
      <c r="D39" s="256">
        <v>9.48</v>
      </c>
      <c r="E39" s="256">
        <v>117.48</v>
      </c>
      <c r="F39" s="256">
        <v>9.58</v>
      </c>
      <c r="G39" s="256">
        <v>10.076490852269536</v>
      </c>
      <c r="H39" s="256">
        <v>119.16</v>
      </c>
      <c r="I39" s="256">
        <v>8.52</v>
      </c>
      <c r="J39" s="256">
        <v>9.0515899932170907</v>
      </c>
      <c r="K39" s="256">
        <v>119.52</v>
      </c>
      <c r="L39" s="256">
        <v>116.22</v>
      </c>
      <c r="M39" s="256">
        <v>118.51</v>
      </c>
      <c r="N39" s="256">
        <v>124.95</v>
      </c>
      <c r="O39" s="256">
        <v>120.93</v>
      </c>
      <c r="P39" s="256">
        <v>118.05</v>
      </c>
      <c r="Q39" s="256">
        <v>107.07</v>
      </c>
      <c r="R39" s="256">
        <v>123.63</v>
      </c>
      <c r="S39" s="256">
        <v>112.32</v>
      </c>
      <c r="T39" s="256">
        <v>139.04</v>
      </c>
      <c r="U39" s="256">
        <v>122.09</v>
      </c>
    </row>
    <row r="40" spans="1:21" ht="11.45" customHeight="1">
      <c r="A40" s="398" t="s">
        <v>569</v>
      </c>
      <c r="B40" s="295">
        <v>119.6</v>
      </c>
      <c r="C40" s="295">
        <v>9.86</v>
      </c>
      <c r="D40" s="295">
        <v>9.59</v>
      </c>
      <c r="E40" s="295">
        <v>118.3</v>
      </c>
      <c r="F40" s="295">
        <v>9.56</v>
      </c>
      <c r="G40" s="295">
        <v>10.21765032965285</v>
      </c>
      <c r="H40" s="295">
        <v>120.66</v>
      </c>
      <c r="I40" s="295">
        <v>9.42</v>
      </c>
      <c r="J40" s="295">
        <v>9.0195084874588272</v>
      </c>
      <c r="K40" s="295">
        <v>120.66</v>
      </c>
      <c r="L40" s="295">
        <v>117.37</v>
      </c>
      <c r="M40" s="295">
        <v>119.76</v>
      </c>
      <c r="N40" s="295">
        <v>125.92</v>
      </c>
      <c r="O40" s="295">
        <v>122.38</v>
      </c>
      <c r="P40" s="295">
        <v>119.21</v>
      </c>
      <c r="Q40" s="295">
        <v>108.3</v>
      </c>
      <c r="R40" s="295">
        <v>125.9</v>
      </c>
      <c r="S40" s="295">
        <v>113.97</v>
      </c>
      <c r="T40" s="295">
        <v>141.85</v>
      </c>
      <c r="U40" s="295">
        <v>125.89</v>
      </c>
    </row>
    <row r="41" spans="1:21" ht="11.45" customHeight="1">
      <c r="A41" s="1811" t="s">
        <v>570</v>
      </c>
      <c r="B41" s="256">
        <v>120.09</v>
      </c>
      <c r="C41" s="256">
        <v>9.67</v>
      </c>
      <c r="D41" s="256">
        <v>9.66</v>
      </c>
      <c r="E41" s="256">
        <v>119.07</v>
      </c>
      <c r="F41" s="256">
        <v>9.44</v>
      </c>
      <c r="G41" s="256">
        <v>10.315844303437839</v>
      </c>
      <c r="H41" s="256">
        <v>120.92</v>
      </c>
      <c r="I41" s="256">
        <v>9.33</v>
      </c>
      <c r="J41" s="256">
        <v>8.9840681268265286</v>
      </c>
      <c r="K41" s="256">
        <v>121.61</v>
      </c>
      <c r="L41" s="256">
        <v>117.4</v>
      </c>
      <c r="M41" s="256">
        <v>120.38</v>
      </c>
      <c r="N41" s="256">
        <v>125.95</v>
      </c>
      <c r="O41" s="256">
        <v>122.39</v>
      </c>
      <c r="P41" s="256">
        <v>119.31</v>
      </c>
      <c r="Q41" s="256">
        <v>108.32</v>
      </c>
      <c r="R41" s="256">
        <v>126</v>
      </c>
      <c r="S41" s="256">
        <v>114.11</v>
      </c>
      <c r="T41" s="256">
        <v>141.91999999999999</v>
      </c>
      <c r="U41" s="256">
        <v>125.96</v>
      </c>
    </row>
    <row r="42" spans="1:21" ht="11.45" customHeight="1">
      <c r="A42" s="398" t="s">
        <v>562</v>
      </c>
      <c r="B42" s="295">
        <v>121.6</v>
      </c>
      <c r="C42" s="295">
        <v>9.81</v>
      </c>
      <c r="D42" s="295">
        <v>9.69</v>
      </c>
      <c r="E42" s="295">
        <v>121.5</v>
      </c>
      <c r="F42" s="295">
        <v>9.8699999999999992</v>
      </c>
      <c r="G42" s="295">
        <v>10.375384904684658</v>
      </c>
      <c r="H42" s="295">
        <v>121.69</v>
      </c>
      <c r="I42" s="295">
        <v>9.64</v>
      </c>
      <c r="J42" s="295">
        <v>8.9821946428014989</v>
      </c>
      <c r="K42" s="295">
        <v>122.77</v>
      </c>
      <c r="L42" s="295">
        <v>117.96</v>
      </c>
      <c r="M42" s="295">
        <v>122.03</v>
      </c>
      <c r="N42" s="295">
        <v>126.26</v>
      </c>
      <c r="O42" s="295">
        <v>122.84</v>
      </c>
      <c r="P42" s="295">
        <v>119.2</v>
      </c>
      <c r="Q42" s="295">
        <v>108.34</v>
      </c>
      <c r="R42" s="295">
        <v>126.59</v>
      </c>
      <c r="S42" s="295">
        <v>114.26</v>
      </c>
      <c r="T42" s="295">
        <v>142.59</v>
      </c>
      <c r="U42" s="295">
        <v>127.38</v>
      </c>
    </row>
    <row r="43" spans="1:21" ht="11.45" customHeight="1">
      <c r="A43" s="1811" t="s">
        <v>571</v>
      </c>
      <c r="B43" s="256">
        <v>122.3</v>
      </c>
      <c r="C43" s="256">
        <v>9.74</v>
      </c>
      <c r="D43" s="256">
        <v>9.73</v>
      </c>
      <c r="E43" s="256">
        <v>122.63</v>
      </c>
      <c r="F43" s="256">
        <v>10.220000000000001</v>
      </c>
      <c r="G43" s="256">
        <v>10.483689013716324</v>
      </c>
      <c r="H43" s="256">
        <v>122.02</v>
      </c>
      <c r="I43" s="256">
        <v>9.34</v>
      </c>
      <c r="J43" s="256">
        <v>8.9544733686613078</v>
      </c>
      <c r="K43" s="256">
        <v>124.17</v>
      </c>
      <c r="L43" s="256">
        <v>118.3</v>
      </c>
      <c r="M43" s="256">
        <v>122.78</v>
      </c>
      <c r="N43" s="256">
        <v>126.7</v>
      </c>
      <c r="O43" s="256">
        <v>122.84</v>
      </c>
      <c r="P43" s="256">
        <v>119.17</v>
      </c>
      <c r="Q43" s="256">
        <v>108.34</v>
      </c>
      <c r="R43" s="256">
        <v>126.59</v>
      </c>
      <c r="S43" s="256">
        <v>114.26</v>
      </c>
      <c r="T43" s="256">
        <v>142.63999999999999</v>
      </c>
      <c r="U43" s="256">
        <v>127.35</v>
      </c>
    </row>
    <row r="44" spans="1:21" s="184" customFormat="1" ht="11.45" customHeight="1">
      <c r="A44" s="398" t="s">
        <v>572</v>
      </c>
      <c r="B44" s="295">
        <v>122.04</v>
      </c>
      <c r="C44" s="295">
        <v>9.89</v>
      </c>
      <c r="D44" s="295">
        <v>9.73</v>
      </c>
      <c r="E44" s="295">
        <v>121.42</v>
      </c>
      <c r="F44" s="295">
        <v>10.76</v>
      </c>
      <c r="G44" s="295">
        <v>10.604047582264808</v>
      </c>
      <c r="H44" s="295">
        <v>122.54</v>
      </c>
      <c r="I44" s="295">
        <v>9.19</v>
      </c>
      <c r="J44" s="295">
        <v>8.8960869498472697</v>
      </c>
      <c r="K44" s="295">
        <v>124.59</v>
      </c>
      <c r="L44" s="295">
        <v>118.34</v>
      </c>
      <c r="M44" s="295">
        <v>123.12</v>
      </c>
      <c r="N44" s="295">
        <v>126.85</v>
      </c>
      <c r="O44" s="295">
        <v>123.06</v>
      </c>
      <c r="P44" s="295">
        <v>119.33</v>
      </c>
      <c r="Q44" s="295">
        <v>110.31</v>
      </c>
      <c r="R44" s="295">
        <v>127.37</v>
      </c>
      <c r="S44" s="295">
        <v>115.64</v>
      </c>
      <c r="T44" s="295">
        <v>144.69999999999999</v>
      </c>
      <c r="U44" s="295">
        <v>128.25</v>
      </c>
    </row>
    <row r="45" spans="1:21" ht="11.45" customHeight="1">
      <c r="A45" s="1811" t="s">
        <v>563</v>
      </c>
      <c r="B45" s="256">
        <v>123.38</v>
      </c>
      <c r="C45" s="256">
        <v>9.7200000000000006</v>
      </c>
      <c r="D45" s="256">
        <v>9.73</v>
      </c>
      <c r="E45" s="256">
        <v>123.94</v>
      </c>
      <c r="F45" s="256">
        <v>10.42</v>
      </c>
      <c r="G45" s="256">
        <v>10.655700006132317</v>
      </c>
      <c r="H45" s="256">
        <v>122.93</v>
      </c>
      <c r="I45" s="256">
        <v>9.15</v>
      </c>
      <c r="J45" s="256">
        <v>8.8619552217202866</v>
      </c>
      <c r="K45" s="256">
        <v>129.44</v>
      </c>
      <c r="L45" s="256">
        <v>118.43</v>
      </c>
      <c r="M45" s="256">
        <v>123.23</v>
      </c>
      <c r="N45" s="256">
        <v>126.96</v>
      </c>
      <c r="O45" s="256">
        <v>123.77</v>
      </c>
      <c r="P45" s="256">
        <v>119.48</v>
      </c>
      <c r="Q45" s="256">
        <v>110.36</v>
      </c>
      <c r="R45" s="256">
        <v>127.68</v>
      </c>
      <c r="S45" s="256">
        <v>115.67</v>
      </c>
      <c r="T45" s="256">
        <v>144.76</v>
      </c>
      <c r="U45" s="256">
        <v>128.54</v>
      </c>
    </row>
    <row r="46" spans="1:21" ht="11.45" customHeight="1">
      <c r="A46" s="1823" t="s">
        <v>2681</v>
      </c>
      <c r="B46" s="295"/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S46" s="295"/>
      <c r="T46" s="295"/>
      <c r="U46" s="295"/>
    </row>
    <row r="47" spans="1:21" ht="11.45" customHeight="1">
      <c r="A47" s="1811" t="s">
        <v>565</v>
      </c>
      <c r="B47" s="256">
        <v>126.06</v>
      </c>
      <c r="C47" s="256">
        <v>11.66</v>
      </c>
      <c r="D47" s="256">
        <v>9.9</v>
      </c>
      <c r="E47" s="256">
        <v>128.63999999999999</v>
      </c>
      <c r="F47" s="256">
        <v>14.1</v>
      </c>
      <c r="G47" s="256">
        <v>11.02177121209813</v>
      </c>
      <c r="H47" s="256">
        <v>123.96</v>
      </c>
      <c r="I47" s="256">
        <v>9.68</v>
      </c>
      <c r="J47" s="256">
        <v>8.884133477508005</v>
      </c>
      <c r="K47" s="256">
        <v>135.38</v>
      </c>
      <c r="L47" s="256">
        <v>118.8</v>
      </c>
      <c r="M47" s="256">
        <v>123.93</v>
      </c>
      <c r="N47" s="256">
        <v>127.09</v>
      </c>
      <c r="O47" s="256">
        <v>124.5</v>
      </c>
      <c r="P47" s="256">
        <v>119.79</v>
      </c>
      <c r="Q47" s="256">
        <v>114.08</v>
      </c>
      <c r="R47" s="256">
        <v>128.29</v>
      </c>
      <c r="S47" s="256">
        <v>116.42</v>
      </c>
      <c r="T47" s="256">
        <v>146.68</v>
      </c>
      <c r="U47" s="256">
        <v>129.83000000000001</v>
      </c>
    </row>
    <row r="48" spans="1:21" ht="11.45" customHeight="1">
      <c r="A48" s="398" t="s">
        <v>566</v>
      </c>
      <c r="B48" s="295">
        <v>129.34</v>
      </c>
      <c r="C48" s="295">
        <v>10.49</v>
      </c>
      <c r="D48" s="295">
        <v>9.9499999999999993</v>
      </c>
      <c r="E48" s="295">
        <v>133.72</v>
      </c>
      <c r="F48" s="295">
        <v>11.36</v>
      </c>
      <c r="G48" s="295">
        <v>10.930299105394736</v>
      </c>
      <c r="H48" s="295">
        <v>125.77</v>
      </c>
      <c r="I48" s="295">
        <v>9.74</v>
      </c>
      <c r="J48" s="295">
        <v>9.0321659616352523</v>
      </c>
      <c r="K48" s="295">
        <v>137.1</v>
      </c>
      <c r="L48" s="295">
        <v>122.64</v>
      </c>
      <c r="M48" s="295">
        <v>125.86</v>
      </c>
      <c r="N48" s="295">
        <v>129.16999999999999</v>
      </c>
      <c r="O48" s="295">
        <v>125.66</v>
      </c>
      <c r="P48" s="295">
        <v>120.7</v>
      </c>
      <c r="Q48" s="295">
        <v>114.58</v>
      </c>
      <c r="R48" s="295">
        <v>129.54</v>
      </c>
      <c r="S48" s="295">
        <v>117.76</v>
      </c>
      <c r="T48" s="295">
        <v>148.24</v>
      </c>
      <c r="U48" s="295">
        <v>132.22999999999999</v>
      </c>
    </row>
    <row r="49" spans="1:21" ht="11.45" customHeight="1">
      <c r="A49" s="1811" t="s">
        <v>560</v>
      </c>
      <c r="B49" s="256">
        <v>130.61000000000001</v>
      </c>
      <c r="C49" s="256">
        <v>9.92</v>
      </c>
      <c r="D49" s="256">
        <v>9.9700000000000006</v>
      </c>
      <c r="E49" s="256">
        <v>135.21</v>
      </c>
      <c r="F49" s="256">
        <v>10.4</v>
      </c>
      <c r="G49" s="256">
        <v>10.765296994274799</v>
      </c>
      <c r="H49" s="256">
        <v>126.87</v>
      </c>
      <c r="I49" s="256">
        <v>9.5</v>
      </c>
      <c r="J49" s="256">
        <v>9.1696470570666868</v>
      </c>
      <c r="K49" s="256">
        <v>137.38</v>
      </c>
      <c r="L49" s="256">
        <v>122.86</v>
      </c>
      <c r="M49" s="256">
        <v>126.48</v>
      </c>
      <c r="N49" s="256">
        <v>130.80000000000001</v>
      </c>
      <c r="O49" s="256">
        <v>125.88</v>
      </c>
      <c r="P49" s="256">
        <v>123.37</v>
      </c>
      <c r="Q49" s="256">
        <v>115.03</v>
      </c>
      <c r="R49" s="256">
        <v>130.71</v>
      </c>
      <c r="S49" s="256">
        <v>118.76</v>
      </c>
      <c r="T49" s="256">
        <v>149.56</v>
      </c>
      <c r="U49" s="256">
        <v>134.22999999999999</v>
      </c>
    </row>
    <row r="50" spans="1:21" ht="11.45" customHeight="1">
      <c r="A50" s="398" t="s">
        <v>567</v>
      </c>
      <c r="B50" s="295">
        <v>133.32</v>
      </c>
      <c r="C50" s="295">
        <v>10.87</v>
      </c>
      <c r="D50" s="295">
        <v>10.050000000000001</v>
      </c>
      <c r="E50" s="295">
        <v>139.58000000000001</v>
      </c>
      <c r="F50" s="295">
        <v>12.66</v>
      </c>
      <c r="G50" s="295">
        <v>10.791945516391577</v>
      </c>
      <c r="H50" s="295">
        <v>128.22</v>
      </c>
      <c r="I50" s="295">
        <v>9.34</v>
      </c>
      <c r="J50" s="295">
        <v>9.2538752503152022</v>
      </c>
      <c r="K50" s="295">
        <v>137.94</v>
      </c>
      <c r="L50" s="295">
        <v>124.15</v>
      </c>
      <c r="M50" s="295">
        <v>127.72</v>
      </c>
      <c r="N50" s="295">
        <v>132.51</v>
      </c>
      <c r="O50" s="295">
        <v>126.71</v>
      </c>
      <c r="P50" s="295">
        <v>123.83</v>
      </c>
      <c r="Q50" s="295">
        <v>117.13</v>
      </c>
      <c r="R50" s="295">
        <v>131.86000000000001</v>
      </c>
      <c r="S50" s="295">
        <v>120.51</v>
      </c>
      <c r="T50" s="295">
        <v>151.91</v>
      </c>
      <c r="U50" s="295">
        <v>137.75</v>
      </c>
    </row>
    <row r="51" spans="1:21" ht="11.45" customHeight="1">
      <c r="A51" s="1811" t="s">
        <v>568</v>
      </c>
      <c r="B51" s="256">
        <v>132.66</v>
      </c>
      <c r="C51" s="256">
        <v>11.38</v>
      </c>
      <c r="D51" s="256">
        <v>10.220000000000001</v>
      </c>
      <c r="E51" s="256">
        <v>136.61000000000001</v>
      </c>
      <c r="F51" s="256">
        <v>13.8</v>
      </c>
      <c r="G51" s="256">
        <v>11.059088614632785</v>
      </c>
      <c r="H51" s="256">
        <v>129.44</v>
      </c>
      <c r="I51" s="256">
        <v>9.39</v>
      </c>
      <c r="J51" s="256">
        <v>9.3544156437423744</v>
      </c>
      <c r="K51" s="256">
        <v>139.5</v>
      </c>
      <c r="L51" s="256">
        <v>126.33</v>
      </c>
      <c r="M51" s="256">
        <v>129.4</v>
      </c>
      <c r="N51" s="256">
        <v>133.36000000000001</v>
      </c>
      <c r="O51" s="256">
        <v>126.85</v>
      </c>
      <c r="P51" s="256">
        <v>124.51</v>
      </c>
      <c r="Q51" s="256">
        <v>117.37</v>
      </c>
      <c r="R51" s="256">
        <v>133.16</v>
      </c>
      <c r="S51" s="256">
        <v>121.32</v>
      </c>
      <c r="T51" s="256">
        <v>154.16999999999999</v>
      </c>
      <c r="U51" s="256">
        <v>138.68</v>
      </c>
    </row>
    <row r="52" spans="1:21" ht="11.45" customHeight="1">
      <c r="A52" s="398" t="s">
        <v>561</v>
      </c>
      <c r="B52" s="295">
        <v>131.30000000000001</v>
      </c>
      <c r="C52" s="295">
        <v>10.89</v>
      </c>
      <c r="D52" s="295">
        <v>10.34</v>
      </c>
      <c r="E52" s="295">
        <v>132.65</v>
      </c>
      <c r="F52" s="295">
        <v>12.92</v>
      </c>
      <c r="G52" s="295">
        <v>11.332413592796975</v>
      </c>
      <c r="H52" s="295">
        <v>130.19</v>
      </c>
      <c r="I52" s="295">
        <v>9.26</v>
      </c>
      <c r="J52" s="295">
        <v>9.412548112807162</v>
      </c>
      <c r="K52" s="295">
        <v>139.99</v>
      </c>
      <c r="L52" s="295">
        <v>127.48</v>
      </c>
      <c r="M52" s="295">
        <v>129.97</v>
      </c>
      <c r="N52" s="295">
        <v>133.63999999999999</v>
      </c>
      <c r="O52" s="295">
        <v>127.19</v>
      </c>
      <c r="P52" s="295">
        <v>125.23</v>
      </c>
      <c r="Q52" s="295">
        <v>117.48</v>
      </c>
      <c r="R52" s="295">
        <v>133.41</v>
      </c>
      <c r="S52" s="295">
        <v>122.59</v>
      </c>
      <c r="T52" s="295">
        <v>155.93</v>
      </c>
      <c r="U52" s="295">
        <v>140.22</v>
      </c>
    </row>
    <row r="53" spans="1:21" ht="11.45" customHeight="1">
      <c r="A53" s="1811" t="s">
        <v>569</v>
      </c>
      <c r="B53" s="256">
        <v>131.49</v>
      </c>
      <c r="C53" s="256">
        <v>9.94</v>
      </c>
      <c r="D53" s="256">
        <v>10.34</v>
      </c>
      <c r="E53" s="256">
        <v>130.97</v>
      </c>
      <c r="F53" s="256">
        <v>10.72</v>
      </c>
      <c r="G53" s="256">
        <v>11.416690089583659</v>
      </c>
      <c r="H53" s="256">
        <v>131.9</v>
      </c>
      <c r="I53" s="256">
        <v>9.32</v>
      </c>
      <c r="J53" s="256">
        <v>9.4040495003486093</v>
      </c>
      <c r="K53" s="256">
        <v>153.12</v>
      </c>
      <c r="L53" s="256">
        <v>129.33000000000001</v>
      </c>
      <c r="M53" s="256">
        <v>130.56</v>
      </c>
      <c r="N53" s="256">
        <v>135.44</v>
      </c>
      <c r="O53" s="256">
        <v>127.47</v>
      </c>
      <c r="P53" s="256">
        <v>126.43</v>
      </c>
      <c r="Q53" s="256">
        <v>118.28</v>
      </c>
      <c r="R53" s="256">
        <v>134.18</v>
      </c>
      <c r="S53" s="256">
        <v>124.08</v>
      </c>
      <c r="T53" s="256">
        <v>158.16999999999999</v>
      </c>
      <c r="U53" s="256">
        <v>141.94999999999999</v>
      </c>
    </row>
    <row r="54" spans="1:21" ht="11.45" customHeight="1" thickBot="1">
      <c r="A54" s="854" t="s">
        <v>570</v>
      </c>
      <c r="B54" s="482">
        <v>131.29</v>
      </c>
      <c r="C54" s="482">
        <v>9.32</v>
      </c>
      <c r="D54" s="482">
        <v>10.3</v>
      </c>
      <c r="E54" s="482">
        <v>130.08000000000001</v>
      </c>
      <c r="F54" s="482">
        <v>9.24</v>
      </c>
      <c r="G54" s="482">
        <v>11.38654590460655</v>
      </c>
      <c r="H54" s="482">
        <v>132.26</v>
      </c>
      <c r="I54" s="482">
        <v>9.3800000000000008</v>
      </c>
      <c r="J54" s="482">
        <v>9.4076177844415021</v>
      </c>
      <c r="K54" s="482">
        <v>153.19999999999999</v>
      </c>
      <c r="L54" s="482">
        <v>129.53</v>
      </c>
      <c r="M54" s="482">
        <v>130.82</v>
      </c>
      <c r="N54" s="482">
        <v>136.28</v>
      </c>
      <c r="O54" s="482">
        <v>127.62</v>
      </c>
      <c r="P54" s="482">
        <v>126.64</v>
      </c>
      <c r="Q54" s="482">
        <v>118.59</v>
      </c>
      <c r="R54" s="482">
        <v>134.56</v>
      </c>
      <c r="S54" s="482">
        <v>124.4</v>
      </c>
      <c r="T54" s="482">
        <v>158.88999999999999</v>
      </c>
      <c r="U54" s="482">
        <v>143.11000000000001</v>
      </c>
    </row>
    <row r="55" spans="1:21" ht="11.1" customHeight="1">
      <c r="A55" s="891" t="s">
        <v>2907</v>
      </c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</row>
    <row r="56" spans="1:21">
      <c r="A56" s="2260" t="s">
        <v>265</v>
      </c>
      <c r="B56" s="2260"/>
      <c r="C56" s="2260"/>
      <c r="D56" s="2260"/>
      <c r="E56" s="101"/>
      <c r="F56" s="101" t="s">
        <v>2319</v>
      </c>
      <c r="G56" s="28"/>
      <c r="H56" s="32" t="s">
        <v>374</v>
      </c>
    </row>
    <row r="59" spans="1:21" ht="9.6" customHeight="1">
      <c r="H59" s="1808" t="s">
        <v>635</v>
      </c>
    </row>
    <row r="60" spans="1:21" ht="9.6" customHeight="1"/>
    <row r="61" spans="1:21" ht="9.6" customHeight="1"/>
    <row r="62" spans="1:21" ht="9.6" customHeight="1"/>
    <row r="63" spans="1:21" ht="9.6" customHeight="1"/>
    <row r="64" spans="1:21" ht="9.6" customHeight="1"/>
    <row r="65" ht="9.6" customHeight="1"/>
    <row r="66" ht="9.6" customHeight="1"/>
    <row r="67" ht="9.6" customHeight="1"/>
    <row r="68" ht="9.6" customHeight="1"/>
    <row r="69" ht="9.6" customHeight="1"/>
    <row r="70" ht="9.6" customHeight="1"/>
    <row r="71" ht="9.75" customHeight="1"/>
    <row r="72" ht="9.6" customHeight="1"/>
    <row r="73" ht="9.6" customHeight="1"/>
    <row r="74" ht="9.6" customHeight="1"/>
    <row r="75" ht="9.6" customHeight="1"/>
    <row r="76" ht="9.6" customHeight="1"/>
    <row r="77" ht="9.6" customHeight="1"/>
    <row r="78" ht="9.6" customHeight="1"/>
    <row r="79" ht="9.6" customHeight="1"/>
    <row r="80" ht="9.6" customHeight="1"/>
    <row r="81" ht="10.5" customHeight="1"/>
    <row r="82" ht="10.7" customHeight="1"/>
    <row r="83" ht="10.7" customHeight="1"/>
    <row r="84" ht="12" customHeight="1"/>
    <row r="85" ht="12.6" customHeight="1"/>
    <row r="86" ht="12" customHeight="1"/>
  </sheetData>
  <customSheetViews>
    <customSheetView guid="{A374FC54-96E3-45F0-9C12-8450400C12DF}" scale="145">
      <pane xSplit="1" ySplit="5" topLeftCell="B45" activePane="bottomRight" state="frozen"/>
      <selection pane="bottomRight" activeCell="E58" sqref="E58"/>
      <pageMargins left="0.62992125984252001" right="0.39370078740157499" top="0.511811023622047" bottom="0.511811023622047" header="0" footer="0.51333337007869995"/>
      <pageSetup paperSize="132" firstPageNumber="44" orientation="portrait" useFirstPageNumber="1" r:id="rId1"/>
      <headerFooter alignWithMargins="0">
        <oddFooter>&amp;C&amp;"Times New Roman,Regular"&amp;8&amp;P</oddFooter>
      </headerFooter>
    </customSheetView>
  </customSheetViews>
  <mergeCells count="32">
    <mergeCell ref="H4:H5"/>
    <mergeCell ref="I4:I5"/>
    <mergeCell ref="U4:U5"/>
    <mergeCell ref="C6:D6"/>
    <mergeCell ref="F6:G6"/>
    <mergeCell ref="I6:J6"/>
    <mergeCell ref="T4:T5"/>
    <mergeCell ref="P4:P5"/>
    <mergeCell ref="Q4:Q5"/>
    <mergeCell ref="R4:R5"/>
    <mergeCell ref="S4:S5"/>
    <mergeCell ref="K4:K5"/>
    <mergeCell ref="L4:L5"/>
    <mergeCell ref="M4:M5"/>
    <mergeCell ref="N4:N5"/>
    <mergeCell ref="O4:O5"/>
    <mergeCell ref="A56:D56"/>
    <mergeCell ref="J4:J5"/>
    <mergeCell ref="A1:J1"/>
    <mergeCell ref="K1:U1"/>
    <mergeCell ref="G2:J2"/>
    <mergeCell ref="A3:A5"/>
    <mergeCell ref="C3:D3"/>
    <mergeCell ref="F3:G3"/>
    <mergeCell ref="I3:J3"/>
    <mergeCell ref="L3:U3"/>
    <mergeCell ref="B4:B5"/>
    <mergeCell ref="C4:C5"/>
    <mergeCell ref="D4:D5"/>
    <mergeCell ref="E4:E5"/>
    <mergeCell ref="F4:F5"/>
    <mergeCell ref="G4:G5"/>
  </mergeCells>
  <phoneticPr fontId="0" type="noConversion"/>
  <pageMargins left="0.62992125984252001" right="0.39370078740157499" top="0.511811023622047" bottom="0.511811023622047" header="0" footer="0.51333337007869995"/>
  <pageSetup paperSize="448" scale="93" firstPageNumber="44" orientation="portrait" useFirstPageNumber="1" r:id="rId2"/>
  <headerFooter alignWithMargins="0">
    <oddFooter>&amp;C&amp;"Times New Roman,Regular"&amp;8&amp;P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2:D46"/>
  <sheetViews>
    <sheetView topLeftCell="A7" zoomScale="124" zoomScaleNormal="124" workbookViewId="0">
      <selection activeCell="D14" sqref="D14"/>
    </sheetView>
  </sheetViews>
  <sheetFormatPr defaultRowHeight="12.75"/>
  <cols>
    <col min="1" max="1" width="1.7109375" customWidth="1"/>
    <col min="2" max="2" width="5.85546875" customWidth="1"/>
    <col min="3" max="3" width="112.7109375" bestFit="1" customWidth="1"/>
    <col min="4" max="4" width="48.85546875" customWidth="1"/>
  </cols>
  <sheetData>
    <row r="2" spans="2:4" ht="18.75">
      <c r="B2" s="191" t="s">
        <v>735</v>
      </c>
      <c r="C2" s="191"/>
      <c r="D2" s="191"/>
    </row>
    <row r="3" spans="2:4">
      <c r="B3" s="39" t="s">
        <v>736</v>
      </c>
      <c r="C3" s="192" t="s">
        <v>1315</v>
      </c>
      <c r="D3" s="187"/>
    </row>
    <row r="4" spans="2:4">
      <c r="B4" s="39" t="s">
        <v>737</v>
      </c>
      <c r="C4" s="192" t="s">
        <v>1281</v>
      </c>
      <c r="D4" s="187"/>
    </row>
    <row r="5" spans="2:4">
      <c r="B5" s="39" t="s">
        <v>738</v>
      </c>
      <c r="C5" s="192" t="s">
        <v>765</v>
      </c>
      <c r="D5" s="187"/>
    </row>
    <row r="6" spans="2:4">
      <c r="B6" s="39" t="s">
        <v>739</v>
      </c>
      <c r="C6" s="192" t="s">
        <v>740</v>
      </c>
      <c r="D6" s="187"/>
    </row>
    <row r="7" spans="2:4">
      <c r="B7" s="39" t="s">
        <v>741</v>
      </c>
      <c r="C7" s="192" t="s">
        <v>1282</v>
      </c>
      <c r="D7" s="187"/>
    </row>
    <row r="8" spans="2:4">
      <c r="B8" s="39" t="s">
        <v>742</v>
      </c>
      <c r="C8" s="192" t="s">
        <v>1283</v>
      </c>
      <c r="D8" s="187"/>
    </row>
    <row r="9" spans="2:4">
      <c r="B9" s="39" t="s">
        <v>743</v>
      </c>
      <c r="C9" s="192" t="s">
        <v>766</v>
      </c>
      <c r="D9" s="187"/>
    </row>
    <row r="10" spans="2:4" s="960" customFormat="1">
      <c r="B10" s="186" t="s">
        <v>744</v>
      </c>
      <c r="C10" s="822" t="s">
        <v>834</v>
      </c>
      <c r="D10" s="187"/>
    </row>
    <row r="11" spans="2:4" s="960" customFormat="1">
      <c r="B11" s="186" t="s">
        <v>1096</v>
      </c>
      <c r="C11" s="192" t="s">
        <v>1097</v>
      </c>
      <c r="D11" s="187"/>
    </row>
    <row r="12" spans="2:4" s="960" customFormat="1">
      <c r="B12" s="186" t="s">
        <v>745</v>
      </c>
      <c r="C12" s="192" t="s">
        <v>746</v>
      </c>
      <c r="D12" s="187"/>
    </row>
    <row r="13" spans="2:4" s="960" customFormat="1">
      <c r="B13" s="186" t="s">
        <v>747</v>
      </c>
      <c r="C13" s="192" t="s">
        <v>1288</v>
      </c>
      <c r="D13" s="967"/>
    </row>
    <row r="14" spans="2:4" s="960" customFormat="1">
      <c r="B14" s="186" t="s">
        <v>707</v>
      </c>
      <c r="C14" s="192" t="s">
        <v>748</v>
      </c>
      <c r="D14" s="187"/>
    </row>
    <row r="15" spans="2:4" s="960" customFormat="1">
      <c r="B15" s="186" t="s">
        <v>708</v>
      </c>
      <c r="C15" s="192" t="s">
        <v>749</v>
      </c>
      <c r="D15" s="187"/>
    </row>
    <row r="16" spans="2:4" s="960" customFormat="1">
      <c r="B16" s="186" t="s">
        <v>2321</v>
      </c>
      <c r="C16" s="192" t="s">
        <v>750</v>
      </c>
      <c r="D16" s="187"/>
    </row>
    <row r="17" spans="2:4" s="1360" customFormat="1">
      <c r="B17" s="186" t="s">
        <v>2322</v>
      </c>
      <c r="C17" s="192" t="s">
        <v>751</v>
      </c>
      <c r="D17" s="187"/>
    </row>
    <row r="18" spans="2:4" s="960" customFormat="1">
      <c r="B18" s="186" t="s">
        <v>709</v>
      </c>
      <c r="C18" s="192" t="s">
        <v>2323</v>
      </c>
      <c r="D18" s="187"/>
    </row>
    <row r="19" spans="2:4" s="960" customFormat="1">
      <c r="B19" s="186" t="s">
        <v>710</v>
      </c>
      <c r="C19" s="192" t="s">
        <v>2324</v>
      </c>
      <c r="D19" s="187"/>
    </row>
    <row r="20" spans="2:4" s="960" customFormat="1">
      <c r="B20" s="186" t="s">
        <v>1098</v>
      </c>
      <c r="C20" s="192" t="s">
        <v>2103</v>
      </c>
      <c r="D20" s="187"/>
    </row>
    <row r="21" spans="2:4" s="960" customFormat="1">
      <c r="B21" s="186" t="s">
        <v>1099</v>
      </c>
      <c r="C21" s="192" t="s">
        <v>2102</v>
      </c>
      <c r="D21" s="187"/>
    </row>
    <row r="22" spans="2:4" s="960" customFormat="1">
      <c r="B22" s="186" t="s">
        <v>1100</v>
      </c>
      <c r="C22" s="192" t="s">
        <v>2371</v>
      </c>
    </row>
    <row r="23" spans="2:4" s="1454" customFormat="1">
      <c r="B23" s="186" t="s">
        <v>2368</v>
      </c>
      <c r="C23" s="192" t="s">
        <v>752</v>
      </c>
      <c r="D23" s="187"/>
    </row>
    <row r="24" spans="2:4" s="960" customFormat="1">
      <c r="B24" s="186" t="s">
        <v>711</v>
      </c>
      <c r="C24" s="192" t="s">
        <v>1304</v>
      </c>
      <c r="D24" s="187"/>
    </row>
    <row r="25" spans="2:4" s="960" customFormat="1" ht="12.75" customHeight="1">
      <c r="B25" s="186" t="s">
        <v>712</v>
      </c>
      <c r="C25" s="192" t="s">
        <v>764</v>
      </c>
      <c r="D25" s="187"/>
    </row>
    <row r="26" spans="2:4" s="960" customFormat="1">
      <c r="B26" s="186" t="s">
        <v>1101</v>
      </c>
      <c r="C26" s="192" t="s">
        <v>753</v>
      </c>
      <c r="D26" s="187"/>
    </row>
    <row r="27" spans="2:4" s="960" customFormat="1">
      <c r="B27" s="186" t="s">
        <v>1102</v>
      </c>
      <c r="C27" s="192" t="s">
        <v>1305</v>
      </c>
      <c r="D27" s="187"/>
    </row>
    <row r="28" spans="2:4" s="960" customFormat="1">
      <c r="B28" s="186" t="s">
        <v>713</v>
      </c>
      <c r="C28" s="822" t="s">
        <v>2996</v>
      </c>
      <c r="D28" s="187"/>
    </row>
    <row r="29" spans="2:4" s="960" customFormat="1">
      <c r="B29" s="186" t="s">
        <v>714</v>
      </c>
      <c r="C29" s="876" t="s">
        <v>2679</v>
      </c>
      <c r="D29" s="187"/>
    </row>
    <row r="30" spans="2:4" s="960" customFormat="1">
      <c r="B30" s="186" t="s">
        <v>715</v>
      </c>
      <c r="C30" s="822" t="s">
        <v>754</v>
      </c>
      <c r="D30" s="187"/>
    </row>
    <row r="31" spans="2:4" s="960" customFormat="1">
      <c r="B31" s="186" t="s">
        <v>716</v>
      </c>
      <c r="C31" s="192" t="s">
        <v>755</v>
      </c>
      <c r="D31" s="187"/>
    </row>
    <row r="32" spans="2:4" s="960" customFormat="1">
      <c r="B32" s="186" t="s">
        <v>717</v>
      </c>
      <c r="C32" s="192" t="s">
        <v>756</v>
      </c>
      <c r="D32" s="187"/>
    </row>
    <row r="33" spans="2:4" s="960" customFormat="1">
      <c r="B33" s="186" t="s">
        <v>718</v>
      </c>
      <c r="C33" s="192" t="s">
        <v>1313</v>
      </c>
      <c r="D33" s="187"/>
    </row>
    <row r="34" spans="2:4" s="960" customFormat="1">
      <c r="B34" s="186" t="s">
        <v>719</v>
      </c>
      <c r="C34" s="192" t="s">
        <v>757</v>
      </c>
      <c r="D34" s="187"/>
    </row>
    <row r="35" spans="2:4" s="960" customFormat="1">
      <c r="B35" s="186" t="s">
        <v>720</v>
      </c>
      <c r="C35" s="192" t="s">
        <v>758</v>
      </c>
      <c r="D35" s="187"/>
    </row>
    <row r="36" spans="2:4" s="960" customFormat="1">
      <c r="B36" s="186" t="s">
        <v>721</v>
      </c>
      <c r="C36" s="192" t="s">
        <v>759</v>
      </c>
      <c r="D36" s="187"/>
    </row>
    <row r="37" spans="2:4" s="960" customFormat="1">
      <c r="B37" s="186" t="s">
        <v>722</v>
      </c>
      <c r="C37" s="192" t="s">
        <v>760</v>
      </c>
      <c r="D37" s="187"/>
    </row>
    <row r="38" spans="2:4" s="960" customFormat="1">
      <c r="B38" s="186" t="s">
        <v>723</v>
      </c>
      <c r="C38" s="192" t="s">
        <v>1312</v>
      </c>
      <c r="D38" s="187"/>
    </row>
    <row r="39" spans="2:4" s="960" customFormat="1" ht="12" customHeight="1">
      <c r="B39" s="186" t="s">
        <v>724</v>
      </c>
      <c r="C39" s="192" t="s">
        <v>1439</v>
      </c>
      <c r="D39" s="188"/>
    </row>
    <row r="40" spans="2:4">
      <c r="B40" s="186" t="s">
        <v>725</v>
      </c>
      <c r="C40" s="192" t="s">
        <v>1595</v>
      </c>
    </row>
    <row r="41" spans="2:4">
      <c r="B41" s="186" t="s">
        <v>726</v>
      </c>
      <c r="C41" s="192" t="s">
        <v>1469</v>
      </c>
    </row>
    <row r="42" spans="2:4">
      <c r="B42" s="186" t="s">
        <v>727</v>
      </c>
      <c r="C42" s="192" t="s">
        <v>1492</v>
      </c>
    </row>
    <row r="43" spans="2:4">
      <c r="B43" s="186" t="s">
        <v>1990</v>
      </c>
      <c r="C43" s="192" t="s">
        <v>1991</v>
      </c>
    </row>
    <row r="44" spans="2:4" s="1154" customFormat="1">
      <c r="B44" s="186" t="s">
        <v>2195</v>
      </c>
      <c r="C44" s="192" t="s">
        <v>2196</v>
      </c>
    </row>
    <row r="46" spans="2:4">
      <c r="C46" s="192" t="s">
        <v>1319</v>
      </c>
    </row>
  </sheetData>
  <customSheetViews>
    <customSheetView guid="{A374FC54-96E3-45F0-9C12-8450400C12DF}" scale="124" state="hidden" topLeftCell="A13">
      <selection activeCell="C2" sqref="C2"/>
      <pageMargins left="0.196850393700787" right="0.196850393700787" top="0.15748031496063" bottom="0.15748031496063" header="0" footer="0"/>
      <pageSetup paperSize="132" orientation="portrait" r:id="rId1"/>
    </customSheetView>
  </customSheetViews>
  <hyperlinks>
    <hyperlink ref="C3" location="'Table IA'!A1" display="Selected Economic Indicators (Money and Banking)"/>
    <hyperlink ref="C4" location="'Table IB'!A1" display="Selected Economic Indicators ( Inflation, Production, Foreign Trade, Forex Reserves and Exchange Rate) "/>
    <hyperlink ref="C5" location="TableIIA!A1" display="Monetary Survey (M2)"/>
    <hyperlink ref="C6" location="TableIIB!A1" display="Claims on Resident Sector by the Banking System"/>
    <hyperlink ref="C7" location="'TableIIC '!A1" display="Reserve Money and its Components"/>
    <hyperlink ref="C8" location="'Table IID'!A1" display="Reserve Money and its Sources"/>
    <hyperlink ref="C9" location="'Table IIE'!A1" display="Monetary Survey (M3)  "/>
    <hyperlink ref="C10" location="'Table IIF'!A1" display="Claims on Resident Sector by Depository Corporations "/>
    <hyperlink ref="C12" location="'Table III A'!A1" display="Balance of  Payments"/>
    <hyperlink ref="C13" location="'Table IIIB'!A1" display="Foreign Direct Investment (FDI) Inflows and Stocks by Components in Bangladesh"/>
    <hyperlink ref="C14" location="'Table IV'!A1" display="Foreign Trade"/>
    <hyperlink ref="C15" location="'Table V'!A1" display="Production of Major Agricultural Commodities "/>
    <hyperlink ref="C16" location="'Table VIA'!A1" display="Production of Major Industrial Commodities (Other than Jute Goods) "/>
    <hyperlink ref="C18" location="'Table VII'!A1" display="Consumer Price Index and Inflation Rate in Bangladesh"/>
    <hyperlink ref="C19" location="'Table VIII'!A1" display="Average Prices of Selected Commodities"/>
    <hyperlink ref="C20" location="TableIXA!A1" display="Gross Domestic Product of Bangladesh at Current Market Price"/>
    <hyperlink ref="C21" location="TableIXB!A1" display="Gross Domestic Product of Bangladesh at Constant Market Price "/>
    <hyperlink ref="C24" location="TableX!A1" display="Index Number of  Ordinary Share Prices, Turn Over, Issued Capital and Total Number of Companies Listed with the Dhaka Stock Exchange Ltd."/>
    <hyperlink ref="C25" location="TableXI!A1" display="Market Capitalisation (Value) of Ordinary Shares of Companies Listed with the Dhaka Stock Exchange Ltd."/>
    <hyperlink ref="C26" location="'Table XIIA'!A1" display="Interest Rate Structure of Government Securities/Bonds and Savings Instruments "/>
    <hyperlink ref="C27" location="'Table XIIB'!A1" display="Bank Rate and Interest Rate Structure of Post Office Savings Bank and House Building Finance Corporation and National Savings Certificates"/>
    <hyperlink ref="C28" location="TableXIII!A1" display="Bank-wise Announced Interest Rate Structure in Bangladesh (Except Islamic Banks), December 2014"/>
    <hyperlink ref="C29" location="'Table XIV'!A1" display="Profit Rate Structure of  the Islamic Banks, 2013"/>
    <hyperlink ref="C30" location="TableXV!A1" display="Rate of Interest on Non-resident Foreign Currency Deposit (NFCD) Accounts "/>
    <hyperlink ref="C31" location="TableXVI!A1" display="Monthly Average Call Money Market Rates"/>
    <hyperlink ref="C32" location="'Table XVII'!A1" display="Some Indicators of Income, Expenditure &amp; Profitability of the Banking Sector"/>
    <hyperlink ref="C33" location="'Table XVIII'!A1" display="Number of Persons Left for Abroad on Employment and Total Workers’ Remittances"/>
    <hyperlink ref="C34" location="TableXIX!A1" display="Country-wise Workers’ Remittances"/>
    <hyperlink ref="C35" location="TableXX!A1" display="Exchange Rates (Taka Per Currencies)"/>
    <hyperlink ref="C36" location="TableXXI!A1" display="Appreciation/Depreciation of Some Selected Currencies Against U.S. Dollar"/>
    <hyperlink ref="C37" location="'Table XXII'!A1" display="Some Selected Commodity Prices at International Markets"/>
    <hyperlink ref="C38" location="'Table XXIII'!A1" display="Selected Tax Revenue Receipts of the Government Under NBR and Others"/>
    <hyperlink ref="C46" location="'Appendix- Weights &amp; Measures'!A1" display="Appendix : Weights and Measures"/>
    <hyperlink ref="C11" location="'Table IIG'!A1" display="E-Banking &amp; E-Commerce Statistics"/>
    <hyperlink ref="C39" location="'Table XXIV'!A1" display="Central Bank Survey"/>
    <hyperlink ref="C40" location="'Table XXV'!A1" display="Depository Corporation Survey"/>
    <hyperlink ref="C41" location="'Table XXVI'!A1" display="Important Economic Indicators of Bangladesh with SAARC Countries"/>
    <hyperlink ref="C17" location="'Table VIB'!A1" display="Average Prices of Selected Commodities"/>
    <hyperlink ref="C43" location="'Table XXVIII'!A1" display="Investment Under National Savings Schemes"/>
    <hyperlink ref="C42" location="'Table XXVII'!A1" display="Important Economic Indicators of SAARC Countries "/>
    <hyperlink ref="C44" location="'Table XXIX'!A1" display="National Budget Statistics"/>
    <hyperlink ref="C23" location="TableIXC!A1" display="Key Indicators of National Accounts"/>
    <hyperlink ref="C22" location="TableIXD!A1" display=" Quarterly   Gross Domestic Product Of Bangladesh  (Base:2015-16)   "/>
  </hyperlinks>
  <pageMargins left="0.196850393700787" right="0.196850393700787" top="0.15748031496063" bottom="0.15748031496063" header="0" footer="0"/>
  <pageSetup paperSize="145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AA84"/>
  <sheetViews>
    <sheetView zoomScale="180" zoomScaleNormal="180" workbookViewId="0">
      <pane xSplit="1" ySplit="4" topLeftCell="B62" activePane="bottomRight" state="frozen"/>
      <selection activeCell="F85" sqref="F85"/>
      <selection pane="topRight" activeCell="F85" sqref="F85"/>
      <selection pane="bottomLeft" activeCell="F85" sqref="F85"/>
      <selection pane="bottomRight" sqref="A1:K1"/>
    </sheetView>
  </sheetViews>
  <sheetFormatPr defaultColWidth="9.140625" defaultRowHeight="12.75"/>
  <cols>
    <col min="1" max="1" width="7.85546875" style="2" customWidth="1"/>
    <col min="2" max="2" width="8.42578125" style="2" customWidth="1"/>
    <col min="3" max="3" width="5.28515625" style="2" bestFit="1" customWidth="1"/>
    <col min="4" max="4" width="6.5703125" style="2" bestFit="1" customWidth="1"/>
    <col min="5" max="5" width="6.140625" style="2" bestFit="1" customWidth="1"/>
    <col min="6" max="6" width="8" style="2" bestFit="1" customWidth="1"/>
    <col min="7" max="7" width="5.5703125" style="2" bestFit="1" customWidth="1"/>
    <col min="8" max="8" width="7.5703125" style="2" customWidth="1"/>
    <col min="9" max="9" width="5.7109375" style="2" bestFit="1" customWidth="1"/>
    <col min="10" max="10" width="7.140625" style="2" customWidth="1"/>
    <col min="11" max="11" width="8.85546875" style="2" customWidth="1"/>
    <col min="12" max="12" width="10" style="2" customWidth="1"/>
    <col min="13" max="13" width="6.7109375" style="2" customWidth="1"/>
    <col min="14" max="14" width="6.28515625" style="2" customWidth="1"/>
    <col min="15" max="15" width="6.5703125" style="2" customWidth="1"/>
    <col min="16" max="16" width="7.140625" style="2" customWidth="1"/>
    <col min="17" max="17" width="7.28515625" style="2" customWidth="1"/>
    <col min="18" max="18" width="7.42578125" style="2" customWidth="1"/>
    <col min="19" max="19" width="7.140625" style="2" customWidth="1"/>
    <col min="20" max="20" width="6.5703125" style="2" customWidth="1"/>
    <col min="21" max="21" width="6.85546875" style="2" customWidth="1"/>
    <col min="22" max="22" width="7.140625" style="2" customWidth="1"/>
    <col min="23" max="23" width="9.140625" style="2"/>
    <col min="24" max="24" width="15.85546875" style="2" bestFit="1" customWidth="1"/>
    <col min="25" max="16384" width="9.140625" style="2"/>
  </cols>
  <sheetData>
    <row r="1" spans="1:24" s="23" customFormat="1" ht="17.25" customHeight="1">
      <c r="A1" s="2290" t="s">
        <v>2080</v>
      </c>
      <c r="B1" s="2290"/>
      <c r="C1" s="2290"/>
      <c r="D1" s="2290"/>
      <c r="E1" s="2290"/>
      <c r="F1" s="2290"/>
      <c r="G1" s="2290"/>
      <c r="H1" s="2290"/>
      <c r="I1" s="2290"/>
      <c r="J1" s="2290"/>
      <c r="K1" s="2290"/>
      <c r="L1" s="2290" t="s">
        <v>2081</v>
      </c>
      <c r="M1" s="2290"/>
      <c r="N1" s="2290"/>
      <c r="O1" s="2290"/>
      <c r="P1" s="2290"/>
      <c r="Q1" s="2290"/>
      <c r="R1" s="2290"/>
      <c r="S1" s="2290"/>
      <c r="T1" s="2290"/>
      <c r="U1" s="2234" t="s">
        <v>1104</v>
      </c>
      <c r="V1" s="2234"/>
      <c r="W1" s="51"/>
    </row>
    <row r="2" spans="1:24" s="21" customFormat="1" ht="12.75" customHeight="1">
      <c r="A2" s="978"/>
      <c r="B2" s="978"/>
      <c r="C2" s="978"/>
      <c r="D2" s="978"/>
      <c r="E2" s="978"/>
      <c r="F2" s="978"/>
      <c r="G2" s="978"/>
      <c r="I2" s="978"/>
      <c r="L2" s="978"/>
      <c r="M2" s="978"/>
      <c r="N2" s="978"/>
      <c r="O2" s="978"/>
      <c r="P2" s="978"/>
      <c r="Q2" s="978"/>
      <c r="R2" s="978"/>
      <c r="T2" s="88"/>
      <c r="U2" s="2291" t="s">
        <v>24</v>
      </c>
      <c r="V2" s="2291"/>
      <c r="W2" s="88"/>
    </row>
    <row r="3" spans="1:24" s="86" customFormat="1" ht="71.25" customHeight="1">
      <c r="A3" s="2292" t="s">
        <v>487</v>
      </c>
      <c r="B3" s="1326" t="s">
        <v>1302</v>
      </c>
      <c r="C3" s="1326" t="s">
        <v>509</v>
      </c>
      <c r="D3" s="1326" t="s">
        <v>2082</v>
      </c>
      <c r="E3" s="1326" t="s">
        <v>268</v>
      </c>
      <c r="F3" s="1326" t="s">
        <v>2083</v>
      </c>
      <c r="G3" s="1326" t="s">
        <v>269</v>
      </c>
      <c r="H3" s="1326" t="s">
        <v>1295</v>
      </c>
      <c r="I3" s="1326" t="s">
        <v>1296</v>
      </c>
      <c r="J3" s="1326" t="s">
        <v>1297</v>
      </c>
      <c r="K3" s="1326" t="s">
        <v>270</v>
      </c>
      <c r="L3" s="1326" t="s">
        <v>1298</v>
      </c>
      <c r="M3" s="1326" t="s">
        <v>1299</v>
      </c>
      <c r="N3" s="1326" t="s">
        <v>2084</v>
      </c>
      <c r="O3" s="1326" t="s">
        <v>1300</v>
      </c>
      <c r="P3" s="1326" t="s">
        <v>1301</v>
      </c>
      <c r="Q3" s="1326" t="s">
        <v>2085</v>
      </c>
      <c r="R3" s="1326" t="s">
        <v>266</v>
      </c>
      <c r="S3" s="1326" t="s">
        <v>2086</v>
      </c>
      <c r="T3" s="1081" t="s">
        <v>267</v>
      </c>
      <c r="U3" s="1082" t="s">
        <v>652</v>
      </c>
      <c r="V3" s="2292" t="s">
        <v>487</v>
      </c>
      <c r="W3" s="89"/>
      <c r="X3" s="89"/>
    </row>
    <row r="4" spans="1:24" s="76" customFormat="1">
      <c r="A4" s="2293"/>
      <c r="B4" s="1325">
        <v>1</v>
      </c>
      <c r="C4" s="1325">
        <v>2</v>
      </c>
      <c r="D4" s="1325">
        <v>3</v>
      </c>
      <c r="E4" s="1325">
        <v>4</v>
      </c>
      <c r="F4" s="1325">
        <v>5</v>
      </c>
      <c r="G4" s="1325">
        <v>6</v>
      </c>
      <c r="H4" s="1325">
        <v>7</v>
      </c>
      <c r="I4" s="1325">
        <v>8</v>
      </c>
      <c r="J4" s="1325">
        <v>9</v>
      </c>
      <c r="K4" s="1325">
        <v>10</v>
      </c>
      <c r="L4" s="1325">
        <v>11</v>
      </c>
      <c r="M4" s="1325">
        <v>12</v>
      </c>
      <c r="N4" s="1325">
        <v>13</v>
      </c>
      <c r="O4" s="1325">
        <v>14</v>
      </c>
      <c r="P4" s="1325">
        <v>15</v>
      </c>
      <c r="Q4" s="1325">
        <v>16</v>
      </c>
      <c r="R4" s="1325">
        <v>17</v>
      </c>
      <c r="S4" s="1325">
        <v>18</v>
      </c>
      <c r="T4" s="1325">
        <v>19</v>
      </c>
      <c r="U4" s="1325">
        <v>20</v>
      </c>
      <c r="V4" s="2293"/>
      <c r="W4" s="1083"/>
      <c r="X4" s="1084"/>
    </row>
    <row r="5" spans="1:24" s="1088" customFormat="1" ht="9" customHeight="1">
      <c r="A5" s="2284" t="s">
        <v>2075</v>
      </c>
      <c r="B5" s="2284"/>
      <c r="C5" s="2284"/>
      <c r="D5" s="1085"/>
      <c r="E5" s="1085"/>
      <c r="F5" s="1085"/>
      <c r="G5" s="1085"/>
      <c r="H5" s="1085"/>
      <c r="I5" s="1085"/>
      <c r="J5" s="1085"/>
      <c r="K5" s="1085"/>
      <c r="L5" s="1085"/>
      <c r="M5" s="1085"/>
      <c r="N5" s="1085"/>
      <c r="O5" s="1085"/>
      <c r="P5" s="1085"/>
      <c r="Q5" s="1085"/>
      <c r="R5" s="1085"/>
      <c r="S5" s="1085"/>
      <c r="T5" s="1085"/>
      <c r="U5" s="1085"/>
      <c r="V5" s="350"/>
      <c r="W5" s="1086"/>
      <c r="X5" s="1087"/>
    </row>
    <row r="6" spans="1:24" s="31" customFormat="1" ht="8.25" customHeight="1">
      <c r="A6" s="1089" t="s">
        <v>564</v>
      </c>
      <c r="B6" s="1090">
        <v>70171</v>
      </c>
      <c r="C6" s="1090">
        <v>16814</v>
      </c>
      <c r="D6" s="1090">
        <v>7009</v>
      </c>
      <c r="E6" s="1090">
        <v>73834</v>
      </c>
      <c r="F6" s="1090">
        <v>5553</v>
      </c>
      <c r="G6" s="1090">
        <v>29825</v>
      </c>
      <c r="H6" s="1090">
        <v>62352</v>
      </c>
      <c r="I6" s="1090">
        <v>3467</v>
      </c>
      <c r="J6" s="1090">
        <v>46497</v>
      </c>
      <c r="K6" s="1090">
        <v>14216</v>
      </c>
      <c r="L6" s="1090">
        <v>37935</v>
      </c>
      <c r="M6" s="1090">
        <v>14089</v>
      </c>
      <c r="N6" s="1090">
        <v>9962</v>
      </c>
      <c r="O6" s="1090">
        <v>9288</v>
      </c>
      <c r="P6" s="1090">
        <v>56600</v>
      </c>
      <c r="Q6" s="1091">
        <f>SUM(B6:P6)</f>
        <v>457612</v>
      </c>
      <c r="R6" s="1090">
        <v>24725</v>
      </c>
      <c r="S6" s="1090">
        <f>Q6+R6</f>
        <v>482337</v>
      </c>
      <c r="T6" s="1090">
        <v>27208</v>
      </c>
      <c r="U6" s="1090">
        <f>S6+T6</f>
        <v>509545</v>
      </c>
      <c r="V6" s="1103" t="s">
        <v>564</v>
      </c>
    </row>
    <row r="7" spans="1:24" s="223" customFormat="1" ht="8.1" customHeight="1">
      <c r="A7" s="174"/>
      <c r="B7" s="1092">
        <f>(B6/S6)*100</f>
        <v>14.548127139323752</v>
      </c>
      <c r="C7" s="1092">
        <f>(C6/S6)*100</f>
        <v>3.4859444745064136</v>
      </c>
      <c r="D7" s="1092">
        <f>(D6/S6)*100</f>
        <v>1.4531333901400889</v>
      </c>
      <c r="E7" s="1092">
        <f>(E6/S6)*100</f>
        <v>15.307554676502114</v>
      </c>
      <c r="F7" s="1092">
        <f>(F6/S6)*100</f>
        <v>1.151269755378501</v>
      </c>
      <c r="G7" s="1092">
        <f>(G6/S6)*100</f>
        <v>6.1834360623381581</v>
      </c>
      <c r="H7" s="1092">
        <f>(H6/S6)*100</f>
        <v>12.927061369955032</v>
      </c>
      <c r="I7" s="1092">
        <f>(I6/S6)*100</f>
        <v>0.71879204788353368</v>
      </c>
      <c r="J7" s="1092">
        <f>(J6/S6)*100</f>
        <v>9.6399405394983173</v>
      </c>
      <c r="K7" s="1092">
        <f>(K6/S6)*100</f>
        <v>2.9473169174249541</v>
      </c>
      <c r="L7" s="1092">
        <f>(L6/S6)*100</f>
        <v>7.8648330938741999</v>
      </c>
      <c r="M7" s="1092">
        <f>(M6/S6)*100</f>
        <v>2.9209867789533042</v>
      </c>
      <c r="N7" s="1092">
        <f>(N6/S6)*100</f>
        <v>2.0653609405871829</v>
      </c>
      <c r="O7" s="1092">
        <f>(O6/S6)*100</f>
        <v>1.9256246151549643</v>
      </c>
      <c r="P7" s="1092">
        <f>(P6/S6)*100</f>
        <v>11.734534153506781</v>
      </c>
      <c r="Q7" s="1092">
        <f>(Q6/S6)*100</f>
        <v>94.8739159550273</v>
      </c>
      <c r="R7" s="1092">
        <f>(R6/S6)*100</f>
        <v>5.1260840449727052</v>
      </c>
      <c r="S7" s="1092">
        <f>(S6/S6)*100</f>
        <v>100</v>
      </c>
      <c r="T7" s="1093"/>
      <c r="U7" s="1093"/>
      <c r="V7" s="278"/>
    </row>
    <row r="8" spans="1:24" s="31" customFormat="1" ht="8.1" customHeight="1">
      <c r="A8" s="1094" t="s">
        <v>573</v>
      </c>
      <c r="B8" s="1090">
        <v>79010</v>
      </c>
      <c r="C8" s="1090">
        <v>18890</v>
      </c>
      <c r="D8" s="1090">
        <v>7866</v>
      </c>
      <c r="E8" s="1090">
        <v>87606</v>
      </c>
      <c r="F8" s="1090">
        <v>5720</v>
      </c>
      <c r="G8" s="1090">
        <v>33513</v>
      </c>
      <c r="H8" s="1090">
        <v>72971</v>
      </c>
      <c r="I8" s="1090">
        <v>4069</v>
      </c>
      <c r="J8" s="1090">
        <v>53132</v>
      </c>
      <c r="K8" s="1090">
        <v>16265</v>
      </c>
      <c r="L8" s="1090">
        <v>41337</v>
      </c>
      <c r="M8" s="1090">
        <v>17132</v>
      </c>
      <c r="N8" s="1090">
        <v>11853</v>
      </c>
      <c r="O8" s="1090">
        <v>10453</v>
      </c>
      <c r="P8" s="1090">
        <v>63544</v>
      </c>
      <c r="Q8" s="1091">
        <f>SUM(B8:P8)</f>
        <v>523361</v>
      </c>
      <c r="R8" s="1090">
        <v>26439</v>
      </c>
      <c r="S8" s="1090">
        <f>Q8+R8</f>
        <v>549800</v>
      </c>
      <c r="T8" s="1090">
        <v>35276</v>
      </c>
      <c r="U8" s="1090">
        <f>S8+T8</f>
        <v>585076</v>
      </c>
      <c r="V8" s="1103" t="s">
        <v>573</v>
      </c>
    </row>
    <row r="9" spans="1:24" s="223" customFormat="1" ht="8.1" customHeight="1">
      <c r="A9" s="174"/>
      <c r="B9" s="1092">
        <f>(B8/S8)*100</f>
        <v>14.370680247362678</v>
      </c>
      <c r="C9" s="1092">
        <f>(C8/S8)*100</f>
        <v>3.4357948344852671</v>
      </c>
      <c r="D9" s="1092">
        <f>(D8/S8)*100</f>
        <v>1.4307020734812659</v>
      </c>
      <c r="E9" s="1092">
        <f>(E8/S8)*100</f>
        <v>15.934157875591124</v>
      </c>
      <c r="F9" s="1092">
        <f>(F8/S8)*100</f>
        <v>1.0403783193888687</v>
      </c>
      <c r="G9" s="1092">
        <f>(G8/S8)*100</f>
        <v>6.0954892688250268</v>
      </c>
      <c r="H9" s="1092">
        <f>(H8/S8)*100</f>
        <v>13.272280829392507</v>
      </c>
      <c r="I9" s="1092">
        <f>(I8/S8)*100</f>
        <v>0.74008730447435422</v>
      </c>
      <c r="J9" s="1092">
        <f>(J8/S8)*100</f>
        <v>9.663877773735905</v>
      </c>
      <c r="K9" s="1092">
        <f>(K8/S8)*100</f>
        <v>2.9583484903601307</v>
      </c>
      <c r="L9" s="1092">
        <f>(L8/S8)*100</f>
        <v>7.5185522008002907</v>
      </c>
      <c r="M9" s="1092">
        <f>(M8/S8)*100</f>
        <v>3.1160421971626042</v>
      </c>
      <c r="N9" s="1092">
        <f>(N8/S8)*100</f>
        <v>2.1558748635867588</v>
      </c>
      <c r="O9" s="1092">
        <f>(O8/S8)*100</f>
        <v>1.9012368133866859</v>
      </c>
      <c r="P9" s="1092">
        <f>(P8/S8)*100</f>
        <v>11.557657329938159</v>
      </c>
      <c r="Q9" s="1092">
        <f>(Q8/S8)*100</f>
        <v>95.191160421971617</v>
      </c>
      <c r="R9" s="1092">
        <f>(R8/S8)*100</f>
        <v>4.8088395780283744</v>
      </c>
      <c r="S9" s="1092">
        <f>(S8/S8)*100</f>
        <v>100</v>
      </c>
      <c r="T9" s="1093"/>
      <c r="U9" s="1093"/>
      <c r="V9" s="278"/>
    </row>
    <row r="10" spans="1:24" s="31" customFormat="1" ht="8.1" customHeight="1">
      <c r="A10" s="1094" t="s">
        <v>333</v>
      </c>
      <c r="B10" s="1090">
        <v>89986</v>
      </c>
      <c r="C10" s="1090">
        <v>20635</v>
      </c>
      <c r="D10" s="1090">
        <v>9110</v>
      </c>
      <c r="E10" s="1090">
        <v>101371</v>
      </c>
      <c r="F10" s="1090">
        <v>6441</v>
      </c>
      <c r="G10" s="1090">
        <v>38532</v>
      </c>
      <c r="H10" s="1090">
        <v>86149</v>
      </c>
      <c r="I10" s="1090">
        <v>4826</v>
      </c>
      <c r="J10" s="1090">
        <v>59620</v>
      </c>
      <c r="K10" s="1090">
        <v>18702</v>
      </c>
      <c r="L10" s="1090">
        <v>45118</v>
      </c>
      <c r="M10" s="1090">
        <v>19664</v>
      </c>
      <c r="N10" s="1090">
        <v>14332</v>
      </c>
      <c r="O10" s="1090">
        <v>12164</v>
      </c>
      <c r="P10" s="1090">
        <v>72200</v>
      </c>
      <c r="Q10" s="1091">
        <f>SUM(B10:P10)</f>
        <v>598850</v>
      </c>
      <c r="R10" s="1090">
        <v>29832</v>
      </c>
      <c r="S10" s="1090">
        <f>Q10+R10</f>
        <v>628682</v>
      </c>
      <c r="T10" s="1090">
        <v>48390</v>
      </c>
      <c r="U10" s="1090">
        <f>S10+T10</f>
        <v>677072</v>
      </c>
      <c r="V10" s="1103" t="s">
        <v>333</v>
      </c>
    </row>
    <row r="11" spans="1:24" s="223" customFormat="1" ht="8.1" customHeight="1">
      <c r="A11" s="174"/>
      <c r="B11" s="1092">
        <f>(B10/S10)*100</f>
        <v>14.313436681820061</v>
      </c>
      <c r="C11" s="1092">
        <f>(C10/S10)*100</f>
        <v>3.2822635290973818</v>
      </c>
      <c r="D11" s="1092">
        <f>(D10/S10)*100</f>
        <v>1.4490632784142061</v>
      </c>
      <c r="E11" s="1092">
        <f>(E10/S10)*100</f>
        <v>16.124368122516628</v>
      </c>
      <c r="F11" s="1092">
        <f>(F10/S10)*100</f>
        <v>1.0245243223123932</v>
      </c>
      <c r="G11" s="1092">
        <f>(G10/S10)*100</f>
        <v>6.1290127600281217</v>
      </c>
      <c r="H11" s="1092">
        <f>(H10/S10)*100</f>
        <v>13.703112225258558</v>
      </c>
      <c r="I11" s="1092">
        <f>(I10/S10)*100</f>
        <v>0.76763769282403505</v>
      </c>
      <c r="J11" s="1092">
        <f>(J10/S10)*100</f>
        <v>9.4833317957250252</v>
      </c>
      <c r="K11" s="1092">
        <f>(K10/S10)*100</f>
        <v>2.9747948883537307</v>
      </c>
      <c r="L11" s="1092">
        <f>(L10/S10)*100</f>
        <v>7.1766012069695018</v>
      </c>
      <c r="M11" s="1092">
        <f>(M10/S10)*100</f>
        <v>3.1278134255474148</v>
      </c>
      <c r="N11" s="1092">
        <f>(N10/S10)*100</f>
        <v>2.2796898909146437</v>
      </c>
      <c r="O11" s="1092">
        <f>(O10/S10)*100</f>
        <v>1.9348414619791883</v>
      </c>
      <c r="P11" s="1092">
        <f>(P10/S10)*100</f>
        <v>11.484343435950132</v>
      </c>
      <c r="Q11" s="1092">
        <f>(Q10/S10)*100</f>
        <v>95.25483471771102</v>
      </c>
      <c r="R11" s="1092">
        <f>(R10/S10)*100</f>
        <v>4.7451652822889798</v>
      </c>
      <c r="S11" s="1092">
        <f>(S10/S10)*100</f>
        <v>100</v>
      </c>
      <c r="T11" s="1093"/>
      <c r="U11" s="1093"/>
      <c r="V11" s="278"/>
    </row>
    <row r="12" spans="1:24" s="31" customFormat="1" ht="8.1" customHeight="1">
      <c r="A12" s="1094" t="s">
        <v>85</v>
      </c>
      <c r="B12" s="1090">
        <v>97807</v>
      </c>
      <c r="C12" s="1090">
        <v>22793</v>
      </c>
      <c r="D12" s="1090">
        <v>10963</v>
      </c>
      <c r="E12" s="1090">
        <v>116197</v>
      </c>
      <c r="F12" s="1090">
        <v>7012</v>
      </c>
      <c r="G12" s="1090">
        <v>44180</v>
      </c>
      <c r="H12" s="1090">
        <v>96094</v>
      </c>
      <c r="I12" s="1090">
        <v>5790</v>
      </c>
      <c r="J12" s="1090">
        <v>67185</v>
      </c>
      <c r="K12" s="1090">
        <v>20003</v>
      </c>
      <c r="L12" s="1090">
        <v>49448</v>
      </c>
      <c r="M12" s="1090">
        <v>22464</v>
      </c>
      <c r="N12" s="1090">
        <v>16250</v>
      </c>
      <c r="O12" s="1090">
        <v>13368</v>
      </c>
      <c r="P12" s="1090">
        <v>85366</v>
      </c>
      <c r="Q12" s="1091">
        <f>SUM(B12:P12)</f>
        <v>674920</v>
      </c>
      <c r="R12" s="1090">
        <v>30152</v>
      </c>
      <c r="S12" s="1090">
        <f>Q12+R12</f>
        <v>705072</v>
      </c>
      <c r="T12" s="1090">
        <v>55901</v>
      </c>
      <c r="U12" s="1090">
        <f>S12+T12</f>
        <v>760973</v>
      </c>
      <c r="V12" s="1103" t="s">
        <v>85</v>
      </c>
    </row>
    <row r="13" spans="1:24" s="223" customFormat="1" ht="8.1" customHeight="1">
      <c r="A13" s="174"/>
      <c r="B13" s="1092">
        <f>(B12/S12)*100</f>
        <v>13.871916626954411</v>
      </c>
      <c r="C13" s="1092">
        <f>(C12/S12)*100</f>
        <v>3.2327194953139538</v>
      </c>
      <c r="D13" s="1092">
        <f>(D12/S12)*100</f>
        <v>1.5548766650781765</v>
      </c>
      <c r="E13" s="1092">
        <f>(E12/S12)*100</f>
        <v>16.480160891369959</v>
      </c>
      <c r="F13" s="1092">
        <f>(F12/S12)*100</f>
        <v>0.99450836226654871</v>
      </c>
      <c r="G13" s="1092">
        <f>(G12/S12)*100</f>
        <v>6.266026732021694</v>
      </c>
      <c r="H13" s="1092">
        <f>(H12/S12)*100</f>
        <v>13.628962715864478</v>
      </c>
      <c r="I13" s="1092">
        <f>(I12/S12)*100</f>
        <v>0.82119272925318265</v>
      </c>
      <c r="J13" s="1092">
        <f>(J12/S12)*100</f>
        <v>9.5288140785621902</v>
      </c>
      <c r="K13" s="1092">
        <f>(K12/S12)*100</f>
        <v>2.8370152268137154</v>
      </c>
      <c r="L13" s="1092">
        <f>(L12/S12)*100</f>
        <v>7.0131844691038641</v>
      </c>
      <c r="M13" s="1092">
        <f>(M12/S12)*100</f>
        <v>3.1860575941180476</v>
      </c>
      <c r="N13" s="1092">
        <f>(N12/S12)*100</f>
        <v>2.3047291624117823</v>
      </c>
      <c r="O13" s="1092">
        <f>(O12/S12)*100</f>
        <v>1.8959765811151201</v>
      </c>
      <c r="P13" s="1092">
        <f>(P12/S12)*100</f>
        <v>12.10741598021195</v>
      </c>
      <c r="Q13" s="1092">
        <f>(Q12/S12)*100</f>
        <v>95.723557310459071</v>
      </c>
      <c r="R13" s="1092">
        <f>(R12/S12)*100</f>
        <v>4.276442689540926</v>
      </c>
      <c r="S13" s="1092">
        <f>(S12/S12)*100</f>
        <v>100</v>
      </c>
      <c r="T13" s="1093"/>
      <c r="U13" s="1093"/>
      <c r="V13" s="278"/>
    </row>
    <row r="14" spans="1:24" s="31" customFormat="1" ht="8.1" customHeight="1">
      <c r="A14" s="1095" t="s">
        <v>81</v>
      </c>
      <c r="B14" s="1096">
        <v>110990</v>
      </c>
      <c r="C14" s="1096">
        <v>24601</v>
      </c>
      <c r="D14" s="1096">
        <v>12645</v>
      </c>
      <c r="E14" s="1096">
        <v>128573</v>
      </c>
      <c r="F14" s="1096">
        <v>8346</v>
      </c>
      <c r="G14" s="1096">
        <v>49474</v>
      </c>
      <c r="H14" s="1096">
        <v>106606</v>
      </c>
      <c r="I14" s="1096">
        <v>7028</v>
      </c>
      <c r="J14" s="1096">
        <v>80454</v>
      </c>
      <c r="K14" s="1096">
        <v>23448</v>
      </c>
      <c r="L14" s="1096">
        <v>54432</v>
      </c>
      <c r="M14" s="1096">
        <v>25426</v>
      </c>
      <c r="N14" s="1096">
        <v>18257</v>
      </c>
      <c r="O14" s="1096">
        <v>15326</v>
      </c>
      <c r="P14" s="1096">
        <v>95692</v>
      </c>
      <c r="Q14" s="1091">
        <f>SUM(B14:P14)</f>
        <v>761298</v>
      </c>
      <c r="R14" s="1096">
        <v>36241</v>
      </c>
      <c r="S14" s="1090">
        <f>Q14+R14</f>
        <v>797539</v>
      </c>
      <c r="T14" s="1096">
        <v>64604</v>
      </c>
      <c r="U14" s="1090">
        <f>S14+T14</f>
        <v>862143</v>
      </c>
      <c r="V14" s="1138" t="s">
        <v>81</v>
      </c>
    </row>
    <row r="15" spans="1:24" s="223" customFormat="1" ht="8.1" customHeight="1">
      <c r="A15" s="174"/>
      <c r="B15" s="1092">
        <f>(B14/S14)*100</f>
        <v>13.916560820223211</v>
      </c>
      <c r="C15" s="1092">
        <f>(C14/S14)*100</f>
        <v>3.0846140439527097</v>
      </c>
      <c r="D15" s="1092">
        <f>(D14/S14)*100</f>
        <v>1.5855024017634247</v>
      </c>
      <c r="E15" s="1092">
        <f>(E14/S14)*100</f>
        <v>16.121217896554274</v>
      </c>
      <c r="F15" s="1092">
        <f>(F14/S14)*100</f>
        <v>1.0464692008792047</v>
      </c>
      <c r="G15" s="1092">
        <f>(G14/S14)*100</f>
        <v>6.2033330031509433</v>
      </c>
      <c r="H15" s="1092">
        <f>(H14/S14)*100</f>
        <v>13.366869833324765</v>
      </c>
      <c r="I15" s="1092">
        <f>(I14/S14)*100</f>
        <v>0.8812108247997904</v>
      </c>
      <c r="J15" s="1092">
        <f>(J14/S14)*100</f>
        <v>10.08778254104188</v>
      </c>
      <c r="K15" s="1092">
        <f>(K14/S14)*100</f>
        <v>2.9400443113126755</v>
      </c>
      <c r="L15" s="1092">
        <f>(L14/S14)*100</f>
        <v>6.8249953920748698</v>
      </c>
      <c r="M15" s="1092">
        <f>(M14/S14)*100</f>
        <v>3.1880572611496114</v>
      </c>
      <c r="N15" s="1092">
        <f>(N14/S14)*100</f>
        <v>2.289167050137987</v>
      </c>
      <c r="O15" s="1092">
        <f>(O14/S14)*100</f>
        <v>1.9216615112239026</v>
      </c>
      <c r="P15" s="1092">
        <f>(P14/S14)*100</f>
        <v>11.998410109098113</v>
      </c>
      <c r="Q15" s="1092">
        <f>(Q14/S14)*100</f>
        <v>95.455896200687363</v>
      </c>
      <c r="R15" s="1092">
        <f>(R14/S14)*100</f>
        <v>4.5441037993126354</v>
      </c>
      <c r="S15" s="1092">
        <f>(S14/S14)*100</f>
        <v>100</v>
      </c>
      <c r="T15" s="1093"/>
      <c r="U15" s="1093"/>
      <c r="V15" s="278"/>
    </row>
    <row r="16" spans="1:24" s="31" customFormat="1" ht="8.1" customHeight="1">
      <c r="A16" s="1094" t="s">
        <v>190</v>
      </c>
      <c r="B16" s="1090">
        <v>125469</v>
      </c>
      <c r="C16" s="1090">
        <v>28482</v>
      </c>
      <c r="D16" s="1090">
        <v>14208</v>
      </c>
      <c r="E16" s="1090">
        <v>146503</v>
      </c>
      <c r="F16" s="1090">
        <v>11589</v>
      </c>
      <c r="G16" s="1090">
        <v>57072</v>
      </c>
      <c r="H16" s="1090">
        <v>121332</v>
      </c>
      <c r="I16" s="1090">
        <v>8228</v>
      </c>
      <c r="J16" s="1090">
        <v>94571</v>
      </c>
      <c r="K16" s="1090">
        <v>27545</v>
      </c>
      <c r="L16" s="1090">
        <v>60119</v>
      </c>
      <c r="M16" s="1090">
        <v>30282</v>
      </c>
      <c r="N16" s="1090">
        <v>21392</v>
      </c>
      <c r="O16" s="1090">
        <v>17731</v>
      </c>
      <c r="P16" s="1090">
        <v>104608</v>
      </c>
      <c r="Q16" s="1091">
        <f>SUM(B16:P16)</f>
        <v>869131</v>
      </c>
      <c r="R16" s="1090">
        <v>46698</v>
      </c>
      <c r="S16" s="1090">
        <f>Q16+R16</f>
        <v>915829</v>
      </c>
      <c r="T16" s="1090">
        <v>72513</v>
      </c>
      <c r="U16" s="1090">
        <f>S16+T16</f>
        <v>988342</v>
      </c>
      <c r="V16" s="1103" t="s">
        <v>190</v>
      </c>
    </row>
    <row r="17" spans="1:22" s="223" customFormat="1" ht="8.1" customHeight="1">
      <c r="A17" s="174"/>
      <c r="B17" s="1092">
        <f>(B16/S16)*100</f>
        <v>13.700046624424427</v>
      </c>
      <c r="C17" s="1092">
        <f>(C16/S16)*100</f>
        <v>3.109969219144622</v>
      </c>
      <c r="D17" s="1092">
        <f>(D16/S16)*100</f>
        <v>1.5513813168178776</v>
      </c>
      <c r="E17" s="1092">
        <f>(E16/S16)*100</f>
        <v>15.996763587962381</v>
      </c>
      <c r="F17" s="1092">
        <f>(F16/S16)*100</f>
        <v>1.2654109009432983</v>
      </c>
      <c r="G17" s="1092">
        <f>(G16/S16)*100</f>
        <v>6.2317310327582991</v>
      </c>
      <c r="H17" s="1092">
        <f>(H16/S16)*100</f>
        <v>13.248324741845913</v>
      </c>
      <c r="I17" s="1092">
        <f>(I16/S16)*100</f>
        <v>0.89842099343873139</v>
      </c>
      <c r="J17" s="1092">
        <f>(J16/S16)*100</f>
        <v>10.326272699379469</v>
      </c>
      <c r="K17" s="1092">
        <f>(K16/S16)*100</f>
        <v>3.0076575430566188</v>
      </c>
      <c r="L17" s="1092">
        <f>(L16/S16)*100</f>
        <v>6.5644350637509845</v>
      </c>
      <c r="M17" s="1092">
        <f>(M16/S16)*100</f>
        <v>3.3065124602955356</v>
      </c>
      <c r="N17" s="1092">
        <f>(N16/S16)*100</f>
        <v>2.3358072303890793</v>
      </c>
      <c r="O17" s="1092">
        <f>(O16/S16)*100</f>
        <v>1.9360601160260269</v>
      </c>
      <c r="P17" s="1092">
        <f>(P16/S16)*100</f>
        <v>11.422219650174869</v>
      </c>
      <c r="Q17" s="1092">
        <f>(Q16/S16)*100</f>
        <v>94.901013180408128</v>
      </c>
      <c r="R17" s="1092">
        <f>(R16/S16)*100</f>
        <v>5.0989868195918673</v>
      </c>
      <c r="S17" s="1092">
        <f>(S16/S16)*100</f>
        <v>100</v>
      </c>
      <c r="T17" s="1093"/>
      <c r="U17" s="1093"/>
      <c r="V17" s="278"/>
    </row>
    <row r="18" spans="1:22" s="31" customFormat="1" ht="8.1" customHeight="1">
      <c r="A18" s="1094" t="s">
        <v>731</v>
      </c>
      <c r="B18" s="1090">
        <v>138879</v>
      </c>
      <c r="C18" s="1090">
        <v>31827</v>
      </c>
      <c r="D18" s="1090">
        <v>16650</v>
      </c>
      <c r="E18" s="1090">
        <v>167928</v>
      </c>
      <c r="F18" s="1090">
        <v>14189</v>
      </c>
      <c r="G18" s="1090">
        <v>68305</v>
      </c>
      <c r="H18" s="1090">
        <v>137396</v>
      </c>
      <c r="I18" s="1090">
        <v>9755</v>
      </c>
      <c r="J18" s="1090">
        <v>112702</v>
      </c>
      <c r="K18" s="1090">
        <v>36316</v>
      </c>
      <c r="L18" s="1090">
        <v>68715</v>
      </c>
      <c r="M18" s="1090">
        <v>33499</v>
      </c>
      <c r="N18" s="1090">
        <v>25048</v>
      </c>
      <c r="O18" s="1090">
        <v>20133</v>
      </c>
      <c r="P18" s="1090">
        <v>117293</v>
      </c>
      <c r="Q18" s="1091">
        <f>SUM(B18:P18)</f>
        <v>998635</v>
      </c>
      <c r="R18" s="1090">
        <v>56569</v>
      </c>
      <c r="S18" s="1090">
        <f>Q18+R18</f>
        <v>1055204</v>
      </c>
      <c r="T18" s="1090">
        <v>89302</v>
      </c>
      <c r="U18" s="1090">
        <f>S18+T18</f>
        <v>1144506</v>
      </c>
      <c r="V18" s="1103" t="s">
        <v>731</v>
      </c>
    </row>
    <row r="19" spans="1:22" s="223" customFormat="1" ht="8.1" customHeight="1">
      <c r="A19" s="174"/>
      <c r="B19" s="1092">
        <f>(B18/S18)*100</f>
        <v>13.161341314096612</v>
      </c>
      <c r="C19" s="1092">
        <f>(C18/S18)*100</f>
        <v>3.0161940250416035</v>
      </c>
      <c r="D19" s="1092">
        <f>(D18/S18)*100</f>
        <v>1.5778939427826277</v>
      </c>
      <c r="E19" s="1092">
        <f>(E18/S18)*100</f>
        <v>15.914268710126194</v>
      </c>
      <c r="F19" s="1092">
        <f>(F18/S18)*100</f>
        <v>1.344668898146709</v>
      </c>
      <c r="G19" s="1092">
        <f>(G18/S18)*100</f>
        <v>6.473155901607651</v>
      </c>
      <c r="H19" s="1092">
        <f>(H18/S18)*100</f>
        <v>13.02079976952324</v>
      </c>
      <c r="I19" s="1092">
        <f>(I18/S18)*100</f>
        <v>0.92446579050117317</v>
      </c>
      <c r="J19" s="1092">
        <f>(J18/S18)*100</f>
        <v>10.68058877714641</v>
      </c>
      <c r="K19" s="1092">
        <f>(K18/S18)*100</f>
        <v>3.441609394960595</v>
      </c>
      <c r="L19" s="1092">
        <f>(L18/S18)*100</f>
        <v>6.5120109476461421</v>
      </c>
      <c r="M19" s="1092">
        <f>(M18/S18)*100</f>
        <v>3.17464679815467</v>
      </c>
      <c r="N19" s="1092">
        <f>(N18/S18)*100</f>
        <v>2.3737590077368926</v>
      </c>
      <c r="O19" s="1092">
        <f>(O18/S18)*100</f>
        <v>1.9079722972998585</v>
      </c>
      <c r="P19" s="1092">
        <f>(P18/S18)*100</f>
        <v>11.115670524372538</v>
      </c>
      <c r="Q19" s="1092">
        <f>(Q18/S18)*100</f>
        <v>94.639046099142917</v>
      </c>
      <c r="R19" s="1092">
        <f>(R18/S18)*100</f>
        <v>5.3609539008570861</v>
      </c>
      <c r="S19" s="1092">
        <f>(S18/S18)*100</f>
        <v>100</v>
      </c>
      <c r="T19" s="1093"/>
      <c r="U19" s="1093"/>
      <c r="V19" s="278"/>
    </row>
    <row r="20" spans="1:22" s="31" customFormat="1" ht="8.1" customHeight="1">
      <c r="A20" s="1094" t="s">
        <v>840</v>
      </c>
      <c r="B20" s="1090">
        <v>148758</v>
      </c>
      <c r="C20" s="1090">
        <v>36995</v>
      </c>
      <c r="D20" s="1090">
        <v>19461</v>
      </c>
      <c r="E20" s="1090">
        <v>197127</v>
      </c>
      <c r="F20" s="1090">
        <v>16381</v>
      </c>
      <c r="G20" s="1090">
        <v>82432</v>
      </c>
      <c r="H20" s="1090">
        <v>154579</v>
      </c>
      <c r="I20" s="1090">
        <v>11263</v>
      </c>
      <c r="J20" s="1090">
        <v>124281</v>
      </c>
      <c r="K20" s="1090">
        <v>42237</v>
      </c>
      <c r="L20" s="1090">
        <v>78820</v>
      </c>
      <c r="M20" s="1090">
        <v>37678</v>
      </c>
      <c r="N20" s="1090">
        <v>28429</v>
      </c>
      <c r="O20" s="1090">
        <v>23868</v>
      </c>
      <c r="P20" s="1090">
        <v>138952</v>
      </c>
      <c r="Q20" s="1091">
        <f>SUM(B20:P20)</f>
        <v>1141261</v>
      </c>
      <c r="R20" s="1090">
        <v>57662</v>
      </c>
      <c r="S20" s="1090">
        <f>Q20+R20</f>
        <v>1198923</v>
      </c>
      <c r="T20" s="1090">
        <v>96429</v>
      </c>
      <c r="U20" s="1090">
        <f>S20+T20</f>
        <v>1295352</v>
      </c>
      <c r="V20" s="1103" t="s">
        <v>840</v>
      </c>
    </row>
    <row r="21" spans="1:22" s="223" customFormat="1" ht="8.1" customHeight="1">
      <c r="A21" s="174"/>
      <c r="B21" s="1092">
        <f>(B20/S20)*100</f>
        <v>12.407635853178228</v>
      </c>
      <c r="C21" s="1092">
        <f>(C20/S20)*100</f>
        <v>3.0856860699144151</v>
      </c>
      <c r="D21" s="1092">
        <f>(D20/S20)*100</f>
        <v>1.623206828128245</v>
      </c>
      <c r="E21" s="1092">
        <f>(E20/S20)*100</f>
        <v>16.442006701014162</v>
      </c>
      <c r="F21" s="1092">
        <f>(F20/S20)*100</f>
        <v>1.3663095961959191</v>
      </c>
      <c r="G21" s="1092">
        <f>(G20/S20)*100</f>
        <v>6.8755040982615228</v>
      </c>
      <c r="H21" s="1092">
        <f>(H20/S20)*100</f>
        <v>12.893154939891888</v>
      </c>
      <c r="I21" s="1092">
        <f>(I20/S20)*100</f>
        <v>0.93942646858889178</v>
      </c>
      <c r="J21" s="1092">
        <f>(J20/S20)*100</f>
        <v>10.366053533045909</v>
      </c>
      <c r="K21" s="1092">
        <f>(K20/S20)*100</f>
        <v>3.5229118133524842</v>
      </c>
      <c r="L21" s="1092">
        <f>(L20/S20)*100</f>
        <v>6.5742337080863411</v>
      </c>
      <c r="M21" s="1092">
        <f>(M20/S20)*100</f>
        <v>3.1426538651773299</v>
      </c>
      <c r="N21" s="1092">
        <f>(N20/S20)*100</f>
        <v>2.3712114956506798</v>
      </c>
      <c r="O21" s="1092">
        <f>(O20/S20)*100</f>
        <v>1.9907867310911542</v>
      </c>
      <c r="P21" s="1092">
        <f>(P20/S20)*100</f>
        <v>11.589735120604075</v>
      </c>
      <c r="Q21" s="1092">
        <f>(Q20/S20)*100</f>
        <v>95.190516822181237</v>
      </c>
      <c r="R21" s="1092">
        <f>(R20/S20)*100</f>
        <v>4.809483177818759</v>
      </c>
      <c r="S21" s="1092">
        <f>(S20/S20)*100</f>
        <v>100</v>
      </c>
      <c r="T21" s="1093"/>
      <c r="U21" s="1093"/>
      <c r="V21" s="278"/>
    </row>
    <row r="22" spans="1:22" s="31" customFormat="1" ht="8.1" customHeight="1">
      <c r="A22" s="1097" t="s">
        <v>1019</v>
      </c>
      <c r="B22" s="1090">
        <v>163968</v>
      </c>
      <c r="C22" s="1090">
        <v>42308</v>
      </c>
      <c r="D22" s="1090">
        <v>21080</v>
      </c>
      <c r="E22" s="1090">
        <v>223221</v>
      </c>
      <c r="F22" s="1090">
        <v>18401</v>
      </c>
      <c r="G22" s="1090">
        <v>90834</v>
      </c>
      <c r="H22" s="1090">
        <v>172575</v>
      </c>
      <c r="I22" s="1090">
        <v>13035</v>
      </c>
      <c r="J22" s="1090">
        <v>134317</v>
      </c>
      <c r="K22" s="1090">
        <v>48563</v>
      </c>
      <c r="L22" s="1090">
        <v>91229</v>
      </c>
      <c r="M22" s="1090">
        <v>44728</v>
      </c>
      <c r="N22" s="1090">
        <v>32767</v>
      </c>
      <c r="O22" s="1090">
        <v>26924</v>
      </c>
      <c r="P22" s="1090">
        <v>156551</v>
      </c>
      <c r="Q22" s="1091">
        <f>SUM(B22:P22)</f>
        <v>1280501</v>
      </c>
      <c r="R22" s="1090">
        <v>63173</v>
      </c>
      <c r="S22" s="1090">
        <f>Q22+R22</f>
        <v>1343674</v>
      </c>
      <c r="T22" s="1090">
        <v>89549</v>
      </c>
      <c r="U22" s="1090">
        <f>S22+T22</f>
        <v>1433223</v>
      </c>
      <c r="V22" s="1103" t="s">
        <v>1019</v>
      </c>
    </row>
    <row r="23" spans="1:22" s="223" customFormat="1" ht="8.1" customHeight="1">
      <c r="A23" s="174"/>
      <c r="B23" s="1092">
        <f>(B22/S22)*100</f>
        <v>12.20295994415312</v>
      </c>
      <c r="C23" s="1092">
        <f>(C22/S22)*100</f>
        <v>3.1486804090873233</v>
      </c>
      <c r="D23" s="1092">
        <f>(D22/S22)*100</f>
        <v>1.5688329163174994</v>
      </c>
      <c r="E23" s="1092">
        <f>(E22/S22)*100</f>
        <v>16.612734934217674</v>
      </c>
      <c r="F23" s="1092">
        <f>(F22/S22)*100</f>
        <v>1.3694541979676618</v>
      </c>
      <c r="G23" s="1092">
        <f>(G22/S22)*100</f>
        <v>6.7601218747999887</v>
      </c>
      <c r="H23" s="1092">
        <f>(H22/S22)*100</f>
        <v>12.843517103106855</v>
      </c>
      <c r="I23" s="1092">
        <f>(I22/S22)*100</f>
        <v>0.9701013787570496</v>
      </c>
      <c r="J23" s="1092">
        <f>(J22/S22)*100</f>
        <v>9.9962490901811005</v>
      </c>
      <c r="K23" s="1092">
        <f>(K22/S22)*100</f>
        <v>3.6141951098257463</v>
      </c>
      <c r="L23" s="1092">
        <f>(L22/S22)*100</f>
        <v>6.7895188862774747</v>
      </c>
      <c r="M23" s="1092">
        <f>(M22/S22)*100</f>
        <v>3.3287836186455944</v>
      </c>
      <c r="N23" s="1092">
        <f>(N22/S22)*100</f>
        <v>2.4386123419817602</v>
      </c>
      <c r="O23" s="1092">
        <f>(O22/S22)*100</f>
        <v>2.0037598405565635</v>
      </c>
      <c r="P23" s="1092">
        <f>(P22/S22)*100</f>
        <v>11.650965933701181</v>
      </c>
      <c r="Q23" s="1092">
        <f>(Q22/S22)*100</f>
        <v>95.298487579576602</v>
      </c>
      <c r="R23" s="1092">
        <f>(R22/S22)*100</f>
        <v>4.7015124204234064</v>
      </c>
      <c r="S23" s="1092">
        <f>(S22/S22)*100</f>
        <v>100</v>
      </c>
      <c r="T23" s="1093"/>
      <c r="U23" s="1093"/>
      <c r="V23" s="278"/>
    </row>
    <row r="24" spans="1:22" s="223" customFormat="1" ht="8.1" customHeight="1">
      <c r="A24" s="1098" t="s">
        <v>1070</v>
      </c>
      <c r="B24" s="1090">
        <v>176500</v>
      </c>
      <c r="C24" s="1090">
        <v>47581</v>
      </c>
      <c r="D24" s="1090">
        <v>23876</v>
      </c>
      <c r="E24" s="1090">
        <v>254483</v>
      </c>
      <c r="F24" s="1090">
        <v>19868</v>
      </c>
      <c r="G24" s="1090">
        <v>108484</v>
      </c>
      <c r="H24" s="1090">
        <v>192585</v>
      </c>
      <c r="I24" s="1090">
        <v>14928</v>
      </c>
      <c r="J24" s="1090">
        <v>150025</v>
      </c>
      <c r="K24" s="1090">
        <v>55761</v>
      </c>
      <c r="L24" s="1090">
        <v>106061</v>
      </c>
      <c r="M24" s="1090">
        <v>50674</v>
      </c>
      <c r="N24" s="1090">
        <v>37624</v>
      </c>
      <c r="O24" s="1090">
        <v>30135</v>
      </c>
      <c r="P24" s="1090">
        <v>176402</v>
      </c>
      <c r="Q24" s="1091">
        <f>SUM(B24:P24)</f>
        <v>1444987</v>
      </c>
      <c r="R24" s="1090">
        <v>70815</v>
      </c>
      <c r="S24" s="1090">
        <f>Q24+R24</f>
        <v>1515802</v>
      </c>
      <c r="T24" s="1090">
        <v>98402</v>
      </c>
      <c r="U24" s="1090">
        <f>S24+T24</f>
        <v>1614204</v>
      </c>
      <c r="V24" s="1139" t="s">
        <v>1070</v>
      </c>
    </row>
    <row r="25" spans="1:22" s="174" customFormat="1" ht="8.1" customHeight="1">
      <c r="B25" s="1092">
        <f>(B24/S24)*100</f>
        <v>11.644000997491757</v>
      </c>
      <c r="C25" s="1092">
        <f>(C24/S24)*100</f>
        <v>3.1389983652218429</v>
      </c>
      <c r="D25" s="1092">
        <f>(D24/S24)*100</f>
        <v>1.5751397609978086</v>
      </c>
      <c r="E25" s="1092">
        <f>(E24/S24)*100</f>
        <v>16.788670288071923</v>
      </c>
      <c r="F25" s="1092">
        <f>(F24/S24)*100</f>
        <v>1.3107252794230382</v>
      </c>
      <c r="G25" s="1092">
        <f>(G24/S24)*100</f>
        <v>7.1568714119654153</v>
      </c>
      <c r="H25" s="1092">
        <f>(H24/S24)*100</f>
        <v>12.705155422673938</v>
      </c>
      <c r="I25" s="1092">
        <f>(I24/S24)*100</f>
        <v>0.9848251948473481</v>
      </c>
      <c r="J25" s="1092">
        <f>(J24/S24)*100</f>
        <v>9.8974008478679938</v>
      </c>
      <c r="K25" s="1092">
        <f>(K24/S24)*100</f>
        <v>3.6786466834058804</v>
      </c>
      <c r="L25" s="1092">
        <f>(L24/S24)*100</f>
        <v>6.9970220384984323</v>
      </c>
      <c r="M25" s="1092">
        <f>(M24/S24)*100</f>
        <v>3.3430487623053673</v>
      </c>
      <c r="N25" s="1092">
        <f>(N24/S24)*100</f>
        <v>2.4821183769384128</v>
      </c>
      <c r="O25" s="1092">
        <f>(O24/S24)*100</f>
        <v>1.9880564875887483</v>
      </c>
      <c r="P25" s="1092">
        <f>(P24/S24)*100</f>
        <v>11.637535773141874</v>
      </c>
      <c r="Q25" s="1092">
        <f>(Q24/S24)*100</f>
        <v>95.328215690439777</v>
      </c>
      <c r="R25" s="1092">
        <f>(R24/S24)*100</f>
        <v>4.6717843095602198</v>
      </c>
      <c r="S25" s="1092">
        <f>(S24/S24)*100</f>
        <v>100</v>
      </c>
      <c r="T25" s="1093"/>
      <c r="U25" s="1093"/>
      <c r="V25" s="278"/>
    </row>
    <row r="26" spans="1:22" s="63" customFormat="1" ht="8.1" customHeight="1">
      <c r="A26" s="1098" t="s">
        <v>1193</v>
      </c>
      <c r="B26" s="1090">
        <v>190315</v>
      </c>
      <c r="C26" s="1090">
        <v>53076</v>
      </c>
      <c r="D26" s="1090">
        <v>28578</v>
      </c>
      <c r="E26" s="1090">
        <v>295111</v>
      </c>
      <c r="F26" s="1090">
        <v>23829</v>
      </c>
      <c r="G26" s="1090">
        <v>126353</v>
      </c>
      <c r="H26" s="1090">
        <v>214257</v>
      </c>
      <c r="I26" s="1090">
        <v>17058</v>
      </c>
      <c r="J26" s="1090">
        <v>169165</v>
      </c>
      <c r="K26" s="1090">
        <v>63601</v>
      </c>
      <c r="L26" s="1090">
        <v>123740</v>
      </c>
      <c r="M26" s="1090">
        <v>66711</v>
      </c>
      <c r="N26" s="1090">
        <v>46512</v>
      </c>
      <c r="O26" s="1090">
        <v>34758</v>
      </c>
      <c r="P26" s="1090">
        <v>194248</v>
      </c>
      <c r="Q26" s="1091">
        <f>SUM(B26:P26)</f>
        <v>1647312</v>
      </c>
      <c r="R26" s="1090">
        <v>85552</v>
      </c>
      <c r="S26" s="1090">
        <f>Q26+R26</f>
        <v>1732864</v>
      </c>
      <c r="T26" s="1090">
        <v>99811</v>
      </c>
      <c r="U26" s="1090">
        <f>S26+T26</f>
        <v>1832675</v>
      </c>
      <c r="V26" s="1139" t="s">
        <v>1193</v>
      </c>
    </row>
    <row r="27" spans="1:22" s="174" customFormat="1" ht="8.1" customHeight="1">
      <c r="B27" s="1092">
        <f>(B26/S26)*100</f>
        <v>10.982685311715173</v>
      </c>
      <c r="C27" s="1092">
        <f>(C26/S26)*100</f>
        <v>3.0629062638499041</v>
      </c>
      <c r="D27" s="1092">
        <f>(D26/S26)*100</f>
        <v>1.6491773157039444</v>
      </c>
      <c r="E27" s="1092">
        <f>(E26/S26)*100</f>
        <v>17.030245881961886</v>
      </c>
      <c r="F27" s="1092">
        <f>(F26/S26)*100</f>
        <v>1.375122340818437</v>
      </c>
      <c r="G27" s="1092">
        <f>(G26/S26)*100</f>
        <v>7.2915704867779585</v>
      </c>
      <c r="H27" s="1092">
        <f>(H26/S26)*100</f>
        <v>12.364328648988034</v>
      </c>
      <c r="I27" s="1092">
        <f>(I26/S26)*100</f>
        <v>0.98438192495198706</v>
      </c>
      <c r="J27" s="1092">
        <f>(J26/S26)*100</f>
        <v>9.7621625240065004</v>
      </c>
      <c r="K27" s="1092">
        <f>(K26/S26)*100</f>
        <v>3.6702822610429906</v>
      </c>
      <c r="L27" s="1092">
        <f>(L26/S26)*100</f>
        <v>7.1407796572610422</v>
      </c>
      <c r="M27" s="1092">
        <f>(M26/S26)*100</f>
        <v>3.8497539333727286</v>
      </c>
      <c r="N27" s="1092">
        <f>(N26/S26)*100</f>
        <v>2.6841113901610281</v>
      </c>
      <c r="O27" s="1092">
        <f>(O26/S26)*100</f>
        <v>2.0058123430344215</v>
      </c>
      <c r="P27" s="1092">
        <f>(P26/S26)*100</f>
        <v>11.209650613089082</v>
      </c>
      <c r="Q27" s="1092">
        <f>(Q26/S26)*100</f>
        <v>95.062970896735109</v>
      </c>
      <c r="R27" s="1092">
        <f>(R26/S26)*100</f>
        <v>4.9370291032648836</v>
      </c>
      <c r="S27" s="1092">
        <f>(S26/S26)*100</f>
        <v>100</v>
      </c>
      <c r="T27" s="1093"/>
      <c r="U27" s="1093"/>
      <c r="V27" s="278"/>
    </row>
    <row r="28" spans="1:22" s="63" customFormat="1" ht="8.1" customHeight="1">
      <c r="A28" s="1094" t="s">
        <v>1225</v>
      </c>
      <c r="B28" s="1090">
        <v>205398</v>
      </c>
      <c r="C28" s="1090">
        <v>59627</v>
      </c>
      <c r="D28" s="1090">
        <v>34127</v>
      </c>
      <c r="E28" s="1090">
        <v>341829</v>
      </c>
      <c r="F28" s="1090">
        <v>26244</v>
      </c>
      <c r="G28" s="1090">
        <v>146107</v>
      </c>
      <c r="H28" s="1090">
        <v>243958</v>
      </c>
      <c r="I28" s="1090">
        <v>19318</v>
      </c>
      <c r="J28" s="1090">
        <v>187076</v>
      </c>
      <c r="K28" s="1090">
        <v>73205</v>
      </c>
      <c r="L28" s="1090">
        <v>144539</v>
      </c>
      <c r="M28" s="1090">
        <v>78441</v>
      </c>
      <c r="N28" s="1090">
        <v>56856</v>
      </c>
      <c r="O28" s="1090">
        <v>38987</v>
      </c>
      <c r="P28" s="1090">
        <v>214213</v>
      </c>
      <c r="Q28" s="1091">
        <f>SUM(B28:P28)</f>
        <v>1869925</v>
      </c>
      <c r="R28" s="1090">
        <v>105892</v>
      </c>
      <c r="S28" s="1090">
        <f>Q28+R28</f>
        <v>1975817</v>
      </c>
      <c r="T28" s="1090">
        <v>84901</v>
      </c>
      <c r="U28" s="1090">
        <f>S28+T28</f>
        <v>2060718</v>
      </c>
      <c r="V28" s="1103" t="s">
        <v>1225</v>
      </c>
    </row>
    <row r="29" spans="1:22" s="174" customFormat="1" ht="8.1" customHeight="1">
      <c r="B29" s="1092">
        <f>(B28/S28)*100</f>
        <v>10.395598377784987</v>
      </c>
      <c r="C29" s="1092">
        <f>(C28/S28)*100</f>
        <v>3.017840214959179</v>
      </c>
      <c r="D29" s="1092">
        <f>(D28/S28)*100</f>
        <v>1.7272348603134806</v>
      </c>
      <c r="E29" s="1092">
        <f>(E28/S28)*100</f>
        <v>17.300640696987628</v>
      </c>
      <c r="F29" s="1092">
        <f>(F28/S28)*100</f>
        <v>1.3282606638165377</v>
      </c>
      <c r="G29" s="1092">
        <f>(G28/S28)*100</f>
        <v>7.3947637863223159</v>
      </c>
      <c r="H29" s="1092">
        <f>(H28/S28)*100</f>
        <v>12.34719612190805</v>
      </c>
      <c r="I29" s="1092">
        <f>(I28/S28)*100</f>
        <v>0.97772212709982753</v>
      </c>
      <c r="J29" s="1092">
        <f>(J28/S28)*100</f>
        <v>9.4682857774783802</v>
      </c>
      <c r="K29" s="1092">
        <f>(K28/S28)*100</f>
        <v>3.7050496073269943</v>
      </c>
      <c r="L29" s="1092">
        <f>(L28/S28)*100</f>
        <v>7.315404210005279</v>
      </c>
      <c r="M29" s="1092">
        <f>(M28/S28)*100</f>
        <v>3.9700539068142442</v>
      </c>
      <c r="N29" s="1092">
        <f>(N28/S28)*100</f>
        <v>2.8775944330876797</v>
      </c>
      <c r="O29" s="1092">
        <f>(O28/S28)*100</f>
        <v>1.9732090573165428</v>
      </c>
      <c r="P29" s="1092">
        <f>(P28/S28)*100</f>
        <v>10.841742934694864</v>
      </c>
      <c r="Q29" s="1092">
        <f>(Q28/S28)*100</f>
        <v>94.640596775915981</v>
      </c>
      <c r="R29" s="1092">
        <f>(R28/S28)*100</f>
        <v>5.3594032240840122</v>
      </c>
      <c r="S29" s="1092">
        <f>(S28/S28)*100</f>
        <v>100</v>
      </c>
      <c r="T29" s="1093"/>
      <c r="U29" s="1093"/>
      <c r="V29" s="278"/>
    </row>
    <row r="30" spans="1:22" s="63" customFormat="1" ht="8.1" customHeight="1">
      <c r="A30" s="1094" t="s">
        <v>1350</v>
      </c>
      <c r="B30" s="1090">
        <v>227353</v>
      </c>
      <c r="C30" s="1090">
        <v>66882</v>
      </c>
      <c r="D30" s="1090">
        <v>38884</v>
      </c>
      <c r="E30" s="1090">
        <v>404144</v>
      </c>
      <c r="F30" s="1090">
        <v>29336</v>
      </c>
      <c r="G30" s="1090">
        <v>169855</v>
      </c>
      <c r="H30" s="1090">
        <v>279823</v>
      </c>
      <c r="I30" s="1090">
        <v>22123</v>
      </c>
      <c r="J30" s="1090">
        <v>204630</v>
      </c>
      <c r="K30" s="1090">
        <v>83728</v>
      </c>
      <c r="L30" s="1090">
        <v>166419</v>
      </c>
      <c r="M30" s="1096">
        <v>90228</v>
      </c>
      <c r="N30" s="1090">
        <v>64478</v>
      </c>
      <c r="O30" s="1090">
        <v>44064</v>
      </c>
      <c r="P30" s="1090">
        <v>236378</v>
      </c>
      <c r="Q30" s="1091">
        <f>SUM(B30:P30)</f>
        <v>2128325</v>
      </c>
      <c r="R30" s="1090">
        <v>122156</v>
      </c>
      <c r="S30" s="1090">
        <f>Q30+R30</f>
        <v>2250481</v>
      </c>
      <c r="T30" s="1090">
        <v>102628</v>
      </c>
      <c r="U30" s="1090">
        <f>S30+T30</f>
        <v>2353109</v>
      </c>
      <c r="V30" s="1103" t="s">
        <v>1350</v>
      </c>
    </row>
    <row r="31" spans="1:22" s="174" customFormat="1" ht="8.1" customHeight="1">
      <c r="B31" s="1092">
        <f>(B30/S30)*100</f>
        <v>10.102418105285048</v>
      </c>
      <c r="C31" s="1092">
        <f>(C30/S30)*100</f>
        <v>2.97189800758149</v>
      </c>
      <c r="D31" s="1092">
        <f>(D30/S30)*100</f>
        <v>1.7278084107353049</v>
      </c>
      <c r="E31" s="1092">
        <f>(E30/S30)*100</f>
        <v>17.958116509315118</v>
      </c>
      <c r="F31" s="1092">
        <f>(F30/S30)*100</f>
        <v>1.3035435535781019</v>
      </c>
      <c r="G31" s="1092">
        <f>(G30/S30)*100</f>
        <v>7.5474976238413038</v>
      </c>
      <c r="H31" s="1092">
        <f>(H30/S30)*100</f>
        <v>12.433919682059081</v>
      </c>
      <c r="I31" s="1092">
        <f>(I30/S30)*100</f>
        <v>0.98303429355768834</v>
      </c>
      <c r="J31" s="1092">
        <f>(J30/S30)*100</f>
        <v>9.0927228445830028</v>
      </c>
      <c r="K31" s="1092">
        <f>(K30/S30)*100</f>
        <v>3.7204490951045575</v>
      </c>
      <c r="L31" s="1092">
        <f>(L30/S30)*100</f>
        <v>7.3948191519946178</v>
      </c>
      <c r="M31" s="1092">
        <f>(M30/S30)*100</f>
        <v>4.0092762391684262</v>
      </c>
      <c r="N31" s="1092">
        <f>(N30/S30)*100</f>
        <v>2.8650763992230996</v>
      </c>
      <c r="O31" s="1092">
        <f>(O30/S30)*100</f>
        <v>1.9579814270815885</v>
      </c>
      <c r="P31" s="1092">
        <f>(P30/S30)*100</f>
        <v>10.503443486081419</v>
      </c>
      <c r="Q31" s="1092">
        <f>(Q30/S30)*100</f>
        <v>94.572004829189851</v>
      </c>
      <c r="R31" s="1092">
        <f>(R30/S30)*100</f>
        <v>5.427995170810151</v>
      </c>
      <c r="S31" s="1092">
        <f>(S30/S30)*100</f>
        <v>100</v>
      </c>
      <c r="T31" s="1093"/>
      <c r="U31" s="1093"/>
      <c r="V31" s="278"/>
    </row>
    <row r="32" spans="1:22" s="63" customFormat="1" ht="8.1" customHeight="1">
      <c r="A32" s="1094" t="s">
        <v>1466</v>
      </c>
      <c r="B32" s="1090">
        <v>248119</v>
      </c>
      <c r="C32" s="1090">
        <v>74275</v>
      </c>
      <c r="D32" s="1090">
        <v>43964</v>
      </c>
      <c r="E32" s="1090">
        <v>481359</v>
      </c>
      <c r="F32" s="1090">
        <v>32087</v>
      </c>
      <c r="G32" s="1090">
        <v>196403</v>
      </c>
      <c r="H32" s="1090">
        <v>322722</v>
      </c>
      <c r="I32" s="1090">
        <v>25234</v>
      </c>
      <c r="J32" s="1090">
        <v>226025</v>
      </c>
      <c r="K32" s="1090">
        <v>94202</v>
      </c>
      <c r="L32" s="1090">
        <v>190487</v>
      </c>
      <c r="M32" s="1090">
        <v>98957</v>
      </c>
      <c r="N32" s="1090">
        <v>73091</v>
      </c>
      <c r="O32" s="1090">
        <v>52006</v>
      </c>
      <c r="P32" s="1090">
        <v>260961</v>
      </c>
      <c r="Q32" s="1091">
        <f>SUM(B32:P32)</f>
        <v>2419892</v>
      </c>
      <c r="R32" s="1090">
        <v>122592</v>
      </c>
      <c r="S32" s="1090">
        <f>Q32+R32</f>
        <v>2542484</v>
      </c>
      <c r="T32" s="1090">
        <v>113610</v>
      </c>
      <c r="U32" s="1090">
        <f>S32+T32</f>
        <v>2656094</v>
      </c>
      <c r="V32" s="1103" t="s">
        <v>1466</v>
      </c>
    </row>
    <row r="33" spans="1:22" s="174" customFormat="1" ht="8.1" customHeight="1">
      <c r="B33" s="1092">
        <f>(B32/S32)*100</f>
        <v>9.7589208034347514</v>
      </c>
      <c r="C33" s="1092">
        <f>(C32/S32)*100</f>
        <v>2.921355650615697</v>
      </c>
      <c r="D33" s="1092">
        <f>(D32/S32)*100</f>
        <v>1.7291750901873915</v>
      </c>
      <c r="E33" s="1092">
        <f>(E32/S32)*100</f>
        <v>18.932626518003655</v>
      </c>
      <c r="F33" s="1092">
        <f>(F32/S32)*100</f>
        <v>1.2620335073888371</v>
      </c>
      <c r="G33" s="1092">
        <f>(G32/S32)*100</f>
        <v>7.724847039352067</v>
      </c>
      <c r="H33" s="1092">
        <f>(H32/S32)*100</f>
        <v>12.69317722353415</v>
      </c>
      <c r="I33" s="1092">
        <f>(I32/S32)*100</f>
        <v>0.9924939547308852</v>
      </c>
      <c r="J33" s="1092">
        <f>(J32/S32)*100</f>
        <v>8.8899281175417428</v>
      </c>
      <c r="K33" s="1092">
        <f>(K32/S32)*100</f>
        <v>3.7051167283648585</v>
      </c>
      <c r="L33" s="1092">
        <f>(L32/S32)*100</f>
        <v>7.4921612092740801</v>
      </c>
      <c r="M33" s="1092">
        <f>(M32/S32)*100</f>
        <v>3.892138554264255</v>
      </c>
      <c r="N33" s="1092">
        <f>(N32/S32)*100</f>
        <v>2.874787019308676</v>
      </c>
      <c r="O33" s="1092">
        <f>(O32/S32)*100</f>
        <v>2.045479932223762</v>
      </c>
      <c r="P33" s="1092">
        <f>(P32/S32)*100</f>
        <v>10.264017394013099</v>
      </c>
      <c r="Q33" s="1092">
        <f>(Q32/S32)*100</f>
        <v>95.178258742237915</v>
      </c>
      <c r="R33" s="1092">
        <f>(R32/S32)*100</f>
        <v>4.8217412577620937</v>
      </c>
      <c r="S33" s="1092">
        <f>(S32/S32)*100</f>
        <v>100</v>
      </c>
      <c r="T33" s="1093"/>
      <c r="U33" s="1093"/>
      <c r="V33" s="278"/>
    </row>
    <row r="34" spans="1:22" s="223" customFormat="1" ht="8.1" customHeight="1">
      <c r="A34" s="1089" t="s">
        <v>1550</v>
      </c>
      <c r="B34" s="1090">
        <v>270751</v>
      </c>
      <c r="C34" s="1090">
        <v>83091</v>
      </c>
      <c r="D34" s="1090">
        <v>46548</v>
      </c>
      <c r="E34" s="1090">
        <v>507100</v>
      </c>
      <c r="F34" s="1090">
        <v>33010</v>
      </c>
      <c r="G34" s="1090">
        <v>222537</v>
      </c>
      <c r="H34" s="1090">
        <v>349066</v>
      </c>
      <c r="I34" s="1090">
        <v>27262</v>
      </c>
      <c r="J34" s="1090">
        <v>241277</v>
      </c>
      <c r="K34" s="1090">
        <v>99809</v>
      </c>
      <c r="L34" s="1090">
        <v>212524</v>
      </c>
      <c r="M34" s="1090">
        <v>106897</v>
      </c>
      <c r="N34" s="1090">
        <v>81095</v>
      </c>
      <c r="O34" s="1090">
        <v>58777</v>
      </c>
      <c r="P34" s="1090">
        <v>286167</v>
      </c>
      <c r="Q34" s="1091">
        <f>SUM(B34:P34)</f>
        <v>2625911</v>
      </c>
      <c r="R34" s="1090">
        <v>113421</v>
      </c>
      <c r="S34" s="1090">
        <f>Q34+R34</f>
        <v>2739332</v>
      </c>
      <c r="T34" s="1090">
        <v>133898</v>
      </c>
      <c r="U34" s="1090">
        <f>S34+T34</f>
        <v>2873230</v>
      </c>
      <c r="V34" s="1103" t="s">
        <v>1550</v>
      </c>
    </row>
    <row r="35" spans="1:22" s="223" customFormat="1" ht="8.1" customHeight="1">
      <c r="A35" s="174"/>
      <c r="B35" s="1092">
        <f>(B34/S34)*100</f>
        <v>9.8838329928610325</v>
      </c>
      <c r="C35" s="1092">
        <f>(C34/S34)*100</f>
        <v>3.0332577431286167</v>
      </c>
      <c r="D35" s="1092">
        <f>(D34/S34)*100</f>
        <v>1.6992463856151792</v>
      </c>
      <c r="E35" s="1092">
        <f>(E34/S34)*100</f>
        <v>18.511812368854887</v>
      </c>
      <c r="F35" s="1092">
        <f>(F34/S34)*100</f>
        <v>1.2050383086095442</v>
      </c>
      <c r="G35" s="1092">
        <f>(G34/S34)*100</f>
        <v>8.123768860437508</v>
      </c>
      <c r="H35" s="1092">
        <f>(H34/S34)*100</f>
        <v>12.742741661105701</v>
      </c>
      <c r="I35" s="1092">
        <f>(I34/S34)*100</f>
        <v>0.99520613054569518</v>
      </c>
      <c r="J35" s="1092">
        <f>(J34/S34)*100</f>
        <v>8.8078772489059372</v>
      </c>
      <c r="K35" s="1092">
        <f>(K34/S34)*100</f>
        <v>3.6435525157228117</v>
      </c>
      <c r="L35" s="1092">
        <f>(L34/S34)*100</f>
        <v>7.758241790334286</v>
      </c>
      <c r="M35" s="1092">
        <f>(M34/S34)*100</f>
        <v>3.90230172903467</v>
      </c>
      <c r="N35" s="1092">
        <f>(N34/S34)*100</f>
        <v>2.9603932637591939</v>
      </c>
      <c r="O35" s="1092">
        <f>(O34/S34)*100</f>
        <v>2.1456690901285422</v>
      </c>
      <c r="P35" s="1092">
        <f>(P34/S34)*100</f>
        <v>10.446597929714251</v>
      </c>
      <c r="Q35" s="1092">
        <f>(Q34/S34)*100</f>
        <v>95.85953801875786</v>
      </c>
      <c r="R35" s="1092">
        <f>(R34/S34)*100</f>
        <v>4.1404619812421428</v>
      </c>
      <c r="S35" s="1092">
        <f>(S34/S34)*100</f>
        <v>100</v>
      </c>
      <c r="T35" s="1093"/>
      <c r="U35" s="1093"/>
      <c r="V35" s="278"/>
    </row>
    <row r="36" spans="1:22" s="31" customFormat="1" ht="9" customHeight="1">
      <c r="A36" s="1094" t="s">
        <v>2087</v>
      </c>
      <c r="B36" s="1090">
        <v>292221</v>
      </c>
      <c r="C36" s="1090">
        <v>92389</v>
      </c>
      <c r="D36" s="1090">
        <v>48718</v>
      </c>
      <c r="E36" s="1090">
        <v>559627</v>
      </c>
      <c r="F36" s="1090">
        <v>34921</v>
      </c>
      <c r="G36" s="1090">
        <v>251150</v>
      </c>
      <c r="H36" s="1090">
        <v>387606</v>
      </c>
      <c r="I36" s="1090">
        <v>30911</v>
      </c>
      <c r="J36" s="1090">
        <v>265227</v>
      </c>
      <c r="K36" s="1090">
        <v>107014</v>
      </c>
      <c r="L36" s="1090">
        <v>236065</v>
      </c>
      <c r="M36" s="1090">
        <v>117376</v>
      </c>
      <c r="N36" s="1090">
        <v>90419</v>
      </c>
      <c r="O36" s="1090">
        <v>66427</v>
      </c>
      <c r="P36" s="1090">
        <v>313313</v>
      </c>
      <c r="Q36" s="1091">
        <f>SUM(B36:P36)</f>
        <v>2893384</v>
      </c>
      <c r="R36" s="1090">
        <v>117681</v>
      </c>
      <c r="S36" s="1090">
        <f>Q36+R36</f>
        <v>3011065</v>
      </c>
      <c r="T36" s="1090">
        <v>186746</v>
      </c>
      <c r="U36" s="1090">
        <f>S36+T36</f>
        <v>3197811</v>
      </c>
      <c r="V36" s="1103" t="s">
        <v>2087</v>
      </c>
    </row>
    <row r="37" spans="1:22" s="223" customFormat="1" ht="8.1" customHeight="1">
      <c r="A37" s="174"/>
      <c r="B37" s="1092">
        <f>(B36/S36)*100</f>
        <v>9.7049050751146186</v>
      </c>
      <c r="C37" s="1092">
        <f>(C36/S36)*100</f>
        <v>3.0683163598261745</v>
      </c>
      <c r="D37" s="1092">
        <f>(D36/S36)*100</f>
        <v>1.6179657363756679</v>
      </c>
      <c r="E37" s="1092">
        <f>(E36/S36)*100</f>
        <v>18.585683138690133</v>
      </c>
      <c r="F37" s="1092">
        <f>(F36/S36)*100</f>
        <v>1.15975576747762</v>
      </c>
      <c r="G37" s="1092">
        <f>(G36/S36)*100</f>
        <v>8.3409026374389121</v>
      </c>
      <c r="H37" s="1092">
        <f>(H36/S36)*100</f>
        <v>12.872721113625909</v>
      </c>
      <c r="I37" s="1092">
        <f>(I36/S36)*100</f>
        <v>1.0265802963403314</v>
      </c>
      <c r="J37" s="1092">
        <f>(J36/S36)*100</f>
        <v>8.8084116417280924</v>
      </c>
      <c r="K37" s="1092">
        <f>(K36/S36)*100</f>
        <v>3.5540249048094283</v>
      </c>
      <c r="L37" s="1092">
        <f>(L36/S36)*100</f>
        <v>7.8399171057416561</v>
      </c>
      <c r="M37" s="1092">
        <f>(M36/S36)*100</f>
        <v>3.8981556359626914</v>
      </c>
      <c r="N37" s="1092">
        <f>(N36/S36)*100</f>
        <v>3.0028910036814218</v>
      </c>
      <c r="O37" s="1092">
        <f>(O36/S36)*100</f>
        <v>2.2060965140241078</v>
      </c>
      <c r="P37" s="1092">
        <f>(P36/S36)*100</f>
        <v>10.405388126792348</v>
      </c>
      <c r="Q37" s="1092">
        <f>(Q36/S36)*100</f>
        <v>96.091715057629116</v>
      </c>
      <c r="R37" s="1092">
        <f>(R36/S36)*100</f>
        <v>3.908284942370889</v>
      </c>
      <c r="S37" s="1092">
        <f>(S36/S36)*100</f>
        <v>100</v>
      </c>
      <c r="T37" s="1093"/>
      <c r="U37" s="1093"/>
      <c r="V37" s="278"/>
    </row>
    <row r="38" spans="1:22" s="31" customFormat="1" ht="8.1" customHeight="1">
      <c r="A38" s="1099" t="s">
        <v>2076</v>
      </c>
      <c r="B38" s="1100"/>
      <c r="C38" s="1101"/>
      <c r="D38" s="1101"/>
      <c r="E38" s="1101"/>
      <c r="F38" s="1101"/>
      <c r="G38" s="1101"/>
      <c r="H38" s="1101"/>
      <c r="I38" s="1101"/>
      <c r="J38" s="1101"/>
      <c r="K38" s="1101"/>
      <c r="L38" s="1101"/>
      <c r="M38" s="1101"/>
      <c r="N38" s="1101"/>
      <c r="O38" s="1101"/>
      <c r="P38" s="1101"/>
      <c r="Q38" s="1101"/>
      <c r="R38" s="1101"/>
      <c r="S38" s="1101"/>
      <c r="T38" s="1102"/>
      <c r="U38" s="1102"/>
      <c r="V38" s="1103"/>
    </row>
    <row r="39" spans="1:22" s="223" customFormat="1" ht="8.1" customHeight="1">
      <c r="A39" s="1324" t="s">
        <v>564</v>
      </c>
      <c r="B39" s="1104">
        <v>70171</v>
      </c>
      <c r="C39" s="1104">
        <v>16814</v>
      </c>
      <c r="D39" s="1104">
        <v>7009</v>
      </c>
      <c r="E39" s="1104">
        <v>73834</v>
      </c>
      <c r="F39" s="1104">
        <v>5553</v>
      </c>
      <c r="G39" s="1104">
        <v>29825</v>
      </c>
      <c r="H39" s="1104">
        <v>62352</v>
      </c>
      <c r="I39" s="1104">
        <v>3467</v>
      </c>
      <c r="J39" s="1104">
        <v>46497</v>
      </c>
      <c r="K39" s="1104">
        <v>14216</v>
      </c>
      <c r="L39" s="1104">
        <v>37935</v>
      </c>
      <c r="M39" s="1104">
        <v>14089</v>
      </c>
      <c r="N39" s="1104">
        <v>9962</v>
      </c>
      <c r="O39" s="1104">
        <v>9288</v>
      </c>
      <c r="P39" s="1104">
        <v>56600</v>
      </c>
      <c r="Q39" s="1105">
        <f>SUM(B39:P39)</f>
        <v>457612</v>
      </c>
      <c r="R39" s="1104">
        <v>24725</v>
      </c>
      <c r="S39" s="1104">
        <f>Q39+R39</f>
        <v>482337</v>
      </c>
      <c r="T39" s="1104">
        <v>27208</v>
      </c>
      <c r="U39" s="1104">
        <f>S39+T39</f>
        <v>509545</v>
      </c>
      <c r="V39" s="278" t="s">
        <v>564</v>
      </c>
    </row>
    <row r="40" spans="1:22" s="31" customFormat="1" ht="8.1" customHeight="1">
      <c r="A40" s="1094"/>
      <c r="B40" s="1101">
        <f>(B39/S39)*100</f>
        <v>14.548127139323752</v>
      </c>
      <c r="C40" s="1101">
        <f>(C39/S39)*100</f>
        <v>3.4859444745064136</v>
      </c>
      <c r="D40" s="1101">
        <f>(D39/S39)*100</f>
        <v>1.4531333901400889</v>
      </c>
      <c r="E40" s="1101">
        <f>(E39/S39)*100</f>
        <v>15.307554676502114</v>
      </c>
      <c r="F40" s="1101">
        <f>(F39/S39)*100</f>
        <v>1.151269755378501</v>
      </c>
      <c r="G40" s="1101">
        <f>(G39/S39)*100</f>
        <v>6.1834360623381581</v>
      </c>
      <c r="H40" s="1101">
        <f>(H39/S39)*100</f>
        <v>12.927061369955032</v>
      </c>
      <c r="I40" s="1101">
        <f>(I39/S39)*100</f>
        <v>0.71879204788353368</v>
      </c>
      <c r="J40" s="1101">
        <f>(J39/S39)*100</f>
        <v>9.6399405394983173</v>
      </c>
      <c r="K40" s="1101">
        <f>(K39/S39)*100</f>
        <v>2.9473169174249541</v>
      </c>
      <c r="L40" s="1101">
        <f>(L39/S39)*100</f>
        <v>7.8648330938741999</v>
      </c>
      <c r="M40" s="1101">
        <f>(M39/S39)*100</f>
        <v>2.9209867789533042</v>
      </c>
      <c r="N40" s="1101">
        <f>(N39/S39)*100</f>
        <v>2.0653609405871829</v>
      </c>
      <c r="O40" s="1101">
        <f>(O39/S39)*100</f>
        <v>1.9256246151549643</v>
      </c>
      <c r="P40" s="1101">
        <f>(P39/S39)*100</f>
        <v>11.734534153506781</v>
      </c>
      <c r="Q40" s="1101">
        <f>(Q39/S39)*100</f>
        <v>94.8739159550273</v>
      </c>
      <c r="R40" s="1101">
        <f>(R39/S39)*100</f>
        <v>5.1260840449727052</v>
      </c>
      <c r="S40" s="1101">
        <f>(S39/S39)*100</f>
        <v>100</v>
      </c>
      <c r="T40" s="1102"/>
      <c r="U40" s="1102"/>
      <c r="V40" s="1103"/>
    </row>
    <row r="41" spans="1:22" s="223" customFormat="1" ht="8.1" customHeight="1">
      <c r="A41" s="174" t="s">
        <v>573</v>
      </c>
      <c r="B41" s="1132">
        <v>74410</v>
      </c>
      <c r="C41" s="1104">
        <v>18397</v>
      </c>
      <c r="D41" s="1104">
        <v>7433</v>
      </c>
      <c r="E41" s="1104">
        <v>81612</v>
      </c>
      <c r="F41" s="1104">
        <v>5831</v>
      </c>
      <c r="G41" s="1104">
        <v>31836</v>
      </c>
      <c r="H41" s="1104">
        <v>67571</v>
      </c>
      <c r="I41" s="1104">
        <v>3659</v>
      </c>
      <c r="J41" s="1104">
        <v>50878</v>
      </c>
      <c r="K41" s="1104">
        <v>15139</v>
      </c>
      <c r="L41" s="1104">
        <v>39382</v>
      </c>
      <c r="M41" s="1104">
        <v>15293</v>
      </c>
      <c r="N41" s="1104">
        <v>10835</v>
      </c>
      <c r="O41" s="1104">
        <v>9749</v>
      </c>
      <c r="P41" s="1104">
        <v>58399</v>
      </c>
      <c r="Q41" s="796">
        <f>SUM(B41:P41)</f>
        <v>490424</v>
      </c>
      <c r="R41" s="1104">
        <v>25959</v>
      </c>
      <c r="S41" s="918">
        <f>Q41+R41</f>
        <v>516383</v>
      </c>
      <c r="T41" s="1104">
        <v>33121</v>
      </c>
      <c r="U41" s="918">
        <f>S41+T41</f>
        <v>549504</v>
      </c>
      <c r="V41" s="278" t="s">
        <v>573</v>
      </c>
    </row>
    <row r="42" spans="1:22" s="31" customFormat="1" ht="8.1" customHeight="1">
      <c r="A42" s="1094"/>
      <c r="B42" s="1101">
        <f t="shared" ref="B42:S42" si="0">(B41/$S41)*100</f>
        <v>14.409846954682862</v>
      </c>
      <c r="C42" s="1101">
        <f t="shared" si="0"/>
        <v>3.562665695811055</v>
      </c>
      <c r="D42" s="1101">
        <f t="shared" si="0"/>
        <v>1.4394354577900512</v>
      </c>
      <c r="E42" s="1101">
        <f t="shared" si="0"/>
        <v>15.804548174513878</v>
      </c>
      <c r="F42" s="1101">
        <f t="shared" si="0"/>
        <v>1.1292006127235017</v>
      </c>
      <c r="G42" s="1101">
        <f t="shared" si="0"/>
        <v>6.1651913405359977</v>
      </c>
      <c r="H42" s="1101">
        <f t="shared" si="0"/>
        <v>13.085442394501756</v>
      </c>
      <c r="I42" s="1101">
        <f t="shared" si="0"/>
        <v>0.70858258308271183</v>
      </c>
      <c r="J42" s="1101">
        <f t="shared" si="0"/>
        <v>9.8527643241547462</v>
      </c>
      <c r="K42" s="1101">
        <f t="shared" si="0"/>
        <v>2.9317386513498702</v>
      </c>
      <c r="L42" s="1101">
        <f t="shared" si="0"/>
        <v>7.6265097805311166</v>
      </c>
      <c r="M42" s="1101">
        <f t="shared" si="0"/>
        <v>2.9615614766558931</v>
      </c>
      <c r="N42" s="1101">
        <f t="shared" si="0"/>
        <v>2.0982487804594654</v>
      </c>
      <c r="O42" s="1101">
        <f t="shared" si="0"/>
        <v>1.8879397656390702</v>
      </c>
      <c r="P42" s="1101">
        <f t="shared" si="0"/>
        <v>11.309241396405382</v>
      </c>
      <c r="Q42" s="1101">
        <f t="shared" si="0"/>
        <v>94.972917388837345</v>
      </c>
      <c r="R42" s="1101">
        <f t="shared" si="0"/>
        <v>5.027082611162645</v>
      </c>
      <c r="S42" s="1101">
        <f t="shared" si="0"/>
        <v>100</v>
      </c>
      <c r="T42" s="1133"/>
      <c r="U42" s="1133"/>
      <c r="V42" s="1103"/>
    </row>
    <row r="43" spans="1:22" s="223" customFormat="1" ht="8.1" customHeight="1">
      <c r="A43" s="174" t="s">
        <v>333</v>
      </c>
      <c r="B43" s="1132">
        <v>77292</v>
      </c>
      <c r="C43" s="1104">
        <v>19685</v>
      </c>
      <c r="D43" s="1104">
        <v>8003</v>
      </c>
      <c r="E43" s="1104">
        <v>87596</v>
      </c>
      <c r="F43" s="1104">
        <v>6284</v>
      </c>
      <c r="G43" s="1104">
        <v>33742</v>
      </c>
      <c r="H43" s="1104">
        <v>72481</v>
      </c>
      <c r="I43" s="1104">
        <v>3866</v>
      </c>
      <c r="J43" s="1104">
        <v>55079</v>
      </c>
      <c r="K43" s="1104">
        <v>15733</v>
      </c>
      <c r="L43" s="1104">
        <v>40877</v>
      </c>
      <c r="M43" s="1104">
        <v>16289</v>
      </c>
      <c r="N43" s="1104">
        <v>11609</v>
      </c>
      <c r="O43" s="1104">
        <v>10321</v>
      </c>
      <c r="P43" s="1104">
        <v>60261</v>
      </c>
      <c r="Q43" s="796">
        <f>SUM(B43:P43)</f>
        <v>519118</v>
      </c>
      <c r="R43" s="1104">
        <v>28319</v>
      </c>
      <c r="S43" s="918">
        <f>Q43+R43</f>
        <v>547437</v>
      </c>
      <c r="T43" s="1104">
        <v>42109</v>
      </c>
      <c r="U43" s="918">
        <f>S43+T43</f>
        <v>589546</v>
      </c>
      <c r="V43" s="278" t="s">
        <v>333</v>
      </c>
    </row>
    <row r="44" spans="1:22" s="31" customFormat="1" ht="8.1" customHeight="1">
      <c r="A44" s="1094"/>
      <c r="B44" s="1101">
        <f t="shared" ref="B44:S44" si="1">(B43/$S43)*100</f>
        <v>14.118884912784486</v>
      </c>
      <c r="C44" s="1101">
        <f t="shared" si="1"/>
        <v>3.5958475587145191</v>
      </c>
      <c r="D44" s="1101">
        <f t="shared" si="1"/>
        <v>1.4619033788362861</v>
      </c>
      <c r="E44" s="1101">
        <f t="shared" si="1"/>
        <v>16.001110630081637</v>
      </c>
      <c r="F44" s="1101">
        <f t="shared" si="1"/>
        <v>1.1478946435845585</v>
      </c>
      <c r="G44" s="1101">
        <f t="shared" si="1"/>
        <v>6.1636316142314094</v>
      </c>
      <c r="H44" s="1101">
        <f t="shared" si="1"/>
        <v>13.240062326806553</v>
      </c>
      <c r="I44" s="1101">
        <f t="shared" si="1"/>
        <v>0.70619998282907448</v>
      </c>
      <c r="J44" s="1101">
        <f t="shared" si="1"/>
        <v>10.061249056969112</v>
      </c>
      <c r="K44" s="1101">
        <f t="shared" si="1"/>
        <v>2.8739380056517922</v>
      </c>
      <c r="L44" s="1101">
        <f t="shared" si="1"/>
        <v>7.4669779353605987</v>
      </c>
      <c r="M44" s="1101">
        <f t="shared" si="1"/>
        <v>2.9755022039065682</v>
      </c>
      <c r="N44" s="1101">
        <f t="shared" si="1"/>
        <v>2.12060931212176</v>
      </c>
      <c r="O44" s="1101">
        <f t="shared" si="1"/>
        <v>1.8853310974596162</v>
      </c>
      <c r="P44" s="1101">
        <f t="shared" si="1"/>
        <v>11.007841998257334</v>
      </c>
      <c r="Q44" s="1101">
        <f t="shared" si="1"/>
        <v>94.826984657595304</v>
      </c>
      <c r="R44" s="1101">
        <f t="shared" si="1"/>
        <v>5.1730153424046961</v>
      </c>
      <c r="S44" s="1101">
        <f t="shared" si="1"/>
        <v>100</v>
      </c>
      <c r="T44" s="1133"/>
      <c r="U44" s="1133"/>
      <c r="V44" s="1103"/>
    </row>
    <row r="45" spans="1:22" s="223" customFormat="1" ht="8.1" customHeight="1">
      <c r="A45" s="174" t="s">
        <v>85</v>
      </c>
      <c r="B45" s="1132">
        <v>79682</v>
      </c>
      <c r="C45" s="1104">
        <v>20657</v>
      </c>
      <c r="D45" s="1104">
        <v>8841</v>
      </c>
      <c r="E45" s="1104">
        <v>93459</v>
      </c>
      <c r="F45" s="1104">
        <v>6740</v>
      </c>
      <c r="G45" s="1104">
        <v>35962</v>
      </c>
      <c r="H45" s="1104">
        <v>76728</v>
      </c>
      <c r="I45" s="1104">
        <v>4093</v>
      </c>
      <c r="J45" s="1104">
        <v>59513</v>
      </c>
      <c r="K45" s="1104">
        <v>15728</v>
      </c>
      <c r="L45" s="1104">
        <v>42442</v>
      </c>
      <c r="M45" s="1104">
        <v>17447</v>
      </c>
      <c r="N45" s="1104">
        <v>12293</v>
      </c>
      <c r="O45" s="1104">
        <v>10634</v>
      </c>
      <c r="P45" s="1104">
        <v>62191</v>
      </c>
      <c r="Q45" s="796">
        <f>SUM(B45:P45)</f>
        <v>546410</v>
      </c>
      <c r="R45" s="1104">
        <v>28646</v>
      </c>
      <c r="S45" s="918">
        <f>Q45+R45</f>
        <v>575056</v>
      </c>
      <c r="T45" s="1104">
        <v>45558</v>
      </c>
      <c r="U45" s="918">
        <f>S45+T45</f>
        <v>620614</v>
      </c>
      <c r="V45" s="278" t="s">
        <v>85</v>
      </c>
    </row>
    <row r="46" spans="1:22" s="31" customFormat="1" ht="8.1" customHeight="1">
      <c r="A46" s="1094"/>
      <c r="B46" s="1101">
        <f t="shared" ref="B46:S46" si="2">(B45/$S45)*100</f>
        <v>13.856389638574329</v>
      </c>
      <c r="C46" s="1101">
        <f t="shared" si="2"/>
        <v>3.5921718928243509</v>
      </c>
      <c r="D46" s="1101">
        <f t="shared" si="2"/>
        <v>1.5374154864917504</v>
      </c>
      <c r="E46" s="1101">
        <f t="shared" si="2"/>
        <v>16.252156311733117</v>
      </c>
      <c r="F46" s="1101">
        <f t="shared" si="2"/>
        <v>1.1720597646142288</v>
      </c>
      <c r="G46" s="1101">
        <f t="shared" si="2"/>
        <v>6.2536518182576994</v>
      </c>
      <c r="H46" s="1101">
        <f t="shared" si="2"/>
        <v>13.342700536991181</v>
      </c>
      <c r="I46" s="1101">
        <f t="shared" si="2"/>
        <v>0.71175676803650434</v>
      </c>
      <c r="J46" s="1101">
        <f t="shared" si="2"/>
        <v>10.34907904621463</v>
      </c>
      <c r="K46" s="1101">
        <f t="shared" si="2"/>
        <v>2.73503797890988</v>
      </c>
      <c r="L46" s="1101">
        <f t="shared" si="2"/>
        <v>7.3804985949194517</v>
      </c>
      <c r="M46" s="1101">
        <f t="shared" si="2"/>
        <v>3.0339653877187613</v>
      </c>
      <c r="N46" s="1101">
        <f t="shared" si="2"/>
        <v>2.1377048496146465</v>
      </c>
      <c r="O46" s="1101">
        <f t="shared" si="2"/>
        <v>1.8492112072563367</v>
      </c>
      <c r="P46" s="1101">
        <f t="shared" si="2"/>
        <v>10.81477282212515</v>
      </c>
      <c r="Q46" s="1101">
        <f t="shared" si="2"/>
        <v>95.018572104282015</v>
      </c>
      <c r="R46" s="1101">
        <f t="shared" si="2"/>
        <v>4.9814278957179825</v>
      </c>
      <c r="S46" s="1101">
        <f t="shared" si="2"/>
        <v>100</v>
      </c>
      <c r="T46" s="1133"/>
      <c r="U46" s="1133"/>
      <c r="V46" s="1103"/>
    </row>
    <row r="47" spans="1:22" s="223" customFormat="1" ht="8.1" customHeight="1">
      <c r="A47" s="554" t="s">
        <v>81</v>
      </c>
      <c r="B47" s="1132">
        <v>84904</v>
      </c>
      <c r="C47" s="1104">
        <v>21607</v>
      </c>
      <c r="D47" s="1104">
        <v>9561</v>
      </c>
      <c r="E47" s="1104">
        <v>99671</v>
      </c>
      <c r="F47" s="1104">
        <v>7412</v>
      </c>
      <c r="G47" s="1104">
        <v>38554</v>
      </c>
      <c r="H47" s="1104">
        <v>81219</v>
      </c>
      <c r="I47" s="1104">
        <v>4339</v>
      </c>
      <c r="J47" s="1104">
        <v>64006</v>
      </c>
      <c r="K47" s="1104">
        <v>16711</v>
      </c>
      <c r="L47" s="1104">
        <v>44078</v>
      </c>
      <c r="M47" s="1104">
        <v>18882</v>
      </c>
      <c r="N47" s="1104">
        <v>12930</v>
      </c>
      <c r="O47" s="1104">
        <v>11360</v>
      </c>
      <c r="P47" s="1104">
        <v>64191</v>
      </c>
      <c r="Q47" s="796">
        <f>SUM(B47:P47)</f>
        <v>579425</v>
      </c>
      <c r="R47" s="1104">
        <v>27672</v>
      </c>
      <c r="S47" s="918">
        <f>Q47+R47</f>
        <v>607097</v>
      </c>
      <c r="T47" s="1104">
        <v>49143</v>
      </c>
      <c r="U47" s="918">
        <f>S47+T47</f>
        <v>656240</v>
      </c>
      <c r="V47" s="1140" t="s">
        <v>81</v>
      </c>
    </row>
    <row r="48" spans="1:22" s="31" customFormat="1" ht="8.1" customHeight="1">
      <c r="A48" s="1094"/>
      <c r="B48" s="1101">
        <f t="shared" ref="B48:S48" si="3">(B47/$S47)*100</f>
        <v>13.98524453258705</v>
      </c>
      <c r="C48" s="1101">
        <f t="shared" si="3"/>
        <v>3.5590688143739801</v>
      </c>
      <c r="D48" s="1101">
        <f t="shared" si="3"/>
        <v>1.5748718903239516</v>
      </c>
      <c r="E48" s="1101">
        <f t="shared" si="3"/>
        <v>16.417640014692875</v>
      </c>
      <c r="F48" s="1101">
        <f t="shared" si="3"/>
        <v>1.2208922132706963</v>
      </c>
      <c r="G48" s="1101">
        <f t="shared" si="3"/>
        <v>6.3505502415594215</v>
      </c>
      <c r="H48" s="1101">
        <f t="shared" si="3"/>
        <v>13.378257510743751</v>
      </c>
      <c r="I48" s="1101">
        <f t="shared" si="3"/>
        <v>0.71471280536718185</v>
      </c>
      <c r="J48" s="1101">
        <f t="shared" si="3"/>
        <v>10.54296100952566</v>
      </c>
      <c r="K48" s="1101">
        <f t="shared" si="3"/>
        <v>2.7526079028557215</v>
      </c>
      <c r="L48" s="1101">
        <f t="shared" si="3"/>
        <v>7.2604542601923576</v>
      </c>
      <c r="M48" s="1101">
        <f t="shared" si="3"/>
        <v>3.1102113830244589</v>
      </c>
      <c r="N48" s="1101">
        <f t="shared" si="3"/>
        <v>2.1298079219630472</v>
      </c>
      <c r="O48" s="1101">
        <f t="shared" si="3"/>
        <v>1.8712001541763508</v>
      </c>
      <c r="P48" s="1101">
        <f t="shared" si="3"/>
        <v>10.573433899360399</v>
      </c>
      <c r="Q48" s="1101">
        <f t="shared" si="3"/>
        <v>95.441914554016904</v>
      </c>
      <c r="R48" s="1101">
        <f t="shared" si="3"/>
        <v>4.5580854459830968</v>
      </c>
      <c r="S48" s="1101">
        <f t="shared" si="3"/>
        <v>100</v>
      </c>
      <c r="T48" s="1133"/>
      <c r="U48" s="1133"/>
      <c r="V48" s="1103"/>
    </row>
    <row r="49" spans="1:27" s="223" customFormat="1" ht="8.1" customHeight="1">
      <c r="A49" s="174" t="s">
        <v>190</v>
      </c>
      <c r="B49" s="1104">
        <v>88206</v>
      </c>
      <c r="C49" s="1104">
        <v>23051</v>
      </c>
      <c r="D49" s="1104">
        <v>9907</v>
      </c>
      <c r="E49" s="1104">
        <v>109651</v>
      </c>
      <c r="F49" s="1104">
        <v>8402</v>
      </c>
      <c r="G49" s="1104">
        <v>41235</v>
      </c>
      <c r="H49" s="1104">
        <v>86650</v>
      </c>
      <c r="I49" s="1104">
        <v>4608</v>
      </c>
      <c r="J49" s="1104">
        <v>69409</v>
      </c>
      <c r="K49" s="1104">
        <v>18456</v>
      </c>
      <c r="L49" s="1104">
        <v>45790</v>
      </c>
      <c r="M49" s="1104">
        <v>20552</v>
      </c>
      <c r="N49" s="1104">
        <v>13659</v>
      </c>
      <c r="O49" s="1104">
        <v>12080</v>
      </c>
      <c r="P49" s="1104">
        <v>66265</v>
      </c>
      <c r="Q49" s="796">
        <f>SUM(B49:P49)</f>
        <v>617921</v>
      </c>
      <c r="R49" s="1104">
        <v>28421</v>
      </c>
      <c r="S49" s="918">
        <f>Q49+R49</f>
        <v>646342</v>
      </c>
      <c r="T49" s="1104">
        <v>51126</v>
      </c>
      <c r="U49" s="918">
        <f>S49+T49</f>
        <v>697468</v>
      </c>
      <c r="V49" s="278" t="s">
        <v>190</v>
      </c>
    </row>
    <row r="50" spans="1:27" s="31" customFormat="1" ht="8.1" customHeight="1">
      <c r="A50" s="1094"/>
      <c r="B50" s="1101">
        <f t="shared" ref="B50:S50" si="4">(B49/$S49)*100</f>
        <v>13.646954708188543</v>
      </c>
      <c r="C50" s="1101">
        <f t="shared" si="4"/>
        <v>3.5663781713086879</v>
      </c>
      <c r="D50" s="1101">
        <f t="shared" si="4"/>
        <v>1.5327798595789845</v>
      </c>
      <c r="E50" s="1101">
        <f t="shared" si="4"/>
        <v>16.964857614080472</v>
      </c>
      <c r="F50" s="1101">
        <f t="shared" si="4"/>
        <v>1.2999309962837011</v>
      </c>
      <c r="G50" s="1101">
        <f t="shared" si="4"/>
        <v>6.3797494205853873</v>
      </c>
      <c r="H50" s="1101">
        <f t="shared" si="4"/>
        <v>13.406215285406178</v>
      </c>
      <c r="I50" s="1101">
        <f t="shared" si="4"/>
        <v>0.71293525718582429</v>
      </c>
      <c r="J50" s="1101">
        <f t="shared" si="4"/>
        <v>10.738742028214165</v>
      </c>
      <c r="K50" s="1101">
        <f t="shared" si="4"/>
        <v>2.8554542332078063</v>
      </c>
      <c r="L50" s="1101">
        <f t="shared" si="4"/>
        <v>7.0844846845787526</v>
      </c>
      <c r="M50" s="1101">
        <f t="shared" si="4"/>
        <v>3.1797407564416362</v>
      </c>
      <c r="N50" s="1101">
        <f t="shared" si="4"/>
        <v>2.11327749086397</v>
      </c>
      <c r="O50" s="1101">
        <f t="shared" si="4"/>
        <v>1.8689795804697822</v>
      </c>
      <c r="P50" s="1101">
        <f t="shared" si="4"/>
        <v>10.25231224336342</v>
      </c>
      <c r="Q50" s="1101">
        <f t="shared" si="4"/>
        <v>95.602792329757307</v>
      </c>
      <c r="R50" s="1101">
        <f t="shared" si="4"/>
        <v>4.3972076702426888</v>
      </c>
      <c r="S50" s="1101">
        <f t="shared" si="4"/>
        <v>100</v>
      </c>
      <c r="T50" s="1133"/>
      <c r="U50" s="1133"/>
      <c r="V50" s="1103"/>
    </row>
    <row r="51" spans="1:27" s="223" customFormat="1" ht="8.1" customHeight="1">
      <c r="A51" s="174" t="s">
        <v>731</v>
      </c>
      <c r="B51" s="1104">
        <v>90332</v>
      </c>
      <c r="C51" s="1104">
        <v>24279</v>
      </c>
      <c r="D51" s="1104">
        <v>10593</v>
      </c>
      <c r="E51" s="1104">
        <v>120567</v>
      </c>
      <c r="F51" s="1104">
        <v>9291</v>
      </c>
      <c r="G51" s="1104">
        <v>44709</v>
      </c>
      <c r="H51" s="1104">
        <v>92457</v>
      </c>
      <c r="I51" s="1104">
        <v>4902</v>
      </c>
      <c r="J51" s="1104">
        <v>75761</v>
      </c>
      <c r="K51" s="1104">
        <v>21180</v>
      </c>
      <c r="L51" s="1104">
        <v>47587</v>
      </c>
      <c r="M51" s="1104">
        <v>22099</v>
      </c>
      <c r="N51" s="1104">
        <v>14718</v>
      </c>
      <c r="O51" s="1104">
        <v>12540</v>
      </c>
      <c r="P51" s="1104">
        <v>68416</v>
      </c>
      <c r="Q51" s="796">
        <f>SUM(B51:P51)</f>
        <v>659431</v>
      </c>
      <c r="R51" s="1104">
        <v>29062</v>
      </c>
      <c r="S51" s="918">
        <f>Q51+R51</f>
        <v>688493</v>
      </c>
      <c r="T51" s="1104">
        <v>58267</v>
      </c>
      <c r="U51" s="918">
        <f>S51+T51</f>
        <v>746760</v>
      </c>
      <c r="V51" s="278" t="s">
        <v>731</v>
      </c>
    </row>
    <row r="52" spans="1:27" s="31" customFormat="1" ht="8.1" customHeight="1">
      <c r="A52" s="1094"/>
      <c r="B52" s="1101">
        <f t="shared" ref="B52:S52" si="5">(B51/$S51)*100</f>
        <v>13.120249588594218</v>
      </c>
      <c r="C52" s="1101">
        <f t="shared" si="5"/>
        <v>3.5263975087618902</v>
      </c>
      <c r="D52" s="1101">
        <f t="shared" si="5"/>
        <v>1.5385777342689033</v>
      </c>
      <c r="E52" s="1101">
        <f t="shared" si="5"/>
        <v>17.511724883186901</v>
      </c>
      <c r="F52" s="1101">
        <f t="shared" si="5"/>
        <v>1.3494690577827226</v>
      </c>
      <c r="G52" s="1101">
        <f t="shared" si="5"/>
        <v>6.4937479393399791</v>
      </c>
      <c r="H52" s="1101">
        <f t="shared" si="5"/>
        <v>13.428894701906918</v>
      </c>
      <c r="I52" s="1101">
        <f t="shared" si="5"/>
        <v>0.71198980962769409</v>
      </c>
      <c r="J52" s="1101">
        <f t="shared" si="5"/>
        <v>11.003888202203944</v>
      </c>
      <c r="K52" s="1101">
        <f t="shared" si="5"/>
        <v>3.0762839999825706</v>
      </c>
      <c r="L52" s="1101">
        <f t="shared" si="5"/>
        <v>6.9117623563347772</v>
      </c>
      <c r="M52" s="1101">
        <f t="shared" si="5"/>
        <v>3.2097639336928627</v>
      </c>
      <c r="N52" s="1101">
        <f t="shared" si="5"/>
        <v>2.1377123659935542</v>
      </c>
      <c r="O52" s="1101">
        <f t="shared" si="5"/>
        <v>1.8213692804429384</v>
      </c>
      <c r="P52" s="1101">
        <f t="shared" si="5"/>
        <v>9.9370654458360512</v>
      </c>
      <c r="Q52" s="1101">
        <f t="shared" si="5"/>
        <v>95.778896807955931</v>
      </c>
      <c r="R52" s="1101">
        <f t="shared" si="5"/>
        <v>4.2211031920440734</v>
      </c>
      <c r="S52" s="1101">
        <f t="shared" si="5"/>
        <v>100</v>
      </c>
      <c r="T52" s="1133"/>
      <c r="U52" s="1133"/>
      <c r="V52" s="1103"/>
    </row>
    <row r="53" spans="1:27" s="223" customFormat="1" ht="8.1" customHeight="1">
      <c r="A53" s="174" t="s">
        <v>840</v>
      </c>
      <c r="B53" s="1104">
        <v>91656</v>
      </c>
      <c r="C53" s="1104">
        <v>25779</v>
      </c>
      <c r="D53" s="1104">
        <v>11584</v>
      </c>
      <c r="E53" s="1104">
        <v>132994</v>
      </c>
      <c r="F53" s="1104">
        <v>10126</v>
      </c>
      <c r="G53" s="1104">
        <v>48305</v>
      </c>
      <c r="H53" s="1104">
        <v>98173</v>
      </c>
      <c r="I53" s="1104">
        <v>5220</v>
      </c>
      <c r="J53" s="1104">
        <v>80514</v>
      </c>
      <c r="K53" s="1104">
        <v>23110</v>
      </c>
      <c r="L53" s="1104">
        <v>49509</v>
      </c>
      <c r="M53" s="1104">
        <v>23542</v>
      </c>
      <c r="N53" s="1104">
        <v>15645</v>
      </c>
      <c r="O53" s="1104">
        <v>13137</v>
      </c>
      <c r="P53" s="1104">
        <v>70642</v>
      </c>
      <c r="Q53" s="796">
        <f>SUM(B53:P53)</f>
        <v>699936</v>
      </c>
      <c r="R53" s="1104">
        <v>29960</v>
      </c>
      <c r="S53" s="918">
        <f>Q53+R53</f>
        <v>729896</v>
      </c>
      <c r="T53" s="1104">
        <v>58705</v>
      </c>
      <c r="U53" s="918">
        <f>S53+T53</f>
        <v>788601</v>
      </c>
      <c r="V53" s="278" t="s">
        <v>840</v>
      </c>
    </row>
    <row r="54" spans="1:27" s="31" customFormat="1" ht="8.1" customHeight="1">
      <c r="A54" s="1094"/>
      <c r="B54" s="1101">
        <f t="shared" ref="B54:S54" si="6">(B53/$S53)*100</f>
        <v>12.55740543858303</v>
      </c>
      <c r="C54" s="1101">
        <f t="shared" si="6"/>
        <v>3.531873033966483</v>
      </c>
      <c r="D54" s="1101">
        <f t="shared" si="6"/>
        <v>1.5870754189637977</v>
      </c>
      <c r="E54" s="1101">
        <f t="shared" si="6"/>
        <v>18.220952026042067</v>
      </c>
      <c r="F54" s="1101">
        <f t="shared" si="6"/>
        <v>1.3873209333932506</v>
      </c>
      <c r="G54" s="1101">
        <f t="shared" si="6"/>
        <v>6.6180661354494337</v>
      </c>
      <c r="H54" s="1101">
        <f t="shared" si="6"/>
        <v>13.450272367570173</v>
      </c>
      <c r="I54" s="1101">
        <f t="shared" si="6"/>
        <v>0.71517038043776104</v>
      </c>
      <c r="J54" s="1101">
        <f t="shared" si="6"/>
        <v>11.03088659206243</v>
      </c>
      <c r="K54" s="1101">
        <f t="shared" si="6"/>
        <v>3.1662045003671757</v>
      </c>
      <c r="L54" s="1101">
        <f t="shared" si="6"/>
        <v>6.7830211427381437</v>
      </c>
      <c r="M54" s="1101">
        <f t="shared" si="6"/>
        <v>3.2253910146103006</v>
      </c>
      <c r="N54" s="1101">
        <f t="shared" si="6"/>
        <v>2.1434560540131744</v>
      </c>
      <c r="O54" s="1101">
        <f t="shared" si="6"/>
        <v>1.7998454574350318</v>
      </c>
      <c r="P54" s="1101">
        <f t="shared" si="6"/>
        <v>9.6783651369510171</v>
      </c>
      <c r="Q54" s="1101">
        <f t="shared" si="6"/>
        <v>95.895305632583273</v>
      </c>
      <c r="R54" s="1101">
        <f t="shared" si="6"/>
        <v>4.1046943674167284</v>
      </c>
      <c r="S54" s="1101">
        <f t="shared" si="6"/>
        <v>100</v>
      </c>
      <c r="T54" s="1133"/>
      <c r="U54" s="1133"/>
      <c r="V54" s="1103"/>
    </row>
    <row r="55" spans="1:27" s="223" customFormat="1" ht="8.1" customHeight="1">
      <c r="A55" s="261" t="s">
        <v>1019</v>
      </c>
      <c r="B55" s="1104">
        <v>95151</v>
      </c>
      <c r="C55" s="1104">
        <v>27419</v>
      </c>
      <c r="D55" s="1104">
        <v>12127</v>
      </c>
      <c r="E55" s="1104">
        <v>144653</v>
      </c>
      <c r="F55" s="1104">
        <v>10585</v>
      </c>
      <c r="G55" s="1104">
        <v>52209</v>
      </c>
      <c r="H55" s="1104">
        <v>104776</v>
      </c>
      <c r="I55" s="1104">
        <v>5570</v>
      </c>
      <c r="J55" s="1104">
        <v>85382</v>
      </c>
      <c r="K55" s="1104">
        <v>24790</v>
      </c>
      <c r="L55" s="1104">
        <v>51615</v>
      </c>
      <c r="M55" s="1104">
        <v>25165</v>
      </c>
      <c r="N55" s="1104">
        <v>16781</v>
      </c>
      <c r="O55" s="1104">
        <v>13802</v>
      </c>
      <c r="P55" s="1104">
        <v>72955</v>
      </c>
      <c r="Q55" s="796">
        <f>SUM(B55:P55)</f>
        <v>742980</v>
      </c>
      <c r="R55" s="1104">
        <v>31156</v>
      </c>
      <c r="S55" s="918">
        <f>Q55+R55</f>
        <v>774136</v>
      </c>
      <c r="T55" s="1104">
        <v>51592</v>
      </c>
      <c r="U55" s="918">
        <f>S55+T55</f>
        <v>825728</v>
      </c>
      <c r="V55" s="278" t="s">
        <v>1019</v>
      </c>
    </row>
    <row r="56" spans="1:27" s="31" customFormat="1" ht="8.1" customHeight="1">
      <c r="A56" s="1094"/>
      <c r="B56" s="1101">
        <f t="shared" ref="B56:S56" si="7">(B55/$S55)*100</f>
        <v>12.291251149668792</v>
      </c>
      <c r="C56" s="1101">
        <f t="shared" si="7"/>
        <v>3.5418841133857617</v>
      </c>
      <c r="D56" s="1101">
        <f t="shared" si="7"/>
        <v>1.5665206113654448</v>
      </c>
      <c r="E56" s="1101">
        <f t="shared" si="7"/>
        <v>18.685734806287268</v>
      </c>
      <c r="F56" s="1101">
        <f t="shared" si="7"/>
        <v>1.3673308049231658</v>
      </c>
      <c r="G56" s="1101">
        <f t="shared" si="7"/>
        <v>6.7441638161770028</v>
      </c>
      <c r="H56" s="1101">
        <f t="shared" si="7"/>
        <v>13.53457273657342</v>
      </c>
      <c r="I56" s="1101">
        <f t="shared" si="7"/>
        <v>0.71951181704506706</v>
      </c>
      <c r="J56" s="1101">
        <f t="shared" si="7"/>
        <v>11.029328180061384</v>
      </c>
      <c r="K56" s="1101">
        <f t="shared" si="7"/>
        <v>3.2022797027912406</v>
      </c>
      <c r="L56" s="1101">
        <f t="shared" si="7"/>
        <v>6.6674331125280322</v>
      </c>
      <c r="M56" s="1101">
        <f t="shared" si="7"/>
        <v>3.2507208035797328</v>
      </c>
      <c r="N56" s="1101">
        <f t="shared" si="7"/>
        <v>2.1677069662178221</v>
      </c>
      <c r="O56" s="1101">
        <f t="shared" si="7"/>
        <v>1.7828908615540422</v>
      </c>
      <c r="P56" s="1101">
        <f t="shared" si="7"/>
        <v>9.4240546880651461</v>
      </c>
      <c r="Q56" s="1101">
        <f t="shared" si="7"/>
        <v>95.975384170223322</v>
      </c>
      <c r="R56" s="1101">
        <f t="shared" si="7"/>
        <v>4.0246158297766801</v>
      </c>
      <c r="S56" s="1101">
        <f t="shared" si="7"/>
        <v>100</v>
      </c>
      <c r="T56" s="1133"/>
      <c r="U56" s="1133"/>
      <c r="V56" s="1103"/>
    </row>
    <row r="57" spans="1:27" s="223" customFormat="1" ht="8.1" customHeight="1">
      <c r="A57" s="1106" t="s">
        <v>1070</v>
      </c>
      <c r="B57" s="1104">
        <v>97480</v>
      </c>
      <c r="C57" s="1104">
        <v>29170</v>
      </c>
      <c r="D57" s="1104">
        <v>13290</v>
      </c>
      <c r="E57" s="1104">
        <v>159568</v>
      </c>
      <c r="F57" s="1104">
        <v>11243</v>
      </c>
      <c r="G57" s="1104">
        <v>56698</v>
      </c>
      <c r="H57" s="1104">
        <v>111426</v>
      </c>
      <c r="I57" s="1104">
        <v>5950</v>
      </c>
      <c r="J57" s="1104">
        <v>90475</v>
      </c>
      <c r="K57" s="1104">
        <v>26719</v>
      </c>
      <c r="L57" s="1104">
        <v>53888</v>
      </c>
      <c r="M57" s="1104">
        <v>27637</v>
      </c>
      <c r="N57" s="1104">
        <v>18125</v>
      </c>
      <c r="O57" s="1104">
        <v>14517</v>
      </c>
      <c r="P57" s="1104">
        <v>75352</v>
      </c>
      <c r="Q57" s="796">
        <f>SUM(B57:P57)</f>
        <v>791538</v>
      </c>
      <c r="R57" s="1104">
        <v>33324</v>
      </c>
      <c r="S57" s="918">
        <f>Q57+R57</f>
        <v>824862</v>
      </c>
      <c r="T57" s="1104">
        <v>53548</v>
      </c>
      <c r="U57" s="918">
        <f>S57+T57</f>
        <v>878410</v>
      </c>
      <c r="V57" s="1141" t="s">
        <v>1070</v>
      </c>
    </row>
    <row r="58" spans="1:27" s="31" customFormat="1" ht="8.1" customHeight="1">
      <c r="A58" s="1094"/>
      <c r="B58" s="1101">
        <f t="shared" ref="B58:S60" si="8">(B57/$S57)*100</f>
        <v>11.817734360414226</v>
      </c>
      <c r="C58" s="1101">
        <f t="shared" si="8"/>
        <v>3.5363491105178806</v>
      </c>
      <c r="D58" s="1101">
        <f t="shared" si="8"/>
        <v>1.6111785971471591</v>
      </c>
      <c r="E58" s="1101">
        <f t="shared" si="8"/>
        <v>19.344811616973505</v>
      </c>
      <c r="F58" s="1101">
        <f t="shared" si="8"/>
        <v>1.3630158741704674</v>
      </c>
      <c r="G58" s="1101">
        <f t="shared" si="8"/>
        <v>6.8736346200940286</v>
      </c>
      <c r="H58" s="1101">
        <f t="shared" si="8"/>
        <v>13.50844141201801</v>
      </c>
      <c r="I58" s="1101">
        <f t="shared" si="8"/>
        <v>0.72133278051358896</v>
      </c>
      <c r="J58" s="1101">
        <f t="shared" si="8"/>
        <v>10.968501397809574</v>
      </c>
      <c r="K58" s="1101">
        <f t="shared" si="8"/>
        <v>3.2392084979063167</v>
      </c>
      <c r="L58" s="1101">
        <f t="shared" si="8"/>
        <v>6.5329715758514766</v>
      </c>
      <c r="M58" s="1101">
        <f t="shared" si="8"/>
        <v>3.350499841185556</v>
      </c>
      <c r="N58" s="1101">
        <f t="shared" si="8"/>
        <v>2.197337251564504</v>
      </c>
      <c r="O58" s="1101">
        <f t="shared" si="8"/>
        <v>1.7599307520530707</v>
      </c>
      <c r="P58" s="1101">
        <f t="shared" si="8"/>
        <v>9.1351038113041927</v>
      </c>
      <c r="Q58" s="1101">
        <f t="shared" si="8"/>
        <v>95.960051499523559</v>
      </c>
      <c r="R58" s="1101">
        <f t="shared" si="8"/>
        <v>4.0399485004764433</v>
      </c>
      <c r="S58" s="1101">
        <f t="shared" si="8"/>
        <v>100</v>
      </c>
      <c r="T58" s="1133"/>
      <c r="U58" s="1133"/>
      <c r="V58" s="1103"/>
    </row>
    <row r="59" spans="1:27" s="223" customFormat="1" ht="8.1" customHeight="1">
      <c r="A59" s="1106" t="s">
        <v>1193</v>
      </c>
      <c r="B59" s="1104">
        <v>99228</v>
      </c>
      <c r="C59" s="1104">
        <v>30950</v>
      </c>
      <c r="D59" s="1104">
        <v>14997</v>
      </c>
      <c r="E59" s="1104">
        <v>178223</v>
      </c>
      <c r="F59" s="1104">
        <v>12742</v>
      </c>
      <c r="G59" s="1104">
        <v>61552</v>
      </c>
      <c r="H59" s="1104">
        <v>118665</v>
      </c>
      <c r="I59" s="1104">
        <v>6366</v>
      </c>
      <c r="J59" s="1104">
        <v>95972</v>
      </c>
      <c r="K59" s="1104">
        <v>28787</v>
      </c>
      <c r="L59" s="1104">
        <v>56297</v>
      </c>
      <c r="M59" s="1104">
        <v>30796</v>
      </c>
      <c r="N59" s="1104">
        <v>20248</v>
      </c>
      <c r="O59" s="1104">
        <v>15612</v>
      </c>
      <c r="P59" s="1104">
        <v>77838</v>
      </c>
      <c r="Q59" s="796">
        <f>SUM(B59:P59)</f>
        <v>848273</v>
      </c>
      <c r="R59" s="1104">
        <v>35266</v>
      </c>
      <c r="S59" s="918">
        <f>Q59+R59</f>
        <v>883539</v>
      </c>
      <c r="T59" s="1104">
        <v>50891</v>
      </c>
      <c r="U59" s="918">
        <f>S59+T59</f>
        <v>934430</v>
      </c>
      <c r="V59" s="1141" t="s">
        <v>1193</v>
      </c>
    </row>
    <row r="60" spans="1:27" s="31" customFormat="1" ht="8.1" customHeight="1">
      <c r="A60" s="1094"/>
      <c r="B60" s="1101">
        <f t="shared" si="8"/>
        <v>11.230743634406631</v>
      </c>
      <c r="C60" s="1101">
        <f t="shared" si="8"/>
        <v>3.5029579905357884</v>
      </c>
      <c r="D60" s="1101">
        <f t="shared" si="8"/>
        <v>1.6973783839762593</v>
      </c>
      <c r="E60" s="1101">
        <f t="shared" si="8"/>
        <v>20.171492146922773</v>
      </c>
      <c r="F60" s="1101">
        <f t="shared" si="8"/>
        <v>1.4421547888661395</v>
      </c>
      <c r="G60" s="1101">
        <f t="shared" si="8"/>
        <v>6.9665289251521436</v>
      </c>
      <c r="H60" s="1101">
        <f t="shared" si="8"/>
        <v>13.430646524941173</v>
      </c>
      <c r="I60" s="1101">
        <f t="shared" si="8"/>
        <v>0.7205114884572158</v>
      </c>
      <c r="J60" s="1101">
        <f t="shared" si="8"/>
        <v>10.862225662930555</v>
      </c>
      <c r="K60" s="1101">
        <f t="shared" si="8"/>
        <v>3.2581470653813809</v>
      </c>
      <c r="L60" s="1101">
        <f t="shared" si="8"/>
        <v>6.3717617445296693</v>
      </c>
      <c r="M60" s="1101">
        <f t="shared" si="8"/>
        <v>3.4855280864794875</v>
      </c>
      <c r="N60" s="1101">
        <f t="shared" si="8"/>
        <v>2.2916928398180501</v>
      </c>
      <c r="O60" s="1101">
        <f t="shared" si="8"/>
        <v>1.7669848190062918</v>
      </c>
      <c r="P60" s="1101">
        <f t="shared" si="8"/>
        <v>8.8097978697035444</v>
      </c>
      <c r="Q60" s="1101">
        <f t="shared" si="8"/>
        <v>96.00855197110711</v>
      </c>
      <c r="R60" s="1101">
        <f t="shared" si="8"/>
        <v>3.9914480288928953</v>
      </c>
      <c r="S60" s="1101">
        <f t="shared" si="8"/>
        <v>100</v>
      </c>
      <c r="T60" s="1133"/>
      <c r="U60" s="1133"/>
      <c r="V60" s="1103"/>
    </row>
    <row r="61" spans="1:27" s="223" customFormat="1" ht="8.1" customHeight="1">
      <c r="A61" s="174" t="s">
        <v>1225</v>
      </c>
      <c r="B61" s="1104">
        <v>101173</v>
      </c>
      <c r="C61" s="1104">
        <v>32879</v>
      </c>
      <c r="D61" s="1104">
        <v>16330</v>
      </c>
      <c r="E61" s="1104">
        <v>197765</v>
      </c>
      <c r="F61" s="1104">
        <v>13820</v>
      </c>
      <c r="G61" s="1104">
        <v>66951</v>
      </c>
      <c r="H61" s="1104">
        <v>127417</v>
      </c>
      <c r="I61" s="1104">
        <v>6820</v>
      </c>
      <c r="J61" s="1104">
        <v>102463</v>
      </c>
      <c r="K61" s="1104">
        <v>31413</v>
      </c>
      <c r="L61" s="1104">
        <v>58997</v>
      </c>
      <c r="M61" s="1104">
        <v>33615</v>
      </c>
      <c r="N61" s="1104">
        <v>22547</v>
      </c>
      <c r="O61" s="1104">
        <v>16804</v>
      </c>
      <c r="P61" s="1104">
        <v>80653</v>
      </c>
      <c r="Q61" s="796">
        <f>SUM(B61:P61)</f>
        <v>909647</v>
      </c>
      <c r="R61" s="1104">
        <v>38252</v>
      </c>
      <c r="S61" s="918">
        <f>Q61+R61</f>
        <v>947899</v>
      </c>
      <c r="T61" s="918">
        <v>40731</v>
      </c>
      <c r="U61" s="918">
        <f>S61+T61</f>
        <v>988630</v>
      </c>
      <c r="V61" s="278" t="s">
        <v>1225</v>
      </c>
    </row>
    <row r="62" spans="1:27" s="31" customFormat="1" ht="8.1" customHeight="1">
      <c r="A62" s="1094"/>
      <c r="B62" s="1101">
        <f t="shared" ref="B62:S68" si="9">(B61/$S61)*100</f>
        <v>10.673394528319999</v>
      </c>
      <c r="C62" s="1101">
        <f t="shared" si="9"/>
        <v>3.4686184920545329</v>
      </c>
      <c r="D62" s="1101">
        <f t="shared" si="9"/>
        <v>1.7227573823793463</v>
      </c>
      <c r="E62" s="1101">
        <f t="shared" si="9"/>
        <v>20.863509719917417</v>
      </c>
      <c r="F62" s="1101">
        <f t="shared" si="9"/>
        <v>1.4579612384863789</v>
      </c>
      <c r="G62" s="1101">
        <f t="shared" si="9"/>
        <v>7.0630942748119789</v>
      </c>
      <c r="H62" s="1101">
        <f t="shared" si="9"/>
        <v>13.442043930840732</v>
      </c>
      <c r="I62" s="1101">
        <f t="shared" si="9"/>
        <v>0.71948593679284401</v>
      </c>
      <c r="J62" s="1101">
        <f t="shared" si="9"/>
        <v>10.809484976774952</v>
      </c>
      <c r="K62" s="1101">
        <f t="shared" si="9"/>
        <v>3.313960664585573</v>
      </c>
      <c r="L62" s="1101">
        <f t="shared" si="9"/>
        <v>6.2239753391447818</v>
      </c>
      <c r="M62" s="1101">
        <f t="shared" si="9"/>
        <v>3.5462638952040249</v>
      </c>
      <c r="N62" s="1101">
        <f t="shared" si="9"/>
        <v>2.3786289467548758</v>
      </c>
      <c r="O62" s="1101">
        <f t="shared" si="9"/>
        <v>1.7727627099511656</v>
      </c>
      <c r="P62" s="1101">
        <f t="shared" si="9"/>
        <v>8.508606929641239</v>
      </c>
      <c r="Q62" s="1101">
        <f t="shared" si="9"/>
        <v>95.964548965659844</v>
      </c>
      <c r="R62" s="1101">
        <f t="shared" si="9"/>
        <v>4.0354510343401566</v>
      </c>
      <c r="S62" s="1101">
        <f t="shared" si="9"/>
        <v>100</v>
      </c>
      <c r="T62" s="1133"/>
      <c r="U62" s="1133"/>
      <c r="V62" s="1103"/>
      <c r="W62" s="63"/>
      <c r="X62" s="63"/>
      <c r="Y62" s="63"/>
      <c r="Z62" s="63"/>
      <c r="AA62" s="63"/>
    </row>
    <row r="63" spans="1:27" s="223" customFormat="1" ht="8.1" customHeight="1">
      <c r="A63" s="174" t="s">
        <v>1350</v>
      </c>
      <c r="B63" s="1104">
        <v>104688</v>
      </c>
      <c r="C63" s="1104">
        <v>34974</v>
      </c>
      <c r="D63" s="1104">
        <v>17474</v>
      </c>
      <c r="E63" s="1104">
        <v>224270</v>
      </c>
      <c r="F63" s="1104">
        <v>15089</v>
      </c>
      <c r="G63" s="1104">
        <v>73595</v>
      </c>
      <c r="H63" s="1104">
        <v>136914</v>
      </c>
      <c r="I63" s="1104">
        <v>7316</v>
      </c>
      <c r="J63" s="1104">
        <v>109208</v>
      </c>
      <c r="K63" s="1104">
        <v>33893</v>
      </c>
      <c r="L63" s="1104">
        <v>61936</v>
      </c>
      <c r="M63" s="1104">
        <v>36463</v>
      </c>
      <c r="N63" s="1104">
        <v>24127</v>
      </c>
      <c r="O63" s="1104">
        <v>17984</v>
      </c>
      <c r="P63" s="1104">
        <v>83598</v>
      </c>
      <c r="Q63" s="796">
        <f>SUM(B63:P63)</f>
        <v>981529</v>
      </c>
      <c r="R63" s="1104">
        <v>40909</v>
      </c>
      <c r="S63" s="918">
        <f>Q63+R63</f>
        <v>1022438</v>
      </c>
      <c r="T63" s="918">
        <v>46626</v>
      </c>
      <c r="U63" s="918">
        <f>S63+T63</f>
        <v>1069064</v>
      </c>
      <c r="V63" s="278" t="s">
        <v>1350</v>
      </c>
      <c r="W63" s="174"/>
      <c r="X63" s="1107"/>
      <c r="Y63" s="174"/>
      <c r="Z63" s="174"/>
      <c r="AA63" s="174"/>
    </row>
    <row r="64" spans="1:27" ht="8.1" customHeight="1">
      <c r="A64" s="1094"/>
      <c r="B64" s="1101">
        <f t="shared" si="9"/>
        <v>10.239056060122961</v>
      </c>
      <c r="C64" s="1101">
        <f t="shared" si="9"/>
        <v>3.4206475111449302</v>
      </c>
      <c r="D64" s="1101">
        <f t="shared" si="9"/>
        <v>1.7090522848329188</v>
      </c>
      <c r="E64" s="1101">
        <f t="shared" si="9"/>
        <v>21.934826365999697</v>
      </c>
      <c r="F64" s="1101">
        <f t="shared" si="9"/>
        <v>1.4757863068469677</v>
      </c>
      <c r="G64" s="1101">
        <f t="shared" si="9"/>
        <v>7.1979914674532841</v>
      </c>
      <c r="H64" s="1101">
        <f t="shared" si="9"/>
        <v>13.390934218016154</v>
      </c>
      <c r="I64" s="1101">
        <f t="shared" si="9"/>
        <v>0.7155446100399242</v>
      </c>
      <c r="J64" s="1101">
        <f t="shared" si="9"/>
        <v>10.681136655718976</v>
      </c>
      <c r="K64" s="1101">
        <f t="shared" si="9"/>
        <v>3.3149198288795998</v>
      </c>
      <c r="L64" s="1101">
        <f t="shared" si="9"/>
        <v>6.05767782496347</v>
      </c>
      <c r="M64" s="1101">
        <f t="shared" si="9"/>
        <v>3.5662798135437059</v>
      </c>
      <c r="N64" s="1101">
        <f t="shared" si="9"/>
        <v>2.3597518871559937</v>
      </c>
      <c r="O64" s="1101">
        <f t="shared" si="9"/>
        <v>1.7589330599997259</v>
      </c>
      <c r="P64" s="1101">
        <f t="shared" si="9"/>
        <v>8.1763392988132289</v>
      </c>
      <c r="Q64" s="1101">
        <f t="shared" si="9"/>
        <v>95.998877193531541</v>
      </c>
      <c r="R64" s="1101">
        <f t="shared" si="9"/>
        <v>4.0011228064684605</v>
      </c>
      <c r="S64" s="1101">
        <f t="shared" si="9"/>
        <v>100</v>
      </c>
      <c r="T64" s="1133"/>
      <c r="U64" s="1133"/>
      <c r="V64" s="1103"/>
      <c r="W64" s="71"/>
      <c r="X64" s="613"/>
      <c r="Y64" s="71"/>
      <c r="Z64" s="71"/>
      <c r="AA64" s="71"/>
    </row>
    <row r="65" spans="1:27" s="438" customFormat="1" ht="9" customHeight="1">
      <c r="A65" s="174" t="s">
        <v>1466</v>
      </c>
      <c r="B65" s="1104">
        <v>107991</v>
      </c>
      <c r="C65" s="1104">
        <v>37146</v>
      </c>
      <c r="D65" s="1104">
        <v>18501</v>
      </c>
      <c r="E65" s="1104">
        <v>256118</v>
      </c>
      <c r="F65" s="1104">
        <v>16535</v>
      </c>
      <c r="G65" s="1104">
        <v>81139</v>
      </c>
      <c r="H65" s="1104">
        <v>148058</v>
      </c>
      <c r="I65" s="1104">
        <v>7870</v>
      </c>
      <c r="J65" s="1104">
        <v>117056</v>
      </c>
      <c r="K65" s="1104">
        <v>36394</v>
      </c>
      <c r="L65" s="1104">
        <v>65173</v>
      </c>
      <c r="M65" s="1104">
        <v>38795</v>
      </c>
      <c r="N65" s="1104">
        <v>25976</v>
      </c>
      <c r="O65" s="1104">
        <v>20105</v>
      </c>
      <c r="P65" s="1104">
        <v>86706</v>
      </c>
      <c r="Q65" s="796">
        <f>SUM(B65:P65)</f>
        <v>1063563</v>
      </c>
      <c r="R65" s="1104">
        <v>42231</v>
      </c>
      <c r="S65" s="918">
        <f>Q65+R65</f>
        <v>1105794</v>
      </c>
      <c r="T65" s="1104">
        <v>49412</v>
      </c>
      <c r="U65" s="918">
        <f>S65+T65</f>
        <v>1155206</v>
      </c>
      <c r="V65" s="278" t="s">
        <v>1466</v>
      </c>
      <c r="W65" s="484"/>
      <c r="X65" s="1108"/>
      <c r="Y65" s="484"/>
      <c r="Z65" s="484"/>
      <c r="AA65" s="484"/>
    </row>
    <row r="66" spans="1:27" ht="8.1" customHeight="1">
      <c r="A66" s="1094"/>
      <c r="B66" s="1101">
        <f t="shared" si="9"/>
        <v>9.765923852001368</v>
      </c>
      <c r="C66" s="1101">
        <f t="shared" si="9"/>
        <v>3.3592151883623895</v>
      </c>
      <c r="D66" s="1101">
        <f t="shared" si="9"/>
        <v>1.6730964356833189</v>
      </c>
      <c r="E66" s="1101">
        <f t="shared" si="9"/>
        <v>23.161456835540797</v>
      </c>
      <c r="F66" s="1101">
        <f t="shared" si="9"/>
        <v>1.4953056355885455</v>
      </c>
      <c r="G66" s="1101">
        <f t="shared" si="9"/>
        <v>7.3376234633213784</v>
      </c>
      <c r="H66" s="1101">
        <f t="shared" si="9"/>
        <v>13.389293123312299</v>
      </c>
      <c r="I66" s="1101">
        <f t="shared" si="9"/>
        <v>0.71170579692058378</v>
      </c>
      <c r="J66" s="1101">
        <f t="shared" si="9"/>
        <v>10.585696793435305</v>
      </c>
      <c r="K66" s="1101">
        <f t="shared" si="9"/>
        <v>3.2912097551623538</v>
      </c>
      <c r="L66" s="1101">
        <f t="shared" si="9"/>
        <v>5.8937740664174338</v>
      </c>
      <c r="M66" s="1101">
        <f t="shared" si="9"/>
        <v>3.5083388045151267</v>
      </c>
      <c r="N66" s="1101">
        <f t="shared" si="9"/>
        <v>2.349081293622501</v>
      </c>
      <c r="O66" s="1101">
        <f t="shared" si="9"/>
        <v>1.8181505777748839</v>
      </c>
      <c r="P66" s="1101">
        <f t="shared" si="9"/>
        <v>7.8410626210668539</v>
      </c>
      <c r="Q66" s="1101">
        <f t="shared" si="9"/>
        <v>96.180934242725129</v>
      </c>
      <c r="R66" s="1101">
        <f t="shared" si="9"/>
        <v>3.819065757274863</v>
      </c>
      <c r="S66" s="1101">
        <f t="shared" si="9"/>
        <v>100</v>
      </c>
      <c r="T66" s="1133"/>
      <c r="U66" s="1133"/>
      <c r="V66" s="1103"/>
      <c r="W66" s="71"/>
      <c r="X66" s="613"/>
      <c r="Y66" s="71"/>
      <c r="Z66" s="71"/>
      <c r="AA66" s="71"/>
    </row>
    <row r="67" spans="1:27" s="438" customFormat="1" ht="8.25" customHeight="1">
      <c r="A67" s="1324" t="s">
        <v>1550</v>
      </c>
      <c r="B67" s="1104">
        <v>112423</v>
      </c>
      <c r="C67" s="1104">
        <v>39383</v>
      </c>
      <c r="D67" s="1104">
        <v>18681</v>
      </c>
      <c r="E67" s="1104">
        <v>260728</v>
      </c>
      <c r="F67" s="1104">
        <v>16814</v>
      </c>
      <c r="G67" s="1104">
        <v>88169</v>
      </c>
      <c r="H67" s="1104">
        <v>154029</v>
      </c>
      <c r="I67" s="1104">
        <v>8007</v>
      </c>
      <c r="J67" s="1104">
        <v>121355</v>
      </c>
      <c r="K67" s="1104">
        <v>37521</v>
      </c>
      <c r="L67" s="1104">
        <v>68317</v>
      </c>
      <c r="M67" s="1104">
        <v>40906</v>
      </c>
      <c r="N67" s="1104">
        <v>27290</v>
      </c>
      <c r="O67" s="1104">
        <v>22109</v>
      </c>
      <c r="P67" s="1104">
        <v>89319</v>
      </c>
      <c r="Q67" s="796">
        <f>SUM(B67:P67)</f>
        <v>1105051</v>
      </c>
      <c r="R67" s="1104">
        <v>39546</v>
      </c>
      <c r="S67" s="918">
        <f>Q67+R67</f>
        <v>1144597</v>
      </c>
      <c r="T67" s="1104">
        <v>55948</v>
      </c>
      <c r="U67" s="918">
        <f>S67+T67</f>
        <v>1200545</v>
      </c>
      <c r="V67" s="278" t="s">
        <v>1550</v>
      </c>
      <c r="W67" s="484"/>
      <c r="X67" s="484"/>
      <c r="Y67" s="484"/>
      <c r="Z67" s="484"/>
      <c r="AA67" s="484"/>
    </row>
    <row r="68" spans="1:27" ht="6.75" customHeight="1">
      <c r="A68" s="1094"/>
      <c r="B68" s="1101">
        <f>(B67/$S67)*100</f>
        <v>9.822059641952583</v>
      </c>
      <c r="C68" s="1101">
        <f t="shared" si="9"/>
        <v>3.4407743511471724</v>
      </c>
      <c r="D68" s="1101">
        <f t="shared" si="9"/>
        <v>1.6321028274580485</v>
      </c>
      <c r="E68" s="1101">
        <f t="shared" si="9"/>
        <v>22.779021786707464</v>
      </c>
      <c r="F68" s="1101">
        <f t="shared" si="9"/>
        <v>1.4689886484063823</v>
      </c>
      <c r="G68" s="1101">
        <f t="shared" si="9"/>
        <v>7.7030605531903369</v>
      </c>
      <c r="H68" s="1101">
        <f t="shared" si="9"/>
        <v>13.457050822254471</v>
      </c>
      <c r="I68" s="1101">
        <f t="shared" si="9"/>
        <v>0.69954752633459638</v>
      </c>
      <c r="J68" s="1101">
        <f t="shared" si="9"/>
        <v>10.602421638358305</v>
      </c>
      <c r="K68" s="1101">
        <f t="shared" si="9"/>
        <v>3.2780970070688635</v>
      </c>
      <c r="L68" s="1101">
        <f t="shared" si="9"/>
        <v>5.9686509749719772</v>
      </c>
      <c r="M68" s="1101">
        <f t="shared" si="9"/>
        <v>3.5738342840318467</v>
      </c>
      <c r="N68" s="1101">
        <f t="shared" si="9"/>
        <v>2.3842452845848801</v>
      </c>
      <c r="O68" s="1101">
        <f t="shared" si="9"/>
        <v>1.9315968851919059</v>
      </c>
      <c r="P68" s="1101">
        <f t="shared" si="9"/>
        <v>7.8035325970625475</v>
      </c>
      <c r="Q68" s="1101">
        <f t="shared" si="9"/>
        <v>96.544984828721383</v>
      </c>
      <c r="R68" s="1101">
        <f t="shared" si="9"/>
        <v>3.4550151712786246</v>
      </c>
      <c r="S68" s="1101">
        <f t="shared" si="9"/>
        <v>100</v>
      </c>
      <c r="T68" s="1133"/>
      <c r="U68" s="1133"/>
      <c r="V68" s="1103"/>
      <c r="W68" s="1109"/>
      <c r="X68" s="71"/>
    </row>
    <row r="69" spans="1:27" s="438" customFormat="1" ht="10.5" customHeight="1">
      <c r="A69" s="174" t="s">
        <v>2087</v>
      </c>
      <c r="B69" s="1104">
        <v>115405</v>
      </c>
      <c r="C69" s="1104">
        <v>41643</v>
      </c>
      <c r="D69" s="1104">
        <v>18735</v>
      </c>
      <c r="E69" s="1104">
        <v>275764</v>
      </c>
      <c r="F69" s="1104">
        <v>17611</v>
      </c>
      <c r="G69" s="1104">
        <v>95824</v>
      </c>
      <c r="H69" s="1104">
        <v>164109</v>
      </c>
      <c r="I69" s="1104">
        <v>8556</v>
      </c>
      <c r="J69" s="1104">
        <v>128718</v>
      </c>
      <c r="K69" s="1104">
        <v>39139</v>
      </c>
      <c r="L69" s="1104">
        <v>71662</v>
      </c>
      <c r="M69" s="1104">
        <v>43424</v>
      </c>
      <c r="N69" s="1104">
        <v>28807</v>
      </c>
      <c r="O69" s="1104">
        <v>24308</v>
      </c>
      <c r="P69" s="1104">
        <v>92044</v>
      </c>
      <c r="Q69" s="796">
        <f>SUM(B69:P69)</f>
        <v>1165749</v>
      </c>
      <c r="R69" s="1104">
        <v>41497</v>
      </c>
      <c r="S69" s="918">
        <f>Q69+R69</f>
        <v>1207246</v>
      </c>
      <c r="T69" s="1104">
        <v>74873</v>
      </c>
      <c r="U69" s="918">
        <f>S69+T69</f>
        <v>1282119</v>
      </c>
      <c r="V69" s="278" t="s">
        <v>2087</v>
      </c>
      <c r="W69" s="484"/>
      <c r="X69" s="484"/>
    </row>
    <row r="70" spans="1:27" ht="8.25" customHeight="1" thickBot="1">
      <c r="A70" s="854"/>
      <c r="B70" s="1134">
        <f>(B69/$S69)*100</f>
        <v>9.5593607268112706</v>
      </c>
      <c r="C70" s="1134">
        <f t="shared" ref="C70:S70" si="10">(C69/$S69)*100</f>
        <v>3.4494212447173158</v>
      </c>
      <c r="D70" s="1134">
        <f t="shared" si="10"/>
        <v>1.5518792358806737</v>
      </c>
      <c r="E70" s="1134">
        <f t="shared" si="10"/>
        <v>22.842403288145082</v>
      </c>
      <c r="F70" s="1134">
        <f t="shared" si="10"/>
        <v>1.4587747650437441</v>
      </c>
      <c r="G70" s="1134">
        <f t="shared" si="10"/>
        <v>7.9374046383255781</v>
      </c>
      <c r="H70" s="1134">
        <f t="shared" si="10"/>
        <v>13.59366690798727</v>
      </c>
      <c r="I70" s="1134">
        <f t="shared" si="10"/>
        <v>0.70872050932452879</v>
      </c>
      <c r="J70" s="1134">
        <f t="shared" si="10"/>
        <v>10.6621185740106</v>
      </c>
      <c r="K70" s="1134">
        <f t="shared" si="10"/>
        <v>3.2420070143119131</v>
      </c>
      <c r="L70" s="1134">
        <f t="shared" si="10"/>
        <v>5.9359898479680195</v>
      </c>
      <c r="M70" s="1134">
        <f t="shared" si="10"/>
        <v>3.5969471010879306</v>
      </c>
      <c r="N70" s="1134">
        <f t="shared" si="10"/>
        <v>2.3861748144123069</v>
      </c>
      <c r="O70" s="1134">
        <f t="shared" si="10"/>
        <v>2.0135084315872653</v>
      </c>
      <c r="P70" s="1134">
        <f t="shared" si="10"/>
        <v>7.6242952968988922</v>
      </c>
      <c r="Q70" s="1134">
        <f t="shared" si="10"/>
        <v>96.562672396512397</v>
      </c>
      <c r="R70" s="1134">
        <f t="shared" si="10"/>
        <v>3.4373276034876077</v>
      </c>
      <c r="S70" s="1134">
        <f t="shared" si="10"/>
        <v>100</v>
      </c>
      <c r="T70" s="1135"/>
      <c r="U70" s="1135"/>
      <c r="V70" s="855"/>
      <c r="W70" s="71"/>
      <c r="X70" s="71"/>
    </row>
    <row r="71" spans="1:27" ht="12.75" customHeight="1">
      <c r="A71" s="78" t="s">
        <v>273</v>
      </c>
      <c r="B71" s="2285" t="s">
        <v>2088</v>
      </c>
      <c r="C71" s="2285"/>
      <c r="D71" s="2285"/>
      <c r="E71" s="2285"/>
      <c r="F71" s="2285"/>
      <c r="G71" s="2285"/>
      <c r="H71" s="2285"/>
      <c r="I71" s="2285"/>
      <c r="J71" s="2285"/>
      <c r="K71" s="2285"/>
      <c r="L71" s="2286" t="s">
        <v>2089</v>
      </c>
      <c r="M71" s="2287"/>
      <c r="N71" s="2287"/>
      <c r="O71" s="2287"/>
      <c r="P71" s="2288"/>
      <c r="Q71" s="2287"/>
      <c r="R71" s="2287"/>
      <c r="S71" s="2287"/>
      <c r="T71" s="2287"/>
      <c r="U71" s="2289" t="s">
        <v>1612</v>
      </c>
      <c r="V71" s="2289"/>
      <c r="W71" s="71"/>
      <c r="X71" s="71"/>
    </row>
    <row r="72" spans="1:27">
      <c r="H72" s="1110"/>
      <c r="W72" s="71"/>
      <c r="X72" s="71"/>
    </row>
    <row r="73" spans="1:27">
      <c r="H73" s="1110"/>
      <c r="W73" s="71"/>
      <c r="X73" s="71"/>
    </row>
    <row r="74" spans="1:27">
      <c r="H74" s="1111"/>
      <c r="W74" s="71"/>
      <c r="X74" s="71"/>
    </row>
    <row r="75" spans="1:27">
      <c r="H75" s="1111"/>
      <c r="W75" s="71"/>
      <c r="X75" s="71"/>
    </row>
    <row r="76" spans="1:27">
      <c r="H76" s="1112"/>
    </row>
    <row r="77" spans="1:27">
      <c r="H77" s="1112"/>
    </row>
    <row r="78" spans="1:27">
      <c r="H78" s="1111"/>
    </row>
    <row r="79" spans="1:27">
      <c r="H79" s="1111"/>
    </row>
    <row r="80" spans="1:27">
      <c r="H80" s="1111"/>
    </row>
    <row r="81" spans="8:8">
      <c r="H81" s="1111"/>
    </row>
    <row r="82" spans="8:8">
      <c r="H82" s="1111"/>
    </row>
    <row r="83" spans="8:8">
      <c r="H83" s="1111"/>
    </row>
    <row r="84" spans="8:8">
      <c r="H84" s="1112"/>
    </row>
  </sheetData>
  <customSheetViews>
    <customSheetView guid="{A374FC54-96E3-45F0-9C12-8450400C12DF}" scale="180">
      <pane xSplit="1" ySplit="4" topLeftCell="N68" activePane="bottomRight" state="frozen"/>
      <selection pane="bottomRight" activeCell="P73" sqref="P73"/>
      <pageMargins left="0.62992125984252001" right="0.511811023622047" top="0.31496062992126" bottom="0.31496062992126" header="0.25" footer="0"/>
      <pageSetup paperSize="132" firstPageNumber="46" orientation="portrait" useFirstPageNumber="1" r:id="rId1"/>
      <headerFooter>
        <oddFooter>&amp;C&amp;"Times New Roman,Regular"&amp;8&amp;P</oddFooter>
      </headerFooter>
    </customSheetView>
  </customSheetViews>
  <mergeCells count="11">
    <mergeCell ref="A1:K1"/>
    <mergeCell ref="U1:V1"/>
    <mergeCell ref="U2:V2"/>
    <mergeCell ref="L1:T1"/>
    <mergeCell ref="A3:A4"/>
    <mergeCell ref="V3:V4"/>
    <mergeCell ref="A5:C5"/>
    <mergeCell ref="B71:K71"/>
    <mergeCell ref="L71:O71"/>
    <mergeCell ref="P71:T71"/>
    <mergeCell ref="U71:V71"/>
  </mergeCells>
  <phoneticPr fontId="43" type="noConversion"/>
  <pageMargins left="0.62992125984252001" right="0.511811023622047" top="0.31496062992126" bottom="0.31496062992126" header="0.25" footer="0"/>
  <pageSetup paperSize="448" firstPageNumber="46" orientation="portrait" useFirstPageNumber="1" r:id="rId2"/>
  <headerFooter>
    <oddFooter>&amp;C&amp;"Times New Roman,Regular"&amp;8&amp;P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AA62"/>
  <sheetViews>
    <sheetView zoomScale="130" zoomScaleNormal="130" workbookViewId="0">
      <pane ySplit="4" topLeftCell="A14" activePane="bottomLeft" state="frozen"/>
      <selection activeCell="F85" sqref="F85"/>
      <selection pane="bottomLeft" activeCell="W22" sqref="W22"/>
    </sheetView>
  </sheetViews>
  <sheetFormatPr defaultColWidth="9.140625" defaultRowHeight="11.25"/>
  <cols>
    <col min="1" max="1" width="6.140625" style="8" customWidth="1"/>
    <col min="2" max="2" width="6.42578125" style="8" customWidth="1"/>
    <col min="3" max="3" width="6" style="8" customWidth="1"/>
    <col min="4" max="5" width="6.28515625" style="8" customWidth="1"/>
    <col min="6" max="6" width="6.140625" style="8" customWidth="1"/>
    <col min="7" max="7" width="5.5703125" style="8" customWidth="1"/>
    <col min="8" max="8" width="6.42578125" style="8" customWidth="1"/>
    <col min="9" max="9" width="5.42578125" style="8" customWidth="1"/>
    <col min="10" max="10" width="6" style="8" customWidth="1"/>
    <col min="11" max="11" width="5.42578125" style="8" customWidth="1"/>
    <col min="12" max="12" width="6.5703125" style="8" customWidth="1"/>
    <col min="13" max="13" width="6.7109375" style="8" customWidth="1"/>
    <col min="14" max="14" width="6.42578125" style="8" customWidth="1"/>
    <col min="15" max="15" width="5.42578125" style="8" customWidth="1"/>
    <col min="16" max="16" width="5.7109375" style="8" customWidth="1"/>
    <col min="17" max="17" width="5.140625" style="8" customWidth="1"/>
    <col min="18" max="18" width="6.140625" style="8" customWidth="1"/>
    <col min="19" max="19" width="4.85546875" style="8" customWidth="1"/>
    <col min="20" max="20" width="5.85546875" style="8" customWidth="1"/>
    <col min="21" max="21" width="6.85546875" style="8" customWidth="1"/>
    <col min="22" max="22" width="5.42578125" style="8" customWidth="1"/>
    <col min="23" max="23" width="6.7109375" style="8" customWidth="1"/>
    <col min="24" max="24" width="5.5703125" style="8" customWidth="1"/>
    <col min="25" max="25" width="6" style="8" customWidth="1"/>
    <col min="26" max="26" width="6.42578125" style="8" customWidth="1"/>
    <col min="27" max="16384" width="9.140625" style="8"/>
  </cols>
  <sheetData>
    <row r="1" spans="1:27" s="23" customFormat="1" ht="15.75" customHeight="1">
      <c r="A1" s="1076"/>
      <c r="B1" s="1076"/>
      <c r="C1" s="1077" t="s">
        <v>2120</v>
      </c>
      <c r="D1" s="1077"/>
      <c r="E1" s="2302" t="s">
        <v>2566</v>
      </c>
      <c r="F1" s="2302"/>
      <c r="G1" s="2302"/>
      <c r="H1" s="2302"/>
      <c r="I1" s="2302"/>
      <c r="J1" s="2302"/>
      <c r="K1" s="2302"/>
      <c r="L1" s="2302"/>
      <c r="M1" s="2302"/>
      <c r="N1" s="2276" t="s">
        <v>2057</v>
      </c>
      <c r="O1" s="2276"/>
      <c r="P1" s="2276"/>
      <c r="Q1" s="2276"/>
      <c r="R1" s="2276"/>
      <c r="S1" s="2276"/>
      <c r="T1" s="2276"/>
      <c r="U1" s="2276"/>
      <c r="V1" s="2276"/>
      <c r="W1" s="2276"/>
      <c r="X1" s="2276"/>
      <c r="Y1" s="2297" t="s">
        <v>1105</v>
      </c>
      <c r="Z1" s="2298"/>
      <c r="AA1" s="51"/>
    </row>
    <row r="2" spans="1:27" s="90" customFormat="1" ht="11.25" customHeight="1">
      <c r="A2" s="1502"/>
      <c r="B2" s="1502"/>
      <c r="E2" s="1502"/>
      <c r="F2" s="1502"/>
      <c r="G2" s="1502"/>
      <c r="H2" s="1502"/>
      <c r="I2" s="1502"/>
      <c r="J2" s="2299"/>
      <c r="K2" s="2299"/>
      <c r="L2" s="2299"/>
      <c r="M2" s="91"/>
      <c r="N2" s="91"/>
      <c r="O2" s="91"/>
      <c r="Y2" s="2300" t="s">
        <v>24</v>
      </c>
      <c r="Z2" s="2300"/>
    </row>
    <row r="3" spans="1:27" s="40" customFormat="1" ht="69" customHeight="1">
      <c r="A3" s="2213" t="s">
        <v>487</v>
      </c>
      <c r="B3" s="1499" t="s">
        <v>2058</v>
      </c>
      <c r="C3" s="1499" t="s">
        <v>1294</v>
      </c>
      <c r="D3" s="1499" t="s">
        <v>268</v>
      </c>
      <c r="E3" s="1499" t="s">
        <v>2059</v>
      </c>
      <c r="F3" s="1499" t="s">
        <v>2060</v>
      </c>
      <c r="G3" s="1499" t="s">
        <v>269</v>
      </c>
      <c r="H3" s="1499" t="s">
        <v>1303</v>
      </c>
      <c r="I3" s="1499" t="s">
        <v>2061</v>
      </c>
      <c r="J3" s="1499" t="s">
        <v>2062</v>
      </c>
      <c r="K3" s="1499" t="s">
        <v>2063</v>
      </c>
      <c r="L3" s="1770" t="s">
        <v>2900</v>
      </c>
      <c r="M3" s="1499" t="s">
        <v>2065</v>
      </c>
      <c r="N3" s="1499" t="s">
        <v>2066</v>
      </c>
      <c r="O3" s="1499" t="s">
        <v>2067</v>
      </c>
      <c r="P3" s="1499" t="s">
        <v>1299</v>
      </c>
      <c r="Q3" s="1499" t="s">
        <v>271</v>
      </c>
      <c r="R3" s="1499" t="s">
        <v>2068</v>
      </c>
      <c r="S3" s="1499" t="s">
        <v>2069</v>
      </c>
      <c r="T3" s="1499" t="s">
        <v>2070</v>
      </c>
      <c r="U3" s="1499" t="s">
        <v>2071</v>
      </c>
      <c r="V3" s="1499" t="s">
        <v>2072</v>
      </c>
      <c r="W3" s="1499" t="s">
        <v>2073</v>
      </c>
      <c r="X3" s="1499" t="s">
        <v>267</v>
      </c>
      <c r="Y3" s="1498" t="s">
        <v>2074</v>
      </c>
      <c r="Z3" s="2213" t="s">
        <v>487</v>
      </c>
    </row>
    <row r="4" spans="1:27" s="47" customFormat="1" ht="11.25" customHeight="1">
      <c r="A4" s="2158"/>
      <c r="B4" s="618">
        <v>1</v>
      </c>
      <c r="C4" s="618">
        <v>2</v>
      </c>
      <c r="D4" s="618">
        <v>3</v>
      </c>
      <c r="E4" s="618">
        <v>4</v>
      </c>
      <c r="F4" s="618">
        <v>5</v>
      </c>
      <c r="G4" s="618">
        <v>6</v>
      </c>
      <c r="H4" s="618">
        <v>7</v>
      </c>
      <c r="I4" s="618">
        <v>8</v>
      </c>
      <c r="J4" s="618">
        <v>9</v>
      </c>
      <c r="K4" s="618">
        <v>10</v>
      </c>
      <c r="L4" s="618">
        <v>11</v>
      </c>
      <c r="M4" s="618">
        <v>12</v>
      </c>
      <c r="N4" s="618">
        <v>13</v>
      </c>
      <c r="O4" s="618">
        <v>14</v>
      </c>
      <c r="P4" s="618">
        <v>15</v>
      </c>
      <c r="Q4" s="618">
        <v>16</v>
      </c>
      <c r="R4" s="618">
        <v>17</v>
      </c>
      <c r="S4" s="618">
        <v>18</v>
      </c>
      <c r="T4" s="618">
        <v>19</v>
      </c>
      <c r="U4" s="618">
        <v>20</v>
      </c>
      <c r="V4" s="618">
        <v>21</v>
      </c>
      <c r="W4" s="618">
        <v>22</v>
      </c>
      <c r="X4" s="618">
        <v>23</v>
      </c>
      <c r="Y4" s="618">
        <v>24</v>
      </c>
      <c r="Z4" s="2214"/>
    </row>
    <row r="5" spans="1:27" s="1079" customFormat="1" ht="12.95" customHeight="1">
      <c r="A5" s="2301" t="s">
        <v>2075</v>
      </c>
      <c r="B5" s="2301"/>
      <c r="C5" s="2301"/>
      <c r="D5" s="1078"/>
      <c r="E5" s="1078"/>
      <c r="F5" s="1078"/>
      <c r="G5" s="1078"/>
      <c r="H5" s="1078"/>
      <c r="I5" s="1078"/>
      <c r="J5" s="1078"/>
      <c r="K5" s="1078"/>
      <c r="L5" s="1078"/>
      <c r="M5" s="1078"/>
      <c r="N5" s="1078"/>
      <c r="O5" s="1078"/>
      <c r="P5" s="1078"/>
      <c r="Q5" s="1078"/>
      <c r="R5" s="1078"/>
      <c r="S5" s="1078"/>
      <c r="T5" s="1078"/>
      <c r="U5" s="1078"/>
      <c r="V5" s="1078"/>
      <c r="W5" s="1078"/>
      <c r="X5" s="1078"/>
      <c r="Y5" s="1078"/>
      <c r="Z5" s="218"/>
    </row>
    <row r="6" spans="1:27" ht="12.95" customHeight="1">
      <c r="A6" s="398" t="s">
        <v>1193</v>
      </c>
      <c r="B6" s="294">
        <v>279505</v>
      </c>
      <c r="C6" s="294">
        <v>33052</v>
      </c>
      <c r="D6" s="294">
        <v>422387</v>
      </c>
      <c r="E6" s="294">
        <v>24555</v>
      </c>
      <c r="F6" s="294">
        <v>2103</v>
      </c>
      <c r="G6" s="294">
        <v>162843</v>
      </c>
      <c r="H6" s="294">
        <v>288510</v>
      </c>
      <c r="I6" s="294">
        <v>158030</v>
      </c>
      <c r="J6" s="294">
        <v>23886</v>
      </c>
      <c r="K6" s="294">
        <v>24833</v>
      </c>
      <c r="L6" s="294">
        <v>65072</v>
      </c>
      <c r="M6" s="294">
        <v>192509</v>
      </c>
      <c r="N6" s="294">
        <v>3906</v>
      </c>
      <c r="O6" s="294">
        <v>14244</v>
      </c>
      <c r="P6" s="294">
        <v>66730</v>
      </c>
      <c r="Q6" s="294">
        <v>54479</v>
      </c>
      <c r="R6" s="294">
        <v>54600</v>
      </c>
      <c r="S6" s="294">
        <v>3007</v>
      </c>
      <c r="T6" s="294">
        <v>113176</v>
      </c>
      <c r="U6" s="294">
        <f>SUM(B6:T6)</f>
        <v>1987427</v>
      </c>
      <c r="V6" s="294">
        <v>88394</v>
      </c>
      <c r="W6" s="294">
        <f>U6+V6</f>
        <v>2075821</v>
      </c>
      <c r="X6" s="294">
        <v>97254</v>
      </c>
      <c r="Y6" s="294">
        <f>W6+X6</f>
        <v>2173075</v>
      </c>
      <c r="Z6" s="355" t="s">
        <v>1193</v>
      </c>
    </row>
    <row r="7" spans="1:27" s="164" customFormat="1" ht="12.95" customHeight="1">
      <c r="A7" s="384"/>
      <c r="B7" s="1080">
        <f t="shared" ref="B7:W7" si="0">(B6/$W6)*100</f>
        <v>13.464792966252869</v>
      </c>
      <c r="C7" s="1080">
        <f t="shared" si="0"/>
        <v>1.592237480977406</v>
      </c>
      <c r="D7" s="1080">
        <f t="shared" si="0"/>
        <v>20.347949076534057</v>
      </c>
      <c r="E7" s="1080">
        <f t="shared" si="0"/>
        <v>1.1829054624652124</v>
      </c>
      <c r="F7" s="1080">
        <f t="shared" si="0"/>
        <v>0.10130931327893879</v>
      </c>
      <c r="G7" s="1080">
        <f t="shared" si="0"/>
        <v>7.8447515464965427</v>
      </c>
      <c r="H7" s="1080">
        <f t="shared" si="0"/>
        <v>13.898597229722601</v>
      </c>
      <c r="I7" s="1080">
        <f t="shared" si="0"/>
        <v>7.6128914776370404</v>
      </c>
      <c r="J7" s="1080">
        <f t="shared" si="0"/>
        <v>1.1506772501097158</v>
      </c>
      <c r="K7" s="1080">
        <f t="shared" si="0"/>
        <v>1.1962977539970931</v>
      </c>
      <c r="L7" s="1080">
        <f t="shared" si="0"/>
        <v>3.1347596926709964</v>
      </c>
      <c r="M7" s="1080">
        <f t="shared" si="0"/>
        <v>9.2738728435640638</v>
      </c>
      <c r="N7" s="1080">
        <f t="shared" si="0"/>
        <v>0.18816651339397761</v>
      </c>
      <c r="O7" s="1080">
        <f t="shared" si="0"/>
        <v>0.68618633302197063</v>
      </c>
      <c r="P7" s="1080">
        <f t="shared" si="0"/>
        <v>3.2146317047568167</v>
      </c>
      <c r="Q7" s="1080">
        <f t="shared" si="0"/>
        <v>2.6244555768536881</v>
      </c>
      <c r="R7" s="1080">
        <f>(R6/$W6)*100</f>
        <v>2.6302845958297945</v>
      </c>
      <c r="S7" s="1080">
        <f>(S6/$W6)*100</f>
        <v>0.14485834761282404</v>
      </c>
      <c r="T7" s="1080">
        <f t="shared" si="0"/>
        <v>5.4521078647918104</v>
      </c>
      <c r="U7" s="1080">
        <f t="shared" si="0"/>
        <v>95.741733029967421</v>
      </c>
      <c r="V7" s="1080">
        <f t="shared" si="0"/>
        <v>4.2582669700325804</v>
      </c>
      <c r="W7" s="1080">
        <f t="shared" si="0"/>
        <v>100</v>
      </c>
      <c r="X7" s="255"/>
      <c r="Y7" s="255"/>
      <c r="Z7" s="379"/>
    </row>
    <row r="8" spans="1:27" ht="12.95" customHeight="1">
      <c r="A8" s="398" t="s">
        <v>1225</v>
      </c>
      <c r="B8" s="294">
        <v>301167</v>
      </c>
      <c r="C8" s="294">
        <v>39984</v>
      </c>
      <c r="D8" s="294">
        <v>466606</v>
      </c>
      <c r="E8" s="294">
        <v>29234</v>
      </c>
      <c r="F8" s="294">
        <v>2263</v>
      </c>
      <c r="G8" s="294">
        <v>188219</v>
      </c>
      <c r="H8" s="294">
        <v>324632</v>
      </c>
      <c r="I8" s="294">
        <v>178722</v>
      </c>
      <c r="J8" s="294">
        <v>26670</v>
      </c>
      <c r="K8" s="294">
        <v>27264</v>
      </c>
      <c r="L8" s="294">
        <v>72247</v>
      </c>
      <c r="M8" s="294">
        <v>214151</v>
      </c>
      <c r="N8" s="294">
        <v>4282</v>
      </c>
      <c r="O8" s="294">
        <v>15722</v>
      </c>
      <c r="P8" s="294">
        <v>78463</v>
      </c>
      <c r="Q8" s="294">
        <v>60858</v>
      </c>
      <c r="R8" s="294">
        <v>63515</v>
      </c>
      <c r="S8" s="294">
        <v>3365</v>
      </c>
      <c r="T8" s="294">
        <v>124429</v>
      </c>
      <c r="U8" s="294">
        <f>SUM(B8:T8)</f>
        <v>2221793</v>
      </c>
      <c r="V8" s="294">
        <v>102514</v>
      </c>
      <c r="W8" s="294">
        <f>U8+V8</f>
        <v>2324307</v>
      </c>
      <c r="X8" s="294">
        <v>80250</v>
      </c>
      <c r="Y8" s="294">
        <f>W8+X8</f>
        <v>2404557</v>
      </c>
      <c r="Z8" s="355" t="s">
        <v>1225</v>
      </c>
    </row>
    <row r="9" spans="1:27" s="164" customFormat="1" ht="12.95" customHeight="1">
      <c r="A9" s="384"/>
      <c r="B9" s="1080">
        <f t="shared" ref="B9:W9" si="1">(B8/$W8)*100</f>
        <v>12.95728146066763</v>
      </c>
      <c r="C9" s="1080">
        <f t="shared" si="1"/>
        <v>1.7202546823633882</v>
      </c>
      <c r="D9" s="1080">
        <f t="shared" si="1"/>
        <v>20.075058931543897</v>
      </c>
      <c r="E9" s="1080">
        <f t="shared" si="1"/>
        <v>1.2577512350993221</v>
      </c>
      <c r="F9" s="1080">
        <f t="shared" si="1"/>
        <v>9.7362353596147158E-2</v>
      </c>
      <c r="G9" s="1080">
        <f t="shared" si="1"/>
        <v>8.0978545433111897</v>
      </c>
      <c r="H9" s="1080">
        <f t="shared" si="1"/>
        <v>13.966829682997986</v>
      </c>
      <c r="I9" s="1080">
        <f t="shared" si="1"/>
        <v>7.6892596373886928</v>
      </c>
      <c r="J9" s="1080">
        <f t="shared" si="1"/>
        <v>1.1474387849797811</v>
      </c>
      <c r="K9" s="1080">
        <f t="shared" si="1"/>
        <v>1.1729947894146513</v>
      </c>
      <c r="L9" s="1080">
        <f t="shared" si="1"/>
        <v>3.1083243306499528</v>
      </c>
      <c r="M9" s="1080">
        <f t="shared" si="1"/>
        <v>9.2135419288415861</v>
      </c>
      <c r="N9" s="1080">
        <f t="shared" si="1"/>
        <v>0.18422695452881224</v>
      </c>
      <c r="O9" s="1080">
        <f t="shared" si="1"/>
        <v>0.67641666957075808</v>
      </c>
      <c r="P9" s="1080">
        <f t="shared" si="1"/>
        <v>3.3757588821098077</v>
      </c>
      <c r="Q9" s="1080">
        <f t="shared" si="1"/>
        <v>2.6183288180089805</v>
      </c>
      <c r="R9" s="1080">
        <f t="shared" si="1"/>
        <v>2.7326424607420621</v>
      </c>
      <c r="S9" s="1080">
        <f t="shared" si="1"/>
        <v>0.14477433488777516</v>
      </c>
      <c r="T9" s="1080">
        <f t="shared" si="1"/>
        <v>5.3533805990344652</v>
      </c>
      <c r="U9" s="1080">
        <f t="shared" si="1"/>
        <v>95.589481079736885</v>
      </c>
      <c r="V9" s="1080">
        <f t="shared" si="1"/>
        <v>4.4105189202631152</v>
      </c>
      <c r="W9" s="1080">
        <f t="shared" si="1"/>
        <v>100</v>
      </c>
      <c r="X9" s="255"/>
      <c r="Y9" s="255"/>
      <c r="Z9" s="379"/>
    </row>
    <row r="10" spans="1:27" ht="12.95" customHeight="1">
      <c r="A10" s="398" t="s">
        <v>1350</v>
      </c>
      <c r="B10" s="294">
        <v>329380</v>
      </c>
      <c r="C10" s="294">
        <v>44276</v>
      </c>
      <c r="D10" s="294">
        <v>549024</v>
      </c>
      <c r="E10" s="294">
        <v>32625</v>
      </c>
      <c r="F10" s="294">
        <v>2487</v>
      </c>
      <c r="G10" s="294">
        <v>215693</v>
      </c>
      <c r="H10" s="294">
        <v>373716</v>
      </c>
      <c r="I10" s="296">
        <v>197806</v>
      </c>
      <c r="J10" s="294">
        <v>30106</v>
      </c>
      <c r="K10" s="294">
        <v>29460</v>
      </c>
      <c r="L10" s="294">
        <v>81724</v>
      </c>
      <c r="M10" s="294">
        <v>235990</v>
      </c>
      <c r="N10" s="294">
        <v>4714</v>
      </c>
      <c r="O10" s="294">
        <v>17269</v>
      </c>
      <c r="P10" s="294">
        <v>90249</v>
      </c>
      <c r="Q10" s="294">
        <v>68164</v>
      </c>
      <c r="R10" s="294">
        <v>73365</v>
      </c>
      <c r="S10" s="294">
        <v>3772</v>
      </c>
      <c r="T10" s="294">
        <v>136783</v>
      </c>
      <c r="U10" s="294">
        <f>SUM(B10:T10)</f>
        <v>2516603</v>
      </c>
      <c r="V10" s="294">
        <v>122645</v>
      </c>
      <c r="W10" s="294">
        <f>U10+V10</f>
        <v>2639248</v>
      </c>
      <c r="X10" s="294">
        <v>105543</v>
      </c>
      <c r="Y10" s="294">
        <f>W10+X10</f>
        <v>2744791</v>
      </c>
      <c r="Z10" s="355" t="s">
        <v>1350</v>
      </c>
    </row>
    <row r="11" spans="1:27" s="164" customFormat="1" ht="12.95" customHeight="1">
      <c r="A11" s="384"/>
      <c r="B11" s="1080">
        <f t="shared" ref="B11:W11" si="2">(B10/$W10)*100</f>
        <v>12.480070080568405</v>
      </c>
      <c r="C11" s="1080">
        <f t="shared" si="2"/>
        <v>1.6775990736755317</v>
      </c>
      <c r="D11" s="1080">
        <f t="shared" si="2"/>
        <v>20.802289136905664</v>
      </c>
      <c r="E11" s="1080">
        <f t="shared" si="2"/>
        <v>1.2361475693076209</v>
      </c>
      <c r="F11" s="1080">
        <f t="shared" si="2"/>
        <v>9.4231387122392429E-2</v>
      </c>
      <c r="G11" s="1080">
        <f t="shared" si="2"/>
        <v>8.1725173231162813</v>
      </c>
      <c r="H11" s="1080">
        <f t="shared" si="2"/>
        <v>14.159942529084041</v>
      </c>
      <c r="I11" s="1080">
        <f t="shared" si="2"/>
        <v>7.4947863937000232</v>
      </c>
      <c r="J11" s="1080">
        <f t="shared" si="2"/>
        <v>1.1407037156038387</v>
      </c>
      <c r="K11" s="1080">
        <f t="shared" si="2"/>
        <v>1.116227046492031</v>
      </c>
      <c r="L11" s="1080">
        <f t="shared" si="2"/>
        <v>3.0964880905470045</v>
      </c>
      <c r="M11" s="1080">
        <f t="shared" si="2"/>
        <v>8.9415621419434625</v>
      </c>
      <c r="N11" s="1080">
        <f t="shared" si="2"/>
        <v>0.17861148327099235</v>
      </c>
      <c r="O11" s="1080">
        <f t="shared" si="2"/>
        <v>0.65431516856316652</v>
      </c>
      <c r="P11" s="1080">
        <f t="shared" si="2"/>
        <v>3.4194967657453939</v>
      </c>
      <c r="Q11" s="1080">
        <f t="shared" si="2"/>
        <v>2.5827053766830552</v>
      </c>
      <c r="R11" s="1080">
        <f t="shared" si="2"/>
        <v>2.7797690857395745</v>
      </c>
      <c r="S11" s="1080">
        <f t="shared" si="2"/>
        <v>0.14291949828132863</v>
      </c>
      <c r="T11" s="1080">
        <f t="shared" si="2"/>
        <v>5.1826505125702473</v>
      </c>
      <c r="U11" s="1080">
        <f t="shared" si="2"/>
        <v>95.353032378920062</v>
      </c>
      <c r="V11" s="1080">
        <f t="shared" si="2"/>
        <v>4.646967621079944</v>
      </c>
      <c r="W11" s="1080">
        <f t="shared" si="2"/>
        <v>100</v>
      </c>
      <c r="X11" s="255"/>
      <c r="Y11" s="255"/>
      <c r="Z11" s="379"/>
    </row>
    <row r="12" spans="1:27" ht="12.95" customHeight="1">
      <c r="A12" s="398" t="s">
        <v>1466</v>
      </c>
      <c r="B12" s="294">
        <v>353443</v>
      </c>
      <c r="C12" s="294">
        <v>52609</v>
      </c>
      <c r="D12" s="294">
        <v>625937</v>
      </c>
      <c r="E12" s="294">
        <v>38144</v>
      </c>
      <c r="F12" s="294">
        <v>2674</v>
      </c>
      <c r="G12" s="294">
        <v>250255</v>
      </c>
      <c r="H12" s="294">
        <v>418395</v>
      </c>
      <c r="I12" s="294">
        <v>219712</v>
      </c>
      <c r="J12" s="296">
        <v>33550</v>
      </c>
      <c r="K12" s="294">
        <v>32204</v>
      </c>
      <c r="L12" s="294">
        <v>93297</v>
      </c>
      <c r="M12" s="294">
        <v>260715</v>
      </c>
      <c r="N12" s="294">
        <v>5179</v>
      </c>
      <c r="O12" s="294">
        <v>20017</v>
      </c>
      <c r="P12" s="294">
        <v>99006</v>
      </c>
      <c r="Q12" s="294">
        <v>76961</v>
      </c>
      <c r="R12" s="294">
        <v>86811</v>
      </c>
      <c r="S12" s="294">
        <v>4244</v>
      </c>
      <c r="T12" s="294">
        <v>150690</v>
      </c>
      <c r="U12" s="294">
        <f>SUM(B12:T12)</f>
        <v>2823843</v>
      </c>
      <c r="V12" s="294">
        <v>127586</v>
      </c>
      <c r="W12" s="294">
        <f>U12+V12</f>
        <v>2951429</v>
      </c>
      <c r="X12" s="294">
        <v>120895</v>
      </c>
      <c r="Y12" s="294">
        <f>W12+X12</f>
        <v>3072324</v>
      </c>
      <c r="Z12" s="355" t="s">
        <v>1466</v>
      </c>
    </row>
    <row r="13" spans="1:27" s="164" customFormat="1" ht="12.95" customHeight="1">
      <c r="A13" s="384"/>
      <c r="B13" s="1080">
        <f t="shared" ref="B13:W13" si="3">(B12/$W12)*100</f>
        <v>11.975317718976129</v>
      </c>
      <c r="C13" s="1080">
        <f t="shared" si="3"/>
        <v>1.7824924807610145</v>
      </c>
      <c r="D13" s="1080">
        <f t="shared" si="3"/>
        <v>21.20793012469553</v>
      </c>
      <c r="E13" s="1080">
        <f t="shared" si="3"/>
        <v>1.2923909062355896</v>
      </c>
      <c r="F13" s="1080">
        <f t="shared" si="3"/>
        <v>9.0600180454959281E-2</v>
      </c>
      <c r="G13" s="1080">
        <f t="shared" si="3"/>
        <v>8.4791129991607459</v>
      </c>
      <c r="H13" s="1080">
        <f t="shared" si="3"/>
        <v>14.176014398449022</v>
      </c>
      <c r="I13" s="1080">
        <f t="shared" si="3"/>
        <v>7.4442583575617105</v>
      </c>
      <c r="J13" s="1080">
        <f t="shared" si="3"/>
        <v>1.1367374922452818</v>
      </c>
      <c r="K13" s="1080">
        <f t="shared" si="3"/>
        <v>1.0911324649856053</v>
      </c>
      <c r="L13" s="1080">
        <f t="shared" si="3"/>
        <v>3.1610789214309412</v>
      </c>
      <c r="M13" s="1080">
        <f t="shared" si="3"/>
        <v>8.8335175943585291</v>
      </c>
      <c r="N13" s="1080">
        <f t="shared" si="3"/>
        <v>0.17547432108310923</v>
      </c>
      <c r="O13" s="1080">
        <f t="shared" si="3"/>
        <v>0.67821384149847408</v>
      </c>
      <c r="P13" s="1080">
        <f t="shared" si="3"/>
        <v>3.3545106455212035</v>
      </c>
      <c r="Q13" s="1080">
        <f t="shared" si="3"/>
        <v>2.6075843261010179</v>
      </c>
      <c r="R13" s="1080">
        <f t="shared" si="3"/>
        <v>2.9413209668943416</v>
      </c>
      <c r="S13" s="1080">
        <f t="shared" si="3"/>
        <v>0.14379475162709318</v>
      </c>
      <c r="T13" s="1080">
        <f t="shared" si="3"/>
        <v>5.1056623757508648</v>
      </c>
      <c r="U13" s="1080">
        <f t="shared" si="3"/>
        <v>95.677144867791171</v>
      </c>
      <c r="V13" s="1080">
        <f t="shared" si="3"/>
        <v>4.3228551322088391</v>
      </c>
      <c r="W13" s="1080">
        <f t="shared" si="3"/>
        <v>100</v>
      </c>
      <c r="X13" s="255"/>
      <c r="Y13" s="255"/>
      <c r="Z13" s="379"/>
    </row>
    <row r="14" spans="1:27" ht="12.95" customHeight="1">
      <c r="A14" s="398" t="s">
        <v>1550</v>
      </c>
      <c r="B14" s="294">
        <v>380446</v>
      </c>
      <c r="C14" s="294">
        <v>55224</v>
      </c>
      <c r="D14" s="294">
        <v>653064</v>
      </c>
      <c r="E14" s="294">
        <v>44523</v>
      </c>
      <c r="F14" s="294">
        <v>2761</v>
      </c>
      <c r="G14" s="294">
        <v>287880</v>
      </c>
      <c r="H14" s="294">
        <v>445757</v>
      </c>
      <c r="I14" s="294">
        <v>232252</v>
      </c>
      <c r="J14" s="294">
        <v>36015</v>
      </c>
      <c r="K14" s="294">
        <v>35107</v>
      </c>
      <c r="L14" s="294">
        <v>103217</v>
      </c>
      <c r="M14" s="294">
        <v>288001</v>
      </c>
      <c r="N14" s="294">
        <v>5656</v>
      </c>
      <c r="O14" s="294">
        <v>23005</v>
      </c>
      <c r="P14" s="294">
        <v>106965</v>
      </c>
      <c r="Q14" s="294">
        <v>85643</v>
      </c>
      <c r="R14" s="294">
        <v>101522</v>
      </c>
      <c r="S14" s="294">
        <v>4761</v>
      </c>
      <c r="T14" s="294">
        <v>165249</v>
      </c>
      <c r="U14" s="294">
        <f>SUM(B14:T14)</f>
        <v>3057048</v>
      </c>
      <c r="V14" s="294">
        <v>113421</v>
      </c>
      <c r="W14" s="294">
        <f>U14+V14</f>
        <v>3170469</v>
      </c>
      <c r="X14" s="294">
        <v>131232</v>
      </c>
      <c r="Y14" s="294">
        <f>W14+X14</f>
        <v>3301701</v>
      </c>
      <c r="Z14" s="355" t="s">
        <v>1550</v>
      </c>
    </row>
    <row r="15" spans="1:27" s="164" customFormat="1" ht="12.95" customHeight="1">
      <c r="A15" s="384"/>
      <c r="B15" s="1080">
        <f t="shared" ref="B15:W15" si="4">(B14/$W14)*100</f>
        <v>11.999675757750667</v>
      </c>
      <c r="C15" s="1080">
        <f t="shared" si="4"/>
        <v>1.7418243168439749</v>
      </c>
      <c r="D15" s="1080">
        <f t="shared" si="4"/>
        <v>20.598340497888483</v>
      </c>
      <c r="E15" s="1080">
        <f t="shared" si="4"/>
        <v>1.4043032750044238</v>
      </c>
      <c r="F15" s="1080">
        <f t="shared" si="4"/>
        <v>8.7084907627231173E-2</v>
      </c>
      <c r="G15" s="1080">
        <f t="shared" si="4"/>
        <v>9.0800446243126807</v>
      </c>
      <c r="H15" s="1080">
        <f t="shared" si="4"/>
        <v>14.059654896483769</v>
      </c>
      <c r="I15" s="1080">
        <f t="shared" si="4"/>
        <v>7.3254777132342257</v>
      </c>
      <c r="J15" s="1080">
        <f t="shared" si="4"/>
        <v>1.1359518102842197</v>
      </c>
      <c r="K15" s="1080">
        <f t="shared" si="4"/>
        <v>1.1073125143314759</v>
      </c>
      <c r="L15" s="1080">
        <f t="shared" si="4"/>
        <v>3.2555751215356468</v>
      </c>
      <c r="M15" s="1080">
        <f t="shared" si="4"/>
        <v>9.0838610943680571</v>
      </c>
      <c r="N15" s="1080">
        <f t="shared" si="4"/>
        <v>0.17839631928273073</v>
      </c>
      <c r="O15" s="1080">
        <f t="shared" si="4"/>
        <v>0.72560242664413377</v>
      </c>
      <c r="P15" s="1080">
        <f t="shared" si="4"/>
        <v>3.3737910700278095</v>
      </c>
      <c r="Q15" s="1080">
        <f t="shared" si="4"/>
        <v>2.701272272335733</v>
      </c>
      <c r="R15" s="1080">
        <f t="shared" si="4"/>
        <v>3.2021129996855358</v>
      </c>
      <c r="S15" s="1080">
        <f t="shared" si="4"/>
        <v>0.15016705730287852</v>
      </c>
      <c r="T15" s="1080">
        <f t="shared" si="4"/>
        <v>5.2121310758755248</v>
      </c>
      <c r="U15" s="1080">
        <f t="shared" si="4"/>
        <v>96.42257975081921</v>
      </c>
      <c r="V15" s="1080">
        <f t="shared" si="4"/>
        <v>3.5774202491807996</v>
      </c>
      <c r="W15" s="1080">
        <f t="shared" si="4"/>
        <v>100</v>
      </c>
      <c r="X15" s="255"/>
      <c r="Y15" s="255"/>
      <c r="Z15" s="379"/>
    </row>
    <row r="16" spans="1:27" ht="12.95" customHeight="1">
      <c r="A16" s="398" t="s">
        <v>1606</v>
      </c>
      <c r="B16" s="296">
        <v>410661</v>
      </c>
      <c r="C16" s="296">
        <v>59102</v>
      </c>
      <c r="D16" s="296">
        <v>749659</v>
      </c>
      <c r="E16" s="296">
        <v>44902</v>
      </c>
      <c r="F16" s="296">
        <v>2968</v>
      </c>
      <c r="G16" s="296">
        <v>319490</v>
      </c>
      <c r="H16" s="296">
        <v>497652</v>
      </c>
      <c r="I16" s="296">
        <v>256215</v>
      </c>
      <c r="J16" s="296">
        <v>39857</v>
      </c>
      <c r="K16" s="296">
        <v>38448</v>
      </c>
      <c r="L16" s="296">
        <v>115271</v>
      </c>
      <c r="M16" s="296">
        <v>313028</v>
      </c>
      <c r="N16" s="296">
        <v>6273</v>
      </c>
      <c r="O16" s="296">
        <v>27138</v>
      </c>
      <c r="P16" s="296">
        <v>116996</v>
      </c>
      <c r="Q16" s="296">
        <v>95642</v>
      </c>
      <c r="R16" s="296">
        <v>118500</v>
      </c>
      <c r="S16" s="296">
        <v>5341</v>
      </c>
      <c r="T16" s="296">
        <v>180676</v>
      </c>
      <c r="U16" s="294">
        <f>SUM(B16:T16)</f>
        <v>3397819</v>
      </c>
      <c r="V16" s="296">
        <v>132366</v>
      </c>
      <c r="W16" s="294">
        <f>U16+V16</f>
        <v>3530185</v>
      </c>
      <c r="X16" s="296">
        <v>185812</v>
      </c>
      <c r="Y16" s="294">
        <f>W16+X16</f>
        <v>3715997</v>
      </c>
      <c r="Z16" s="355" t="s">
        <v>1606</v>
      </c>
    </row>
    <row r="17" spans="1:27" s="164" customFormat="1" ht="12.95" customHeight="1">
      <c r="A17" s="384"/>
      <c r="B17" s="1080">
        <f t="shared" ref="B17:W19" si="5">(B16/$W16)*100</f>
        <v>11.632846437226378</v>
      </c>
      <c r="C17" s="1080">
        <f t="shared" si="5"/>
        <v>1.6741898795672183</v>
      </c>
      <c r="D17" s="1080">
        <f t="shared" si="5"/>
        <v>21.235685948470124</v>
      </c>
      <c r="E17" s="1080">
        <f t="shared" si="5"/>
        <v>1.2719446714548954</v>
      </c>
      <c r="F17" s="1080">
        <f t="shared" si="5"/>
        <v>8.4074913920941824E-2</v>
      </c>
      <c r="G17" s="1080">
        <f t="shared" si="5"/>
        <v>9.0502339112539421</v>
      </c>
      <c r="H17" s="1080">
        <f t="shared" si="5"/>
        <v>14.097051570951663</v>
      </c>
      <c r="I17" s="1080">
        <f t="shared" si="5"/>
        <v>7.2578349293308992</v>
      </c>
      <c r="J17" s="1080">
        <f t="shared" si="5"/>
        <v>1.1290343140656933</v>
      </c>
      <c r="K17" s="1080">
        <f t="shared" si="5"/>
        <v>1.0891213916551115</v>
      </c>
      <c r="L17" s="1080">
        <f t="shared" si="5"/>
        <v>3.2652962946701094</v>
      </c>
      <c r="M17" s="1080">
        <f t="shared" si="5"/>
        <v>8.8671840144355052</v>
      </c>
      <c r="N17" s="1080">
        <f t="shared" si="5"/>
        <v>0.17769606975271834</v>
      </c>
      <c r="O17" s="1080">
        <f t="shared" si="5"/>
        <v>0.76874158153184602</v>
      </c>
      <c r="P17" s="1080">
        <f t="shared" si="5"/>
        <v>3.3141605893175572</v>
      </c>
      <c r="Q17" s="1080">
        <f t="shared" si="5"/>
        <v>2.709263112273153</v>
      </c>
      <c r="R17" s="1080">
        <f t="shared" si="5"/>
        <v>3.3567645888246651</v>
      </c>
      <c r="S17" s="1080">
        <f t="shared" si="5"/>
        <v>0.15129518707943068</v>
      </c>
      <c r="T17" s="1080">
        <f t="shared" si="5"/>
        <v>5.1180320578100016</v>
      </c>
      <c r="U17" s="1080">
        <f t="shared" si="5"/>
        <v>96.250451463591844</v>
      </c>
      <c r="V17" s="1080">
        <f t="shared" si="5"/>
        <v>3.7495485364081489</v>
      </c>
      <c r="W17" s="1080">
        <f t="shared" si="5"/>
        <v>100</v>
      </c>
      <c r="X17" s="255"/>
      <c r="Y17" s="255"/>
      <c r="Z17" s="379"/>
    </row>
    <row r="18" spans="1:27" s="164" customFormat="1" ht="12.95" customHeight="1">
      <c r="A18" s="398" t="s">
        <v>1927</v>
      </c>
      <c r="B18" s="296">
        <v>445531</v>
      </c>
      <c r="C18" s="296">
        <v>58916</v>
      </c>
      <c r="D18" s="296">
        <v>864437</v>
      </c>
      <c r="E18" s="296">
        <v>50414</v>
      </c>
      <c r="F18" s="296">
        <v>3809</v>
      </c>
      <c r="G18" s="296">
        <v>369633</v>
      </c>
      <c r="H18" s="296">
        <v>567097</v>
      </c>
      <c r="I18" s="296">
        <v>285272</v>
      </c>
      <c r="J18" s="296">
        <v>44452</v>
      </c>
      <c r="K18" s="296">
        <v>41422</v>
      </c>
      <c r="L18" s="296">
        <v>129539</v>
      </c>
      <c r="M18" s="296">
        <v>340182</v>
      </c>
      <c r="N18" s="296">
        <v>6942</v>
      </c>
      <c r="O18" s="296">
        <v>31136</v>
      </c>
      <c r="P18" s="296">
        <v>127366</v>
      </c>
      <c r="Q18" s="296">
        <v>109514</v>
      </c>
      <c r="R18" s="296">
        <v>138207</v>
      </c>
      <c r="S18" s="296">
        <v>6074</v>
      </c>
      <c r="T18" s="296">
        <v>199886</v>
      </c>
      <c r="U18" s="294">
        <f>SUM(B18:T18)</f>
        <v>3819829</v>
      </c>
      <c r="V18" s="294">
        <v>151887</v>
      </c>
      <c r="W18" s="294">
        <f>U18+V18</f>
        <v>3971716</v>
      </c>
      <c r="X18" s="294">
        <v>157346</v>
      </c>
      <c r="Y18" s="294">
        <f>W18+X18</f>
        <v>4129062</v>
      </c>
      <c r="Z18" s="355" t="s">
        <v>1927</v>
      </c>
    </row>
    <row r="19" spans="1:27" s="164" customFormat="1" ht="12.95" customHeight="1">
      <c r="A19" s="384"/>
      <c r="B19" s="1080">
        <f>(B18/$W18)*100</f>
        <v>11.217594611497901</v>
      </c>
      <c r="C19" s="1080">
        <f t="shared" si="5"/>
        <v>1.4833890439296262</v>
      </c>
      <c r="D19" s="1080">
        <f t="shared" si="5"/>
        <v>21.764824071006082</v>
      </c>
      <c r="E19" s="1080">
        <f t="shared" si="5"/>
        <v>1.2693253999027121</v>
      </c>
      <c r="F19" s="1080">
        <f t="shared" si="5"/>
        <v>9.5903131039580869E-2</v>
      </c>
      <c r="G19" s="1080">
        <f t="shared" si="5"/>
        <v>9.306632196259752</v>
      </c>
      <c r="H19" s="1080">
        <f t="shared" si="5"/>
        <v>14.278387477855919</v>
      </c>
      <c r="I19" s="1080">
        <f t="shared" si="5"/>
        <v>7.1825880803159148</v>
      </c>
      <c r="J19" s="1080">
        <f t="shared" si="5"/>
        <v>1.1192139619247701</v>
      </c>
      <c r="K19" s="1080">
        <f t="shared" si="5"/>
        <v>1.0429245192757992</v>
      </c>
      <c r="L19" s="1080">
        <f t="shared" si="5"/>
        <v>3.261537330463709</v>
      </c>
      <c r="M19" s="1080">
        <f t="shared" si="5"/>
        <v>8.565113920532081</v>
      </c>
      <c r="N19" s="1080">
        <f t="shared" si="5"/>
        <v>0.17478591117793921</v>
      </c>
      <c r="O19" s="1080">
        <f t="shared" si="5"/>
        <v>0.78394326281133897</v>
      </c>
      <c r="P19" s="1080">
        <f t="shared" si="5"/>
        <v>3.2068254628477968</v>
      </c>
      <c r="Q19" s="1080">
        <f t="shared" si="5"/>
        <v>2.7573472020658074</v>
      </c>
      <c r="R19" s="1080">
        <f t="shared" si="5"/>
        <v>3.4797805281142966</v>
      </c>
      <c r="S19" s="1080">
        <f t="shared" si="5"/>
        <v>0.15293137777222743</v>
      </c>
      <c r="T19" s="1080">
        <f t="shared" si="5"/>
        <v>5.0327364796475882</v>
      </c>
      <c r="U19" s="1080">
        <f t="shared" si="5"/>
        <v>96.17578396844084</v>
      </c>
      <c r="V19" s="1080">
        <f t="shared" si="5"/>
        <v>3.8242160315591551</v>
      </c>
      <c r="W19" s="1080">
        <f>(W18/$W18)*100</f>
        <v>100</v>
      </c>
      <c r="X19" s="255"/>
      <c r="Y19" s="255"/>
      <c r="Z19" s="379"/>
    </row>
    <row r="20" spans="1:27" s="164" customFormat="1" ht="12.95" customHeight="1">
      <c r="A20" s="398" t="s">
        <v>2183</v>
      </c>
      <c r="B20" s="296">
        <v>494158</v>
      </c>
      <c r="C20" s="296">
        <v>70244</v>
      </c>
      <c r="D20" s="296">
        <v>1003345</v>
      </c>
      <c r="E20" s="296">
        <v>55295</v>
      </c>
      <c r="F20" s="296">
        <v>4380</v>
      </c>
      <c r="G20" s="296">
        <v>420310</v>
      </c>
      <c r="H20" s="296">
        <v>647367</v>
      </c>
      <c r="I20" s="296">
        <v>324082</v>
      </c>
      <c r="J20" s="296">
        <v>51156</v>
      </c>
      <c r="K20" s="296">
        <v>47326</v>
      </c>
      <c r="L20" s="296">
        <v>144785</v>
      </c>
      <c r="M20" s="296">
        <v>373414</v>
      </c>
      <c r="N20" s="296">
        <v>8423</v>
      </c>
      <c r="O20" s="296">
        <v>37504</v>
      </c>
      <c r="P20" s="296">
        <v>147281</v>
      </c>
      <c r="Q20" s="296">
        <v>125974</v>
      </c>
      <c r="R20" s="296">
        <v>161533</v>
      </c>
      <c r="S20" s="296">
        <v>6912</v>
      </c>
      <c r="T20" s="296">
        <v>219599</v>
      </c>
      <c r="U20" s="296">
        <f>SUM(B20:T20)</f>
        <v>4343088</v>
      </c>
      <c r="V20" s="296">
        <v>147754</v>
      </c>
      <c r="W20" s="296">
        <f>U20+V20</f>
        <v>4490842</v>
      </c>
      <c r="X20" s="296">
        <v>179238</v>
      </c>
      <c r="Y20" s="296">
        <f>W20+X20</f>
        <v>4670080</v>
      </c>
      <c r="Z20" s="355" t="s">
        <v>2183</v>
      </c>
    </row>
    <row r="21" spans="1:27" s="164" customFormat="1" ht="12.95" customHeight="1">
      <c r="A21" s="384"/>
      <c r="B21" s="1080">
        <f>(B20/$W20)*100</f>
        <v>11.003682605622732</v>
      </c>
      <c r="C21" s="1080">
        <f t="shared" ref="C21:W21" si="6">(C20/$W20)*100</f>
        <v>1.5641610192476154</v>
      </c>
      <c r="D21" s="1080">
        <f t="shared" si="6"/>
        <v>22.342024056958586</v>
      </c>
      <c r="E21" s="1080">
        <f t="shared" si="6"/>
        <v>1.2312835766655785</v>
      </c>
      <c r="F21" s="1080">
        <f t="shared" si="6"/>
        <v>9.7531821426805929E-2</v>
      </c>
      <c r="G21" s="1080">
        <f t="shared" si="6"/>
        <v>9.3592693753198173</v>
      </c>
      <c r="H21" s="1080">
        <f t="shared" si="6"/>
        <v>14.415270009499331</v>
      </c>
      <c r="I21" s="1080">
        <f t="shared" si="6"/>
        <v>7.2165086190963752</v>
      </c>
      <c r="J21" s="1080">
        <f t="shared" si="6"/>
        <v>1.1391182321711608</v>
      </c>
      <c r="K21" s="1080">
        <f t="shared" si="6"/>
        <v>1.0538335572705519</v>
      </c>
      <c r="L21" s="1080">
        <f t="shared" si="6"/>
        <v>3.224005654173538</v>
      </c>
      <c r="M21" s="1080">
        <f t="shared" si="6"/>
        <v>8.3150108598788375</v>
      </c>
      <c r="N21" s="1080">
        <f t="shared" si="6"/>
        <v>0.18755948216392382</v>
      </c>
      <c r="O21" s="1080">
        <f t="shared" si="6"/>
        <v>0.83512178785181046</v>
      </c>
      <c r="P21" s="1080">
        <f t="shared" si="6"/>
        <v>3.279585431863334</v>
      </c>
      <c r="Q21" s="1080">
        <f t="shared" si="6"/>
        <v>2.805130975438459</v>
      </c>
      <c r="R21" s="1080">
        <f t="shared" si="6"/>
        <v>3.5969423996658092</v>
      </c>
      <c r="S21" s="1080">
        <f t="shared" si="6"/>
        <v>0.15391323052558964</v>
      </c>
      <c r="T21" s="1080">
        <f t="shared" si="6"/>
        <v>4.8899293272842819</v>
      </c>
      <c r="U21" s="1080">
        <f t="shared" si="6"/>
        <v>96.709882022124134</v>
      </c>
      <c r="V21" s="1080">
        <f t="shared" si="6"/>
        <v>3.2901179778758638</v>
      </c>
      <c r="W21" s="1080">
        <f t="shared" si="6"/>
        <v>100</v>
      </c>
      <c r="X21" s="255"/>
      <c r="Y21" s="255"/>
      <c r="Z21" s="379"/>
      <c r="AA21" s="819"/>
    </row>
    <row r="22" spans="1:27" s="164" customFormat="1" ht="12.95" customHeight="1">
      <c r="A22" s="398" t="s">
        <v>2345</v>
      </c>
      <c r="B22" s="296">
        <v>558536</v>
      </c>
      <c r="C22" s="296">
        <v>73802</v>
      </c>
      <c r="D22" s="296">
        <v>1095229</v>
      </c>
      <c r="E22" s="296">
        <v>59646</v>
      </c>
      <c r="F22" s="296">
        <v>4708</v>
      </c>
      <c r="G22" s="296">
        <v>472379</v>
      </c>
      <c r="H22" s="296">
        <v>730353</v>
      </c>
      <c r="I22" s="296">
        <v>359554</v>
      </c>
      <c r="J22" s="296">
        <v>59718</v>
      </c>
      <c r="K22" s="296">
        <v>50188</v>
      </c>
      <c r="L22" s="296">
        <v>160769</v>
      </c>
      <c r="M22" s="296">
        <v>408979</v>
      </c>
      <c r="N22" s="296">
        <v>9907</v>
      </c>
      <c r="O22" s="296">
        <v>44634</v>
      </c>
      <c r="P22" s="296">
        <v>161463</v>
      </c>
      <c r="Q22" s="296">
        <v>147257</v>
      </c>
      <c r="R22" s="296">
        <v>186191</v>
      </c>
      <c r="S22" s="296">
        <v>7966</v>
      </c>
      <c r="T22" s="296">
        <v>245220</v>
      </c>
      <c r="U22" s="296">
        <v>4836497</v>
      </c>
      <c r="V22" s="296">
        <v>166157</v>
      </c>
      <c r="W22" s="296">
        <f>U22+V22</f>
        <v>5002654</v>
      </c>
      <c r="X22" s="296">
        <v>215427</v>
      </c>
      <c r="Y22" s="296">
        <f>W22+X22</f>
        <v>5218081</v>
      </c>
      <c r="Z22" s="355" t="s">
        <v>2345</v>
      </c>
      <c r="AA22" s="819"/>
    </row>
    <row r="23" spans="1:27" s="164" customFormat="1" ht="12.95" customHeight="1">
      <c r="A23" s="384"/>
      <c r="B23" s="1080">
        <f>(B22/$W22)*100</f>
        <v>11.164793727489448</v>
      </c>
      <c r="C23" s="1080">
        <f t="shared" ref="C23:W23" si="7">(C22/$W22)*100</f>
        <v>1.4752569336196346</v>
      </c>
      <c r="D23" s="1080">
        <f t="shared" si="7"/>
        <v>21.892959217247483</v>
      </c>
      <c r="E23" s="1080">
        <f t="shared" si="7"/>
        <v>1.1922871339892787</v>
      </c>
      <c r="F23" s="1080">
        <f t="shared" si="7"/>
        <v>9.4110046387377577E-2</v>
      </c>
      <c r="G23" s="1080">
        <f t="shared" si="7"/>
        <v>9.4425678849666603</v>
      </c>
      <c r="H23" s="1080">
        <f t="shared" si="7"/>
        <v>14.59931068588793</v>
      </c>
      <c r="I23" s="1080">
        <f t="shared" si="7"/>
        <v>7.1872649997381393</v>
      </c>
      <c r="J23" s="1080">
        <f t="shared" si="7"/>
        <v>1.1937263700427814</v>
      </c>
      <c r="K23" s="1080">
        <f t="shared" si="7"/>
        <v>1.00322748684998</v>
      </c>
      <c r="L23" s="1080">
        <f t="shared" si="7"/>
        <v>3.2136741817443304</v>
      </c>
      <c r="M23" s="1080">
        <f t="shared" si="7"/>
        <v>8.1752405822989171</v>
      </c>
      <c r="N23" s="1080">
        <f t="shared" si="7"/>
        <v>0.19803488308405898</v>
      </c>
      <c r="O23" s="1080">
        <f t="shared" si="7"/>
        <v>0.89220641683394453</v>
      </c>
      <c r="P23" s="1080">
        <f t="shared" si="7"/>
        <v>3.2275468181489262</v>
      </c>
      <c r="Q23" s="1080">
        <f t="shared" si="7"/>
        <v>2.9435775490369709</v>
      </c>
      <c r="R23" s="1080">
        <f t="shared" si="7"/>
        <v>3.7218444449686103</v>
      </c>
      <c r="S23" s="1080">
        <f t="shared" si="7"/>
        <v>0.15923547780837932</v>
      </c>
      <c r="T23" s="1080">
        <f t="shared" si="7"/>
        <v>4.9017981255549552</v>
      </c>
      <c r="U23" s="1080">
        <f t="shared" si="7"/>
        <v>96.678622986918541</v>
      </c>
      <c r="V23" s="1080">
        <f t="shared" si="7"/>
        <v>3.3213770130814564</v>
      </c>
      <c r="W23" s="1080">
        <f t="shared" si="7"/>
        <v>100</v>
      </c>
      <c r="X23" s="255"/>
      <c r="Y23" s="255"/>
      <c r="Z23" s="379"/>
      <c r="AA23" s="819"/>
    </row>
    <row r="24" spans="1:27" ht="12.95" customHeight="1">
      <c r="A24" s="1497" t="s">
        <v>2076</v>
      </c>
      <c r="B24" s="617"/>
      <c r="C24" s="617"/>
      <c r="D24" s="617"/>
      <c r="E24" s="617"/>
      <c r="F24" s="617"/>
      <c r="G24" s="617"/>
      <c r="H24" s="617"/>
      <c r="I24" s="617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  <c r="W24" s="617"/>
      <c r="X24" s="294"/>
      <c r="Y24" s="294"/>
      <c r="Z24" s="355"/>
    </row>
    <row r="25" spans="1:27" s="164" customFormat="1" ht="12.95" customHeight="1">
      <c r="A25" s="384" t="s">
        <v>1193</v>
      </c>
      <c r="B25" s="255">
        <v>279505</v>
      </c>
      <c r="C25" s="255">
        <v>33052</v>
      </c>
      <c r="D25" s="255">
        <v>422387</v>
      </c>
      <c r="E25" s="255">
        <v>24555</v>
      </c>
      <c r="F25" s="255">
        <v>2103</v>
      </c>
      <c r="G25" s="255">
        <v>162843</v>
      </c>
      <c r="H25" s="255">
        <v>288510</v>
      </c>
      <c r="I25" s="255">
        <v>158030</v>
      </c>
      <c r="J25" s="255">
        <v>23886</v>
      </c>
      <c r="K25" s="255">
        <v>24833</v>
      </c>
      <c r="L25" s="255">
        <v>65072</v>
      </c>
      <c r="M25" s="255">
        <v>192509</v>
      </c>
      <c r="N25" s="255">
        <v>3906</v>
      </c>
      <c r="O25" s="255">
        <v>14244</v>
      </c>
      <c r="P25" s="255">
        <v>66730</v>
      </c>
      <c r="Q25" s="255">
        <v>54479</v>
      </c>
      <c r="R25" s="255">
        <v>54600</v>
      </c>
      <c r="S25" s="255">
        <v>3007</v>
      </c>
      <c r="T25" s="255">
        <v>113176</v>
      </c>
      <c r="U25" s="255">
        <f>SUM(B25:T25)</f>
        <v>1987427</v>
      </c>
      <c r="V25" s="255">
        <v>88394</v>
      </c>
      <c r="W25" s="255">
        <f>U25+V25</f>
        <v>2075821</v>
      </c>
      <c r="X25" s="255">
        <v>97254</v>
      </c>
      <c r="Y25" s="255">
        <f>W25+X25</f>
        <v>2173075</v>
      </c>
      <c r="Z25" s="379" t="s">
        <v>1193</v>
      </c>
    </row>
    <row r="26" spans="1:27" ht="12.95" customHeight="1">
      <c r="A26" s="398"/>
      <c r="B26" s="617">
        <f t="shared" ref="B26:W26" si="8">(B25/$W25)*100</f>
        <v>13.464792966252869</v>
      </c>
      <c r="C26" s="617">
        <f t="shared" si="8"/>
        <v>1.592237480977406</v>
      </c>
      <c r="D26" s="617">
        <f t="shared" si="8"/>
        <v>20.347949076534057</v>
      </c>
      <c r="E26" s="617">
        <f t="shared" si="8"/>
        <v>1.1829054624652124</v>
      </c>
      <c r="F26" s="617">
        <f t="shared" si="8"/>
        <v>0.10130931327893879</v>
      </c>
      <c r="G26" s="617">
        <f t="shared" si="8"/>
        <v>7.8447515464965427</v>
      </c>
      <c r="H26" s="617">
        <f t="shared" si="8"/>
        <v>13.898597229722601</v>
      </c>
      <c r="I26" s="617">
        <f t="shared" si="8"/>
        <v>7.6128914776370404</v>
      </c>
      <c r="J26" s="617">
        <f t="shared" si="8"/>
        <v>1.1506772501097158</v>
      </c>
      <c r="K26" s="617">
        <f t="shared" si="8"/>
        <v>1.1962977539970931</v>
      </c>
      <c r="L26" s="617">
        <f t="shared" si="8"/>
        <v>3.1347596926709964</v>
      </c>
      <c r="M26" s="617">
        <f t="shared" si="8"/>
        <v>9.2738728435640638</v>
      </c>
      <c r="N26" s="617">
        <f t="shared" si="8"/>
        <v>0.18816651339397761</v>
      </c>
      <c r="O26" s="617">
        <f t="shared" si="8"/>
        <v>0.68618633302197063</v>
      </c>
      <c r="P26" s="617">
        <f t="shared" si="8"/>
        <v>3.2146317047568167</v>
      </c>
      <c r="Q26" s="617">
        <f t="shared" si="8"/>
        <v>2.6244555768536881</v>
      </c>
      <c r="R26" s="617">
        <f>(R25/$W25)*100</f>
        <v>2.6302845958297945</v>
      </c>
      <c r="S26" s="617">
        <f>(S25/$W25)*100</f>
        <v>0.14485834761282404</v>
      </c>
      <c r="T26" s="617">
        <f t="shared" si="8"/>
        <v>5.4521078647918104</v>
      </c>
      <c r="U26" s="617">
        <f t="shared" si="8"/>
        <v>95.741733029967421</v>
      </c>
      <c r="V26" s="617">
        <f t="shared" si="8"/>
        <v>4.2582669700325804</v>
      </c>
      <c r="W26" s="617">
        <f t="shared" si="8"/>
        <v>100</v>
      </c>
      <c r="X26" s="294"/>
      <c r="Y26" s="294"/>
      <c r="Z26" s="355"/>
    </row>
    <row r="27" spans="1:27" s="164" customFormat="1" ht="12.95" customHeight="1">
      <c r="A27" s="384" t="s">
        <v>1225</v>
      </c>
      <c r="B27" s="255">
        <v>288438</v>
      </c>
      <c r="C27" s="255">
        <v>38766</v>
      </c>
      <c r="D27" s="255">
        <v>452319</v>
      </c>
      <c r="E27" s="255">
        <v>26291</v>
      </c>
      <c r="F27" s="255">
        <v>2180</v>
      </c>
      <c r="G27" s="255">
        <v>178734</v>
      </c>
      <c r="H27" s="255">
        <v>312225</v>
      </c>
      <c r="I27" s="255">
        <v>167710</v>
      </c>
      <c r="J27" s="255">
        <v>25173</v>
      </c>
      <c r="K27" s="255">
        <v>26907</v>
      </c>
      <c r="L27" s="255">
        <v>68524</v>
      </c>
      <c r="M27" s="255">
        <v>198921</v>
      </c>
      <c r="N27" s="255">
        <v>4061</v>
      </c>
      <c r="O27" s="255">
        <v>15155</v>
      </c>
      <c r="P27" s="255">
        <v>74220</v>
      </c>
      <c r="Q27" s="255">
        <v>57722</v>
      </c>
      <c r="R27" s="255">
        <v>60242</v>
      </c>
      <c r="S27" s="255">
        <v>3157</v>
      </c>
      <c r="T27" s="255">
        <v>116731</v>
      </c>
      <c r="U27" s="255">
        <f>SUM(B27:T27)</f>
        <v>2117476</v>
      </c>
      <c r="V27" s="255">
        <v>95147</v>
      </c>
      <c r="W27" s="255">
        <f>U27+V27</f>
        <v>2212623</v>
      </c>
      <c r="X27" s="255">
        <v>76394</v>
      </c>
      <c r="Y27" s="255">
        <f>W27+X27</f>
        <v>2289017</v>
      </c>
      <c r="Z27" s="379" t="s">
        <v>1225</v>
      </c>
    </row>
    <row r="28" spans="1:27" ht="12.95" customHeight="1">
      <c r="A28" s="398"/>
      <c r="B28" s="617">
        <f t="shared" ref="B28:W28" si="9">(B27/$W27)*100</f>
        <v>13.036021048321381</v>
      </c>
      <c r="C28" s="617">
        <f t="shared" si="9"/>
        <v>1.7520381917751011</v>
      </c>
      <c r="D28" s="617">
        <f t="shared" si="9"/>
        <v>20.442660136860187</v>
      </c>
      <c r="E28" s="617">
        <f t="shared" si="9"/>
        <v>1.1882277279048443</v>
      </c>
      <c r="F28" s="617">
        <f t="shared" si="9"/>
        <v>9.8525596091155146E-2</v>
      </c>
      <c r="G28" s="617">
        <f t="shared" si="9"/>
        <v>8.0779238035580381</v>
      </c>
      <c r="H28" s="617">
        <f t="shared" si="9"/>
        <v>14.111079926404091</v>
      </c>
      <c r="I28" s="617">
        <f t="shared" si="9"/>
        <v>7.5796916148842346</v>
      </c>
      <c r="J28" s="617">
        <f t="shared" si="9"/>
        <v>1.1376994634874535</v>
      </c>
      <c r="K28" s="617">
        <f t="shared" si="9"/>
        <v>1.2160679880847303</v>
      </c>
      <c r="L28" s="617">
        <f t="shared" si="9"/>
        <v>3.0969577736469338</v>
      </c>
      <c r="M28" s="617">
        <f t="shared" si="9"/>
        <v>8.9902798624076485</v>
      </c>
      <c r="N28" s="617">
        <f t="shared" si="9"/>
        <v>0.18353781914045006</v>
      </c>
      <c r="O28" s="617">
        <f t="shared" si="9"/>
        <v>0.68493367374378744</v>
      </c>
      <c r="P28" s="617">
        <f t="shared" si="9"/>
        <v>3.3543897898557504</v>
      </c>
      <c r="Q28" s="617">
        <f t="shared" si="9"/>
        <v>2.6087589254925039</v>
      </c>
      <c r="R28" s="617">
        <f t="shared" si="9"/>
        <v>2.7226508989556737</v>
      </c>
      <c r="S28" s="617">
        <f t="shared" si="9"/>
        <v>0.14268133342191597</v>
      </c>
      <c r="T28" s="617">
        <f t="shared" si="9"/>
        <v>5.2756841088608404</v>
      </c>
      <c r="U28" s="617">
        <f t="shared" si="9"/>
        <v>95.699809682896714</v>
      </c>
      <c r="V28" s="617">
        <f t="shared" si="9"/>
        <v>4.3001903171032749</v>
      </c>
      <c r="W28" s="617">
        <f t="shared" si="9"/>
        <v>100</v>
      </c>
      <c r="X28" s="294"/>
      <c r="Y28" s="294"/>
      <c r="Z28" s="355"/>
    </row>
    <row r="29" spans="1:27" s="164" customFormat="1" ht="12.95" customHeight="1">
      <c r="A29" s="384" t="s">
        <v>1350</v>
      </c>
      <c r="B29" s="255">
        <v>298662</v>
      </c>
      <c r="C29" s="255">
        <v>42469</v>
      </c>
      <c r="D29" s="255">
        <v>499598</v>
      </c>
      <c r="E29" s="255">
        <v>28466</v>
      </c>
      <c r="F29" s="255">
        <v>2244</v>
      </c>
      <c r="G29" s="255">
        <v>196710</v>
      </c>
      <c r="H29" s="255">
        <v>339505</v>
      </c>
      <c r="I29" s="382">
        <v>179010</v>
      </c>
      <c r="J29" s="255">
        <v>26564</v>
      </c>
      <c r="K29" s="255">
        <v>28728</v>
      </c>
      <c r="L29" s="255">
        <v>73278</v>
      </c>
      <c r="M29" s="255">
        <v>205841</v>
      </c>
      <c r="N29" s="255">
        <v>4227</v>
      </c>
      <c r="O29" s="255">
        <v>16329</v>
      </c>
      <c r="P29" s="255">
        <v>80656</v>
      </c>
      <c r="Q29" s="255">
        <v>61120</v>
      </c>
      <c r="R29" s="255">
        <v>65783</v>
      </c>
      <c r="S29" s="255">
        <v>3322</v>
      </c>
      <c r="T29" s="255">
        <v>120489</v>
      </c>
      <c r="U29" s="255">
        <f>SUM(B29:T29)</f>
        <v>2273001</v>
      </c>
      <c r="V29" s="255">
        <v>101573</v>
      </c>
      <c r="W29" s="255">
        <f>U29+V29</f>
        <v>2374574</v>
      </c>
      <c r="X29" s="255">
        <v>94959</v>
      </c>
      <c r="Y29" s="255">
        <f>W29+X29</f>
        <v>2469533</v>
      </c>
      <c r="Z29" s="379" t="s">
        <v>1350</v>
      </c>
    </row>
    <row r="30" spans="1:27" ht="12.95" customHeight="1">
      <c r="A30" s="398"/>
      <c r="B30" s="617">
        <f t="shared" ref="B30:W30" si="10">(B29/$W29)*100</f>
        <v>12.577498111240162</v>
      </c>
      <c r="C30" s="617">
        <f t="shared" si="10"/>
        <v>1.7884892195400102</v>
      </c>
      <c r="D30" s="617">
        <f t="shared" si="10"/>
        <v>21.039479081300478</v>
      </c>
      <c r="E30" s="617">
        <f t="shared" si="10"/>
        <v>1.1987834449463357</v>
      </c>
      <c r="F30" s="617">
        <f t="shared" si="10"/>
        <v>9.4501161050361021E-2</v>
      </c>
      <c r="G30" s="617">
        <f t="shared" si="10"/>
        <v>8.2840122059788417</v>
      </c>
      <c r="H30" s="617">
        <f t="shared" si="10"/>
        <v>14.297511890553844</v>
      </c>
      <c r="I30" s="617">
        <f t="shared" si="10"/>
        <v>7.5386153474265276</v>
      </c>
      <c r="J30" s="617">
        <f t="shared" si="10"/>
        <v>1.1186848672646126</v>
      </c>
      <c r="K30" s="617">
        <f t="shared" si="10"/>
        <v>1.2098170029655846</v>
      </c>
      <c r="L30" s="617">
        <f t="shared" si="10"/>
        <v>3.0859429944065755</v>
      </c>
      <c r="M30" s="617">
        <f t="shared" si="10"/>
        <v>8.6685443367947261</v>
      </c>
      <c r="N30" s="617">
        <f t="shared" si="10"/>
        <v>0.1780108768983405</v>
      </c>
      <c r="O30" s="617">
        <f t="shared" si="10"/>
        <v>0.68766018662715922</v>
      </c>
      <c r="P30" s="617">
        <f t="shared" si="10"/>
        <v>3.3966513572539747</v>
      </c>
      <c r="Q30" s="617">
        <f t="shared" si="10"/>
        <v>2.5739353669331848</v>
      </c>
      <c r="R30" s="617">
        <f t="shared" si="10"/>
        <v>2.7703074319856951</v>
      </c>
      <c r="S30" s="617">
        <f t="shared" si="10"/>
        <v>0.1398987776333776</v>
      </c>
      <c r="T30" s="617">
        <f t="shared" si="10"/>
        <v>5.0741311915316185</v>
      </c>
      <c r="U30" s="617">
        <f t="shared" si="10"/>
        <v>95.722474852331402</v>
      </c>
      <c r="V30" s="617">
        <f t="shared" si="10"/>
        <v>4.2775251476685918</v>
      </c>
      <c r="W30" s="617">
        <f t="shared" si="10"/>
        <v>100</v>
      </c>
      <c r="X30" s="294"/>
      <c r="Y30" s="294"/>
      <c r="Z30" s="355"/>
    </row>
    <row r="31" spans="1:27" s="164" customFormat="1" ht="12.95" customHeight="1">
      <c r="A31" s="384" t="s">
        <v>1466</v>
      </c>
      <c r="B31" s="255">
        <v>308399.90000000002</v>
      </c>
      <c r="C31" s="255">
        <v>47271</v>
      </c>
      <c r="D31" s="255">
        <v>561220</v>
      </c>
      <c r="E31" s="255">
        <v>30812</v>
      </c>
      <c r="F31" s="255">
        <v>2386</v>
      </c>
      <c r="G31" s="255">
        <v>217314</v>
      </c>
      <c r="H31" s="255">
        <v>369561</v>
      </c>
      <c r="I31" s="255">
        <v>191556</v>
      </c>
      <c r="J31" s="382">
        <v>28061</v>
      </c>
      <c r="K31" s="255">
        <v>30842</v>
      </c>
      <c r="L31" s="255">
        <v>79324</v>
      </c>
      <c r="M31" s="255">
        <v>213268</v>
      </c>
      <c r="N31" s="255">
        <v>4403</v>
      </c>
      <c r="O31" s="255">
        <v>17663</v>
      </c>
      <c r="P31" s="255">
        <v>85890</v>
      </c>
      <c r="Q31" s="255">
        <v>65434</v>
      </c>
      <c r="R31" s="255">
        <v>73809</v>
      </c>
      <c r="S31" s="255">
        <v>3504</v>
      </c>
      <c r="T31" s="255">
        <v>124429</v>
      </c>
      <c r="U31" s="255">
        <f>SUM(B31:T31)</f>
        <v>2455146.9</v>
      </c>
      <c r="V31" s="255">
        <v>106588</v>
      </c>
      <c r="W31" s="255">
        <f>U31+V31</f>
        <v>2561734.9</v>
      </c>
      <c r="X31" s="255">
        <v>104932</v>
      </c>
      <c r="Y31" s="255">
        <f>W31+X31</f>
        <v>2666666.9</v>
      </c>
      <c r="Z31" s="379" t="s">
        <v>1466</v>
      </c>
    </row>
    <row r="32" spans="1:27" ht="12.95" customHeight="1">
      <c r="A32" s="398"/>
      <c r="B32" s="617">
        <f t="shared" ref="B32:W32" si="11">(B31/$W31)*100</f>
        <v>12.038712514710246</v>
      </c>
      <c r="C32" s="617">
        <f t="shared" si="11"/>
        <v>1.8452729047022003</v>
      </c>
      <c r="D32" s="617">
        <f t="shared" si="11"/>
        <v>21.907809430241983</v>
      </c>
      <c r="E32" s="617">
        <f t="shared" si="11"/>
        <v>1.2027786325587397</v>
      </c>
      <c r="F32" s="617">
        <f t="shared" si="11"/>
        <v>9.314000445557423E-2</v>
      </c>
      <c r="G32" s="617">
        <f t="shared" si="11"/>
        <v>8.4830791820027915</v>
      </c>
      <c r="H32" s="617">
        <f t="shared" si="11"/>
        <v>14.426199994386618</v>
      </c>
      <c r="I32" s="617">
        <f t="shared" si="11"/>
        <v>7.4775887231735032</v>
      </c>
      <c r="J32" s="617">
        <f t="shared" si="11"/>
        <v>1.095390471512099</v>
      </c>
      <c r="K32" s="617">
        <f t="shared" si="11"/>
        <v>1.2039497139223891</v>
      </c>
      <c r="L32" s="617">
        <f t="shared" si="11"/>
        <v>3.0964952696705659</v>
      </c>
      <c r="M32" s="617">
        <f t="shared" si="11"/>
        <v>8.3251393420919548</v>
      </c>
      <c r="N32" s="617">
        <f t="shared" si="11"/>
        <v>0.17187570813826208</v>
      </c>
      <c r="O32" s="617">
        <f t="shared" si="11"/>
        <v>0.68949367087125213</v>
      </c>
      <c r="P32" s="617">
        <f t="shared" si="11"/>
        <v>3.3528059441279421</v>
      </c>
      <c r="Q32" s="617">
        <f t="shared" si="11"/>
        <v>2.5542845983009403</v>
      </c>
      <c r="R32" s="617">
        <f t="shared" si="11"/>
        <v>2.8812114789863696</v>
      </c>
      <c r="S32" s="617">
        <f t="shared" si="11"/>
        <v>0.1367823032742381</v>
      </c>
      <c r="T32" s="617">
        <f t="shared" si="11"/>
        <v>4.8572160999172862</v>
      </c>
      <c r="U32" s="617">
        <f t="shared" si="11"/>
        <v>95.839225987044955</v>
      </c>
      <c r="V32" s="617">
        <f t="shared" si="11"/>
        <v>4.1607740129550486</v>
      </c>
      <c r="W32" s="617">
        <f t="shared" si="11"/>
        <v>100</v>
      </c>
      <c r="X32" s="294"/>
      <c r="Y32" s="294"/>
      <c r="Z32" s="355"/>
    </row>
    <row r="33" spans="1:26" s="164" customFormat="1" ht="12.95" customHeight="1">
      <c r="A33" s="384" t="s">
        <v>1550</v>
      </c>
      <c r="B33" s="255">
        <v>318950</v>
      </c>
      <c r="C33" s="255">
        <v>48765</v>
      </c>
      <c r="D33" s="255">
        <v>570654</v>
      </c>
      <c r="E33" s="255">
        <v>31020</v>
      </c>
      <c r="F33" s="255">
        <v>2438</v>
      </c>
      <c r="G33" s="255">
        <v>237146</v>
      </c>
      <c r="H33" s="255">
        <v>381439</v>
      </c>
      <c r="I33" s="255">
        <v>194870</v>
      </c>
      <c r="J33" s="255">
        <v>28535</v>
      </c>
      <c r="K33" s="255">
        <v>32868</v>
      </c>
      <c r="L33" s="255">
        <v>83068</v>
      </c>
      <c r="M33" s="255">
        <v>221109</v>
      </c>
      <c r="N33" s="255">
        <v>4552</v>
      </c>
      <c r="O33" s="255">
        <v>18781</v>
      </c>
      <c r="P33" s="255">
        <v>90602</v>
      </c>
      <c r="Q33" s="255">
        <v>68924</v>
      </c>
      <c r="R33" s="255">
        <v>81704</v>
      </c>
      <c r="S33" s="255">
        <v>3695</v>
      </c>
      <c r="T33" s="255">
        <v>128242</v>
      </c>
      <c r="U33" s="255">
        <f>SUM(B33:T33)</f>
        <v>2547362</v>
      </c>
      <c r="V33" s="255">
        <v>102703</v>
      </c>
      <c r="W33" s="255">
        <f>U33+V33</f>
        <v>2650065</v>
      </c>
      <c r="X33" s="255">
        <v>109691</v>
      </c>
      <c r="Y33" s="255">
        <f>W33+X33</f>
        <v>2759756</v>
      </c>
      <c r="Z33" s="379" t="s">
        <v>1550</v>
      </c>
    </row>
    <row r="34" spans="1:26" ht="12.95" customHeight="1">
      <c r="A34" s="398"/>
      <c r="B34" s="617">
        <f t="shared" ref="B34:W34" si="12">(B33/$W33)*100</f>
        <v>12.035553844905692</v>
      </c>
      <c r="C34" s="617">
        <f t="shared" si="12"/>
        <v>1.8401435436489293</v>
      </c>
      <c r="D34" s="617">
        <f t="shared" si="12"/>
        <v>21.533585025272963</v>
      </c>
      <c r="E34" s="617">
        <f t="shared" si="12"/>
        <v>1.1705373264429364</v>
      </c>
      <c r="F34" s="617">
        <f t="shared" si="12"/>
        <v>9.1997743451575714E-2</v>
      </c>
      <c r="G34" s="617">
        <f t="shared" si="12"/>
        <v>8.9486861643016304</v>
      </c>
      <c r="H34" s="617">
        <f t="shared" si="12"/>
        <v>14.393571478435435</v>
      </c>
      <c r="I34" s="617">
        <f t="shared" si="12"/>
        <v>7.3534045391339458</v>
      </c>
      <c r="J34" s="617">
        <f t="shared" si="12"/>
        <v>1.0767660415876592</v>
      </c>
      <c r="K34" s="617">
        <f t="shared" si="12"/>
        <v>1.2402714650395368</v>
      </c>
      <c r="L34" s="617">
        <f t="shared" si="12"/>
        <v>3.1345646238865843</v>
      </c>
      <c r="M34" s="617">
        <f t="shared" si="12"/>
        <v>8.3435311964046157</v>
      </c>
      <c r="N34" s="617">
        <f t="shared" si="12"/>
        <v>0.17176937169465653</v>
      </c>
      <c r="O34" s="617">
        <f t="shared" si="12"/>
        <v>0.7086995979343903</v>
      </c>
      <c r="P34" s="617">
        <f t="shared" si="12"/>
        <v>3.418859537407573</v>
      </c>
      <c r="Q34" s="617">
        <f t="shared" si="12"/>
        <v>2.6008418661429058</v>
      </c>
      <c r="R34" s="617">
        <f t="shared" si="12"/>
        <v>3.0830941882557599</v>
      </c>
      <c r="S34" s="617">
        <f t="shared" si="12"/>
        <v>0.13943054226971791</v>
      </c>
      <c r="T34" s="617">
        <f t="shared" si="12"/>
        <v>4.8392020573080288</v>
      </c>
      <c r="U34" s="617">
        <f t="shared" si="12"/>
        <v>96.12451015352454</v>
      </c>
      <c r="V34" s="617">
        <f t="shared" si="12"/>
        <v>3.8754898464754639</v>
      </c>
      <c r="W34" s="617">
        <f t="shared" si="12"/>
        <v>100</v>
      </c>
      <c r="X34" s="294"/>
      <c r="Y34" s="294"/>
      <c r="Z34" s="355"/>
    </row>
    <row r="35" spans="1:26" s="164" customFormat="1" ht="12.95" customHeight="1">
      <c r="A35" s="384" t="s">
        <v>1606</v>
      </c>
      <c r="B35" s="382">
        <v>329075</v>
      </c>
      <c r="C35" s="382">
        <v>51932</v>
      </c>
      <c r="D35" s="382">
        <v>636764</v>
      </c>
      <c r="E35" s="382">
        <v>33980</v>
      </c>
      <c r="F35" s="382">
        <v>2599</v>
      </c>
      <c r="G35" s="382">
        <v>256305</v>
      </c>
      <c r="H35" s="382">
        <v>410589</v>
      </c>
      <c r="I35" s="382">
        <v>202740</v>
      </c>
      <c r="J35" s="382">
        <v>29828</v>
      </c>
      <c r="K35" s="382">
        <v>35206</v>
      </c>
      <c r="L35" s="382">
        <v>87901</v>
      </c>
      <c r="M35" s="382">
        <v>228668</v>
      </c>
      <c r="N35" s="382">
        <v>4784</v>
      </c>
      <c r="O35" s="382">
        <v>19911</v>
      </c>
      <c r="P35" s="382">
        <v>96081</v>
      </c>
      <c r="Q35" s="382">
        <v>72932</v>
      </c>
      <c r="R35" s="382">
        <v>90364</v>
      </c>
      <c r="S35" s="382">
        <v>3908</v>
      </c>
      <c r="T35" s="382">
        <v>132197</v>
      </c>
      <c r="U35" s="255">
        <f>SUM(B35:T35)</f>
        <v>2725764</v>
      </c>
      <c r="V35" s="382">
        <v>108180</v>
      </c>
      <c r="W35" s="255">
        <f>U35+V35</f>
        <v>2833944</v>
      </c>
      <c r="X35" s="382">
        <v>149165</v>
      </c>
      <c r="Y35" s="255">
        <f>W35+X35</f>
        <v>2983109</v>
      </c>
      <c r="Z35" s="379" t="s">
        <v>1606</v>
      </c>
    </row>
    <row r="36" spans="1:26" ht="12.95" customHeight="1">
      <c r="A36" s="398"/>
      <c r="B36" s="617">
        <f t="shared" ref="B36:W40" si="13">(B35/$W35)*100</f>
        <v>11.61190905677741</v>
      </c>
      <c r="C36" s="617">
        <f t="shared" si="13"/>
        <v>1.8324991601810054</v>
      </c>
      <c r="D36" s="617">
        <f t="shared" si="13"/>
        <v>22.469180760099704</v>
      </c>
      <c r="E36" s="617">
        <f t="shared" si="13"/>
        <v>1.1990356901900672</v>
      </c>
      <c r="F36" s="617">
        <f t="shared" si="13"/>
        <v>9.1709645638728216E-2</v>
      </c>
      <c r="G36" s="617">
        <f t="shared" si="13"/>
        <v>9.0441095519177512</v>
      </c>
      <c r="H36" s="617">
        <f t="shared" si="13"/>
        <v>14.488253825763669</v>
      </c>
      <c r="I36" s="617">
        <f t="shared" si="13"/>
        <v>7.1539875170433849</v>
      </c>
      <c r="J36" s="617">
        <f t="shared" si="13"/>
        <v>1.0525260908472434</v>
      </c>
      <c r="K36" s="617">
        <f t="shared" si="13"/>
        <v>1.2422969543505447</v>
      </c>
      <c r="L36" s="617">
        <f t="shared" si="13"/>
        <v>3.10171972346666</v>
      </c>
      <c r="M36" s="617">
        <f t="shared" si="13"/>
        <v>8.068896209663988</v>
      </c>
      <c r="N36" s="617">
        <f t="shared" si="13"/>
        <v>0.16881067515801298</v>
      </c>
      <c r="O36" s="617">
        <f t="shared" si="13"/>
        <v>0.70258974771555116</v>
      </c>
      <c r="P36" s="617">
        <f t="shared" si="13"/>
        <v>3.3903633946189484</v>
      </c>
      <c r="Q36" s="617">
        <f t="shared" si="13"/>
        <v>2.5735159198629192</v>
      </c>
      <c r="R36" s="617">
        <f t="shared" si="13"/>
        <v>3.1886304034236388</v>
      </c>
      <c r="S36" s="617">
        <f t="shared" si="13"/>
        <v>0.13789969032556748</v>
      </c>
      <c r="T36" s="617">
        <f t="shared" si="13"/>
        <v>4.6647710752223759</v>
      </c>
      <c r="U36" s="617">
        <f t="shared" si="13"/>
        <v>96.18270509226717</v>
      </c>
      <c r="V36" s="617">
        <f t="shared" si="13"/>
        <v>3.8172949077328275</v>
      </c>
      <c r="W36" s="617">
        <f t="shared" si="13"/>
        <v>100</v>
      </c>
      <c r="X36" s="294"/>
      <c r="Y36" s="294"/>
      <c r="Z36" s="355"/>
    </row>
    <row r="37" spans="1:26" ht="12.95" customHeight="1">
      <c r="A37" s="384" t="s">
        <v>1927</v>
      </c>
      <c r="B37" s="382">
        <v>339125</v>
      </c>
      <c r="C37" s="382">
        <v>51352</v>
      </c>
      <c r="D37" s="382">
        <v>709425</v>
      </c>
      <c r="E37" s="382">
        <v>36070</v>
      </c>
      <c r="F37" s="382">
        <v>2848</v>
      </c>
      <c r="G37" s="382">
        <v>278628</v>
      </c>
      <c r="H37" s="382">
        <v>445317</v>
      </c>
      <c r="I37" s="382">
        <v>214399</v>
      </c>
      <c r="J37" s="382">
        <v>31428</v>
      </c>
      <c r="K37" s="382">
        <v>36891</v>
      </c>
      <c r="L37" s="382">
        <v>93061</v>
      </c>
      <c r="M37" s="382">
        <v>237134</v>
      </c>
      <c r="N37" s="382">
        <v>4987</v>
      </c>
      <c r="O37" s="382">
        <v>21108</v>
      </c>
      <c r="P37" s="382">
        <v>100802</v>
      </c>
      <c r="Q37" s="382">
        <v>78675</v>
      </c>
      <c r="R37" s="382">
        <v>99289</v>
      </c>
      <c r="S37" s="382">
        <v>4145</v>
      </c>
      <c r="T37" s="382">
        <v>136410</v>
      </c>
      <c r="U37" s="255">
        <f>SUM(B37:T37)</f>
        <v>2921094</v>
      </c>
      <c r="V37" s="382">
        <v>114056</v>
      </c>
      <c r="W37" s="255">
        <f>U37+V37</f>
        <v>3035150</v>
      </c>
      <c r="X37" s="382">
        <v>120242</v>
      </c>
      <c r="Y37" s="255">
        <f>W37+X37</f>
        <v>3155392</v>
      </c>
      <c r="Z37" s="379" t="s">
        <v>1927</v>
      </c>
    </row>
    <row r="38" spans="1:26" ht="12.95" customHeight="1">
      <c r="A38" s="398"/>
      <c r="B38" s="617">
        <f>(B37/$W37)*100</f>
        <v>11.173253381216744</v>
      </c>
      <c r="C38" s="617">
        <f t="shared" si="13"/>
        <v>1.6919097902904305</v>
      </c>
      <c r="D38" s="617">
        <f t="shared" si="13"/>
        <v>23.373638864636014</v>
      </c>
      <c r="E38" s="617">
        <f t="shared" si="13"/>
        <v>1.1884091395812397</v>
      </c>
      <c r="F38" s="617">
        <f t="shared" si="13"/>
        <v>9.3833912656705598E-2</v>
      </c>
      <c r="G38" s="617">
        <f t="shared" si="13"/>
        <v>9.1800405251799742</v>
      </c>
      <c r="H38" s="617">
        <f t="shared" si="13"/>
        <v>14.671993146961434</v>
      </c>
      <c r="I38" s="617">
        <f t="shared" si="13"/>
        <v>7.0638683425860345</v>
      </c>
      <c r="J38" s="617">
        <f t="shared" si="13"/>
        <v>1.0354677693029999</v>
      </c>
      <c r="K38" s="617">
        <f t="shared" si="13"/>
        <v>1.2154588735317859</v>
      </c>
      <c r="L38" s="617">
        <f t="shared" si="13"/>
        <v>3.0661087590399156</v>
      </c>
      <c r="M38" s="617">
        <f t="shared" si="13"/>
        <v>7.8129252261008517</v>
      </c>
      <c r="N38" s="617">
        <f t="shared" si="13"/>
        <v>0.16430818905161193</v>
      </c>
      <c r="O38" s="617">
        <f t="shared" si="13"/>
        <v>0.69545162512561154</v>
      </c>
      <c r="P38" s="617">
        <f t="shared" si="13"/>
        <v>3.3211538144737491</v>
      </c>
      <c r="Q38" s="617">
        <f t="shared" si="13"/>
        <v>2.5921288898407</v>
      </c>
      <c r="R38" s="617">
        <f>(R37/$W37)*100</f>
        <v>3.2713045483748746</v>
      </c>
      <c r="S38" s="617">
        <f>(S37/$W37)*100</f>
        <v>0.13656656178442581</v>
      </c>
      <c r="T38" s="617">
        <f>(T37/$W37)*100</f>
        <v>4.4943413010889079</v>
      </c>
      <c r="U38" s="617">
        <f t="shared" si="13"/>
        <v>96.242162660824022</v>
      </c>
      <c r="V38" s="617">
        <f t="shared" si="13"/>
        <v>3.7578373391759881</v>
      </c>
      <c r="W38" s="617">
        <f t="shared" si="13"/>
        <v>100</v>
      </c>
      <c r="X38" s="294"/>
      <c r="Y38" s="294"/>
      <c r="Z38" s="355"/>
    </row>
    <row r="39" spans="1:26" ht="12.95" customHeight="1">
      <c r="A39" s="384" t="s">
        <v>2183</v>
      </c>
      <c r="B39" s="382">
        <v>350559</v>
      </c>
      <c r="C39" s="382">
        <v>57888</v>
      </c>
      <c r="D39" s="382">
        <v>772522</v>
      </c>
      <c r="E39" s="382">
        <v>36959</v>
      </c>
      <c r="F39" s="382">
        <v>3100</v>
      </c>
      <c r="G39" s="382">
        <v>298079</v>
      </c>
      <c r="H39" s="382">
        <v>473716</v>
      </c>
      <c r="I39" s="382">
        <v>226164</v>
      </c>
      <c r="J39" s="382">
        <v>33265</v>
      </c>
      <c r="K39" s="382">
        <v>39235</v>
      </c>
      <c r="L39" s="382">
        <v>95433</v>
      </c>
      <c r="M39" s="382">
        <v>245870</v>
      </c>
      <c r="N39" s="382">
        <v>5426</v>
      </c>
      <c r="O39" s="382">
        <v>22694</v>
      </c>
      <c r="P39" s="382">
        <v>107890</v>
      </c>
      <c r="Q39" s="382">
        <v>83021</v>
      </c>
      <c r="R39" s="382">
        <v>106457</v>
      </c>
      <c r="S39" s="382">
        <v>4408</v>
      </c>
      <c r="T39" s="382">
        <v>140833</v>
      </c>
      <c r="U39" s="382">
        <f>SUM(B39:T39)</f>
        <v>3103519</v>
      </c>
      <c r="V39" s="382">
        <v>106914</v>
      </c>
      <c r="W39" s="255">
        <f>U39+V39</f>
        <v>3210433</v>
      </c>
      <c r="X39" s="382">
        <v>128135</v>
      </c>
      <c r="Y39" s="255">
        <f>W39+X39</f>
        <v>3338568</v>
      </c>
      <c r="Z39" s="379" t="s">
        <v>2183</v>
      </c>
    </row>
    <row r="40" spans="1:26" ht="12.95" customHeight="1">
      <c r="A40" s="398"/>
      <c r="B40" s="617">
        <f>(B39/$W39)*100</f>
        <v>10.919368197373998</v>
      </c>
      <c r="C40" s="617">
        <f t="shared" si="13"/>
        <v>1.8031212612130514</v>
      </c>
      <c r="D40" s="617">
        <f t="shared" si="13"/>
        <v>24.062860056571807</v>
      </c>
      <c r="E40" s="617">
        <f t="shared" si="13"/>
        <v>1.1512154279500615</v>
      </c>
      <c r="F40" s="617">
        <f t="shared" si="13"/>
        <v>9.6560183626320822E-2</v>
      </c>
      <c r="G40" s="617">
        <f t="shared" si="13"/>
        <v>9.2846977339193817</v>
      </c>
      <c r="H40" s="617">
        <f t="shared" si="13"/>
        <v>14.755517402169737</v>
      </c>
      <c r="I40" s="617">
        <f t="shared" si="13"/>
        <v>7.0446572160203935</v>
      </c>
      <c r="J40" s="617">
        <f t="shared" si="13"/>
        <v>1.0361530672030845</v>
      </c>
      <c r="K40" s="617">
        <f t="shared" si="13"/>
        <v>1.2221092917995797</v>
      </c>
      <c r="L40" s="617">
        <f t="shared" si="13"/>
        <v>2.9725896787131205</v>
      </c>
      <c r="M40" s="617">
        <f t="shared" si="13"/>
        <v>7.6584684994204828</v>
      </c>
      <c r="N40" s="617">
        <f t="shared" si="13"/>
        <v>0.16901146979239251</v>
      </c>
      <c r="O40" s="617">
        <f t="shared" si="13"/>
        <v>0.70688284103733046</v>
      </c>
      <c r="P40" s="617">
        <f t="shared" si="13"/>
        <v>3.3606058746592748</v>
      </c>
      <c r="Q40" s="617">
        <f t="shared" si="13"/>
        <v>2.5859751628518644</v>
      </c>
      <c r="R40" s="617">
        <f>(R39/$W39)*100</f>
        <v>3.3159701510668502</v>
      </c>
      <c r="S40" s="617">
        <f>(S39/$W39)*100</f>
        <v>0.13730235142736197</v>
      </c>
      <c r="T40" s="617">
        <f>(T39/$W39)*100</f>
        <v>4.3867291421437544</v>
      </c>
      <c r="U40" s="617">
        <f t="shared" si="13"/>
        <v>96.669795008959852</v>
      </c>
      <c r="V40" s="617">
        <f t="shared" si="13"/>
        <v>3.3302049910401497</v>
      </c>
      <c r="W40" s="617">
        <f>(W39/$W39)*100</f>
        <v>100</v>
      </c>
      <c r="X40" s="294"/>
      <c r="Y40" s="294"/>
      <c r="Z40" s="355"/>
    </row>
    <row r="41" spans="1:26" ht="14.25" customHeight="1">
      <c r="A41" s="1769" t="s">
        <v>2345</v>
      </c>
      <c r="B41" s="382">
        <v>362141</v>
      </c>
      <c r="C41" s="382">
        <v>57224</v>
      </c>
      <c r="D41" s="382">
        <v>796907</v>
      </c>
      <c r="E41" s="382">
        <v>37320</v>
      </c>
      <c r="F41" s="382">
        <v>3223</v>
      </c>
      <c r="G41" s="382">
        <v>314847</v>
      </c>
      <c r="H41" s="382">
        <v>501036</v>
      </c>
      <c r="I41" s="382">
        <v>237794</v>
      </c>
      <c r="J41" s="382">
        <v>35128</v>
      </c>
      <c r="K41" s="382">
        <v>40826</v>
      </c>
      <c r="L41" s="382">
        <v>96585</v>
      </c>
      <c r="M41" s="382">
        <v>254477</v>
      </c>
      <c r="N41" s="382">
        <v>5840</v>
      </c>
      <c r="O41" s="382">
        <v>24704</v>
      </c>
      <c r="P41" s="382">
        <v>113914</v>
      </c>
      <c r="Q41" s="382">
        <v>88464</v>
      </c>
      <c r="R41" s="382">
        <v>116325</v>
      </c>
      <c r="S41" s="382">
        <v>4690</v>
      </c>
      <c r="T41" s="382">
        <v>145262</v>
      </c>
      <c r="U41" s="382">
        <f>SUM(B41:T41)</f>
        <v>3236707</v>
      </c>
      <c r="V41" s="382">
        <v>109311</v>
      </c>
      <c r="W41" s="382">
        <f>U41+V41</f>
        <v>3346018</v>
      </c>
      <c r="X41" s="382">
        <v>144088</v>
      </c>
      <c r="Y41" s="255">
        <f>W41+X41</f>
        <v>3490106</v>
      </c>
      <c r="Z41" s="379" t="s">
        <v>2345</v>
      </c>
    </row>
    <row r="42" spans="1:26" ht="12.95" customHeight="1" thickBot="1">
      <c r="A42" s="854"/>
      <c r="B42" s="596">
        <f>(B41/$W41)*100</f>
        <v>10.823043988406518</v>
      </c>
      <c r="C42" s="596">
        <f t="shared" ref="C42:Q42" si="14">(C41/$W41)*100</f>
        <v>1.7102119594096625</v>
      </c>
      <c r="D42" s="596">
        <f t="shared" si="14"/>
        <v>23.816578392584859</v>
      </c>
      <c r="E42" s="596">
        <f t="shared" si="14"/>
        <v>1.1153556257019537</v>
      </c>
      <c r="F42" s="596">
        <f t="shared" si="14"/>
        <v>9.6323450740551902E-2</v>
      </c>
      <c r="G42" s="596">
        <f t="shared" si="14"/>
        <v>9.4096026978934368</v>
      </c>
      <c r="H42" s="596">
        <f t="shared" si="14"/>
        <v>14.974097569110507</v>
      </c>
      <c r="I42" s="596">
        <f t="shared" si="14"/>
        <v>7.1067758750849519</v>
      </c>
      <c r="J42" s="596">
        <f t="shared" si="14"/>
        <v>1.0498449201408959</v>
      </c>
      <c r="K42" s="596">
        <f t="shared" si="14"/>
        <v>1.2201368910747044</v>
      </c>
      <c r="L42" s="596">
        <f t="shared" si="14"/>
        <v>2.886565463784116</v>
      </c>
      <c r="M42" s="596">
        <f t="shared" si="14"/>
        <v>7.6053685305936787</v>
      </c>
      <c r="N42" s="596">
        <f t="shared" si="14"/>
        <v>0.17453582138530038</v>
      </c>
      <c r="O42" s="596">
        <f t="shared" si="14"/>
        <v>0.73831043347644876</v>
      </c>
      <c r="P42" s="596">
        <f t="shared" si="14"/>
        <v>3.4044646502200528</v>
      </c>
      <c r="Q42" s="596">
        <f t="shared" si="14"/>
        <v>2.643859058737879</v>
      </c>
      <c r="R42" s="596">
        <f>(R41/$W41)*100</f>
        <v>3.4765204490830595</v>
      </c>
      <c r="S42" s="596">
        <f>(S41/$W41)*100</f>
        <v>0.1401666099823731</v>
      </c>
      <c r="T42" s="596">
        <f>(T41/$W41)*100</f>
        <v>4.341339466793066</v>
      </c>
      <c r="U42" s="596">
        <f t="shared" ref="U42:V42" si="15">(U41/$W41)*100</f>
        <v>96.733101854204008</v>
      </c>
      <c r="V42" s="596">
        <f t="shared" si="15"/>
        <v>3.266898145795988</v>
      </c>
      <c r="W42" s="596">
        <f>(W41/$W41)*100</f>
        <v>100</v>
      </c>
      <c r="X42" s="793"/>
      <c r="Y42" s="793"/>
      <c r="Z42" s="855"/>
    </row>
    <row r="43" spans="1:26" ht="13.5" customHeight="1">
      <c r="A43" s="78" t="s">
        <v>2077</v>
      </c>
      <c r="B43" s="2296" t="s">
        <v>2078</v>
      </c>
      <c r="C43" s="2296"/>
      <c r="D43" s="2296"/>
      <c r="E43" s="2296"/>
      <c r="F43" s="2296"/>
      <c r="G43" s="2296"/>
      <c r="H43" s="2296"/>
      <c r="I43" s="2296"/>
      <c r="J43" s="2296"/>
      <c r="K43" s="259"/>
      <c r="L43" s="1357"/>
      <c r="M43" s="610"/>
      <c r="N43" s="717" t="s">
        <v>2079</v>
      </c>
      <c r="O43" s="7"/>
      <c r="P43" s="7"/>
      <c r="Q43" s="7"/>
      <c r="R43" s="53"/>
      <c r="S43" s="1161"/>
      <c r="T43" s="1161"/>
      <c r="U43" s="53" t="s">
        <v>2289</v>
      </c>
      <c r="V43" s="1161"/>
      <c r="W43" s="7"/>
      <c r="X43" s="2289"/>
      <c r="Y43" s="2289"/>
      <c r="Z43" s="7"/>
    </row>
    <row r="44" spans="1:26" ht="9.75" customHeight="1">
      <c r="B44" s="2294"/>
      <c r="C44" s="2294"/>
      <c r="D44" s="2294"/>
      <c r="E44" s="1500"/>
      <c r="F44" s="2289"/>
      <c r="G44" s="2289"/>
      <c r="H44" s="1500"/>
      <c r="I44" s="1500"/>
      <c r="J44" s="1500"/>
      <c r="K44" s="1500"/>
      <c r="L44" s="1500"/>
      <c r="P44" s="2295"/>
      <c r="Q44" s="2295"/>
      <c r="R44" s="2295"/>
      <c r="S44" s="1494"/>
    </row>
    <row r="45" spans="1:26" ht="9.75" customHeight="1"/>
    <row r="46" spans="1:26" ht="9.75" customHeight="1">
      <c r="D46" s="745"/>
      <c r="H46" s="1358"/>
    </row>
    <row r="47" spans="1:26" ht="9.75" customHeight="1">
      <c r="B47" s="745"/>
      <c r="C47" s="745"/>
      <c r="D47" s="745"/>
      <c r="E47" s="745"/>
      <c r="F47" s="745"/>
      <c r="G47" s="745"/>
      <c r="H47" s="745"/>
      <c r="I47" s="745"/>
      <c r="J47" s="745"/>
      <c r="K47" s="745"/>
      <c r="L47" s="745"/>
      <c r="M47" s="745"/>
      <c r="N47" s="745"/>
      <c r="O47" s="745"/>
      <c r="P47" s="745"/>
      <c r="Q47" s="745"/>
      <c r="R47" s="745"/>
      <c r="S47" s="745"/>
      <c r="T47" s="745"/>
      <c r="U47" s="745"/>
    </row>
    <row r="48" spans="1:26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</sheetData>
  <customSheetViews>
    <customSheetView guid="{A374FC54-96E3-45F0-9C12-8450400C12DF}" scale="170" topLeftCell="O1">
      <pane ySplit="4" topLeftCell="A35" activePane="bottomLeft" state="frozen"/>
      <selection pane="bottomLeft" activeCell="X40" sqref="X40"/>
      <pageMargins left="0.62992125984252001" right="0.511811023622047" top="0.511811023622047" bottom="0.511811023622047" header="0.25" footer="0"/>
      <pageSetup paperSize="132" firstPageNumber="48" orientation="portrait" useFirstPageNumber="1" r:id="rId1"/>
      <headerFooter>
        <oddFooter>&amp;C&amp;"Times New Roman,Regular"&amp;8&amp;P</oddFooter>
      </headerFooter>
    </customSheetView>
  </customSheetViews>
  <mergeCells count="13">
    <mergeCell ref="Y1:Z1"/>
    <mergeCell ref="J2:L2"/>
    <mergeCell ref="Y2:Z2"/>
    <mergeCell ref="Z3:Z4"/>
    <mergeCell ref="A5:C5"/>
    <mergeCell ref="A3:A4"/>
    <mergeCell ref="N1:X1"/>
    <mergeCell ref="E1:M1"/>
    <mergeCell ref="X43:Y43"/>
    <mergeCell ref="B44:D44"/>
    <mergeCell ref="F44:G44"/>
    <mergeCell ref="P44:R44"/>
    <mergeCell ref="B43:J43"/>
  </mergeCells>
  <phoneticPr fontId="43" type="noConversion"/>
  <pageMargins left="0.62992125984252001" right="0.511811023622047" top="0.511811023622047" bottom="0.511811023622047" header="0.25" footer="0"/>
  <pageSetup paperSize="448" firstPageNumber="48" orientation="portrait" useFirstPageNumber="1" r:id="rId2"/>
  <headerFooter>
    <oddFooter>&amp;C&amp;"Times New Roman,Regular"&amp;8&amp;P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M22815"/>
  <sheetViews>
    <sheetView showWhiteSpace="0" topLeftCell="T1" zoomScale="130" zoomScaleNormal="130" workbookViewId="0">
      <selection activeCell="AJ53" sqref="AJ53"/>
    </sheetView>
  </sheetViews>
  <sheetFormatPr defaultColWidth="9.140625" defaultRowHeight="11.25"/>
  <cols>
    <col min="1" max="1" width="7" style="8" customWidth="1"/>
    <col min="2" max="2" width="8.28515625" style="8" customWidth="1"/>
    <col min="3" max="3" width="6.7109375" style="8" customWidth="1"/>
    <col min="4" max="4" width="6.85546875" style="8" customWidth="1"/>
    <col min="5" max="5" width="7.7109375" style="8" customWidth="1"/>
    <col min="6" max="6" width="7.140625" style="8" customWidth="1"/>
    <col min="7" max="7" width="9.28515625" style="8" customWidth="1"/>
    <col min="8" max="8" width="7.7109375" style="8" customWidth="1"/>
    <col min="9" max="9" width="9.5703125" style="1554" customWidth="1"/>
    <col min="10" max="10" width="7.140625" style="8" customWidth="1"/>
    <col min="11" max="11" width="12.140625" style="8" customWidth="1"/>
    <col min="12" max="12" width="9.5703125" style="8" customWidth="1"/>
    <col min="13" max="13" width="7.140625" style="8" customWidth="1"/>
    <col min="14" max="14" width="8.5703125" style="8" customWidth="1"/>
    <col min="15" max="15" width="6.85546875" style="8" customWidth="1"/>
    <col min="16" max="16" width="7.42578125" style="8" customWidth="1"/>
    <col min="17" max="17" width="8.28515625" style="8" customWidth="1"/>
    <col min="18" max="18" width="7.85546875" style="85" customWidth="1"/>
    <col min="19" max="19" width="7.85546875" style="8" customWidth="1"/>
    <col min="20" max="20" width="7.28515625" style="8" customWidth="1"/>
    <col min="21" max="21" width="9" style="8" customWidth="1"/>
    <col min="22" max="22" width="7" style="8" customWidth="1"/>
    <col min="23" max="23" width="7.28515625" style="8" customWidth="1"/>
    <col min="24" max="24" width="6.5703125" style="8" customWidth="1"/>
    <col min="25" max="25" width="7.42578125" style="8" customWidth="1"/>
    <col min="26" max="26" width="9.7109375" style="8" customWidth="1"/>
    <col min="27" max="27" width="7.5703125" style="8" customWidth="1"/>
    <col min="28" max="28" width="9.85546875" style="8" customWidth="1"/>
    <col min="29" max="29" width="8.28515625" style="8" customWidth="1"/>
    <col min="30" max="30" width="12" style="8" customWidth="1"/>
    <col min="31" max="31" width="9.7109375" style="8" customWidth="1"/>
    <col min="32" max="32" width="8.140625" style="8" customWidth="1"/>
    <col min="33" max="33" width="10.28515625" style="8" customWidth="1"/>
    <col min="34" max="34" width="9.85546875" style="8" customWidth="1"/>
    <col min="35" max="35" width="7" style="8" customWidth="1"/>
    <col min="36" max="36" width="9.140625" style="8"/>
    <col min="37" max="37" width="5.7109375" style="8" customWidth="1"/>
    <col min="38" max="38" width="6.7109375" style="8" customWidth="1"/>
    <col min="39" max="16384" width="9.140625" style="8"/>
  </cols>
  <sheetData>
    <row r="1" spans="1:39" s="518" customFormat="1" ht="13.5" customHeight="1">
      <c r="A1" s="1545"/>
      <c r="B1" s="1545"/>
      <c r="C1" s="1546" t="s">
        <v>2120</v>
      </c>
      <c r="D1" s="1907" t="s">
        <v>2369</v>
      </c>
      <c r="E1" s="1907"/>
      <c r="F1" s="1907"/>
      <c r="G1" s="1907"/>
      <c r="H1" s="1907"/>
      <c r="I1" s="1907"/>
      <c r="J1" s="1907"/>
      <c r="K1" s="2315" t="s">
        <v>2474</v>
      </c>
      <c r="L1" s="2315"/>
      <c r="M1" s="2315"/>
      <c r="N1" s="2315"/>
      <c r="O1" s="2315"/>
      <c r="P1" s="2315"/>
      <c r="Q1" s="2315"/>
      <c r="R1" s="2315"/>
      <c r="S1" s="2315"/>
      <c r="T1" s="2315"/>
      <c r="U1" s="1545"/>
      <c r="V1" s="1546" t="s">
        <v>2120</v>
      </c>
      <c r="W1" s="1546"/>
      <c r="X1" s="1907" t="s">
        <v>2369</v>
      </c>
      <c r="Y1" s="1907"/>
      <c r="Z1" s="1907"/>
      <c r="AA1" s="1907"/>
      <c r="AB1" s="1907"/>
      <c r="AC1" s="1907"/>
      <c r="AD1" s="1920" t="s">
        <v>2475</v>
      </c>
      <c r="AE1" s="1920"/>
      <c r="AF1" s="1920"/>
      <c r="AG1" s="1920"/>
      <c r="AH1" s="1920"/>
      <c r="AI1" s="1920"/>
      <c r="AJ1" s="1920"/>
      <c r="AK1" s="1920"/>
      <c r="AL1" s="1920"/>
      <c r="AM1" s="1920"/>
    </row>
    <row r="2" spans="1:39" s="424" customFormat="1" ht="11.25" customHeight="1">
      <c r="A2" s="1547"/>
      <c r="B2" s="1547"/>
      <c r="E2" s="1547"/>
      <c r="F2" s="1547"/>
      <c r="G2" s="1547"/>
      <c r="H2" s="1547"/>
      <c r="I2" s="1547"/>
      <c r="J2" s="2311"/>
      <c r="K2" s="2311"/>
      <c r="L2" s="1548"/>
      <c r="M2" s="1548"/>
      <c r="N2" s="1548"/>
      <c r="Q2" s="2316" t="s">
        <v>2370</v>
      </c>
      <c r="R2" s="2316"/>
      <c r="S2" s="2316"/>
      <c r="T2" s="1547"/>
      <c r="U2" s="1547"/>
      <c r="X2" s="1547"/>
      <c r="Y2" s="1547"/>
      <c r="Z2" s="1547"/>
      <c r="AA2" s="1547"/>
      <c r="AB2" s="1547"/>
      <c r="AC2" s="2311"/>
      <c r="AD2" s="2311"/>
      <c r="AE2" s="1548"/>
      <c r="AF2" s="1548"/>
      <c r="AG2" s="1548"/>
      <c r="AJ2" s="2312" t="s">
        <v>24</v>
      </c>
      <c r="AK2" s="2312"/>
      <c r="AL2" s="2312"/>
    </row>
    <row r="3" spans="1:39" s="364" customFormat="1" ht="11.25" customHeight="1">
      <c r="A3" s="2306" t="s">
        <v>487</v>
      </c>
      <c r="B3" s="1549" t="s">
        <v>147</v>
      </c>
      <c r="C3" s="2303" t="s">
        <v>2355</v>
      </c>
      <c r="D3" s="2304"/>
      <c r="E3" s="2304"/>
      <c r="F3" s="2304"/>
      <c r="G3" s="2305"/>
      <c r="H3" s="2303" t="s">
        <v>332</v>
      </c>
      <c r="I3" s="2304"/>
      <c r="J3" s="2304"/>
      <c r="K3" s="2304"/>
      <c r="L3" s="2304"/>
      <c r="M3" s="2304"/>
      <c r="N3" s="2305"/>
      <c r="O3" s="2313" t="s">
        <v>2360</v>
      </c>
      <c r="P3" s="2306" t="s">
        <v>2072</v>
      </c>
      <c r="Q3" s="2306" t="s">
        <v>2361</v>
      </c>
      <c r="R3" s="2308" t="s">
        <v>2362</v>
      </c>
      <c r="S3" s="2306" t="s">
        <v>487</v>
      </c>
      <c r="T3" s="2306" t="s">
        <v>487</v>
      </c>
      <c r="U3" s="1550" t="s">
        <v>147</v>
      </c>
      <c r="V3" s="2303" t="s">
        <v>2355</v>
      </c>
      <c r="W3" s="2304"/>
      <c r="X3" s="2304"/>
      <c r="Y3" s="2304"/>
      <c r="Z3" s="2305"/>
      <c r="AA3" s="2303" t="s">
        <v>332</v>
      </c>
      <c r="AB3" s="2304"/>
      <c r="AC3" s="2304"/>
      <c r="AD3" s="2304"/>
      <c r="AE3" s="2304"/>
      <c r="AF3" s="2304"/>
      <c r="AG3" s="2305"/>
      <c r="AH3" s="2313" t="s">
        <v>2360</v>
      </c>
      <c r="AI3" s="2306" t="s">
        <v>2072</v>
      </c>
      <c r="AJ3" s="2306" t="s">
        <v>2373</v>
      </c>
      <c r="AK3" s="2308" t="s">
        <v>2362</v>
      </c>
      <c r="AL3" s="2306" t="s">
        <v>487</v>
      </c>
    </row>
    <row r="4" spans="1:39" s="171" customFormat="1" ht="60.75" customHeight="1">
      <c r="A4" s="2310"/>
      <c r="B4" s="1542" t="s">
        <v>2058</v>
      </c>
      <c r="C4" s="1542" t="s">
        <v>1294</v>
      </c>
      <c r="D4" s="1542" t="s">
        <v>268</v>
      </c>
      <c r="E4" s="1542" t="s">
        <v>2354</v>
      </c>
      <c r="F4" s="1542" t="s">
        <v>269</v>
      </c>
      <c r="G4" s="1542" t="s">
        <v>483</v>
      </c>
      <c r="H4" s="1542" t="s">
        <v>2356</v>
      </c>
      <c r="I4" s="1542" t="s">
        <v>2464</v>
      </c>
      <c r="J4" s="1542" t="s">
        <v>2064</v>
      </c>
      <c r="K4" s="1542" t="s">
        <v>2357</v>
      </c>
      <c r="L4" s="1542" t="s">
        <v>2358</v>
      </c>
      <c r="M4" s="1542" t="s">
        <v>2359</v>
      </c>
      <c r="N4" s="1542" t="s">
        <v>483</v>
      </c>
      <c r="O4" s="2314"/>
      <c r="P4" s="2307"/>
      <c r="Q4" s="2307"/>
      <c r="R4" s="2309"/>
      <c r="S4" s="2310"/>
      <c r="T4" s="2310"/>
      <c r="U4" s="1542" t="s">
        <v>2465</v>
      </c>
      <c r="V4" s="1542" t="s">
        <v>2082</v>
      </c>
      <c r="W4" s="1542" t="s">
        <v>268</v>
      </c>
      <c r="X4" s="1542" t="s">
        <v>2354</v>
      </c>
      <c r="Y4" s="1542" t="s">
        <v>269</v>
      </c>
      <c r="Z4" s="1542" t="s">
        <v>483</v>
      </c>
      <c r="AA4" s="1542" t="s">
        <v>2356</v>
      </c>
      <c r="AB4" s="1542" t="s">
        <v>2464</v>
      </c>
      <c r="AC4" s="1542" t="s">
        <v>2064</v>
      </c>
      <c r="AD4" s="1542" t="s">
        <v>2357</v>
      </c>
      <c r="AE4" s="1542" t="s">
        <v>2358</v>
      </c>
      <c r="AF4" s="1542" t="s">
        <v>2359</v>
      </c>
      <c r="AG4" s="1542" t="s">
        <v>483</v>
      </c>
      <c r="AH4" s="2314"/>
      <c r="AI4" s="2307"/>
      <c r="AJ4" s="2307"/>
      <c r="AK4" s="2309"/>
      <c r="AL4" s="2310"/>
    </row>
    <row r="5" spans="1:39" s="1079" customFormat="1" ht="11.25" customHeight="1">
      <c r="A5" s="2307"/>
      <c r="B5" s="1551">
        <v>1</v>
      </c>
      <c r="C5" s="1551">
        <v>2</v>
      </c>
      <c r="D5" s="1551">
        <v>3</v>
      </c>
      <c r="E5" s="1551">
        <v>4</v>
      </c>
      <c r="F5" s="1551">
        <v>5</v>
      </c>
      <c r="G5" s="1551" t="s">
        <v>2363</v>
      </c>
      <c r="H5" s="1551">
        <v>7</v>
      </c>
      <c r="I5" s="1551">
        <v>8</v>
      </c>
      <c r="J5" s="1551">
        <v>9</v>
      </c>
      <c r="K5" s="1551">
        <v>10</v>
      </c>
      <c r="L5" s="1551">
        <v>11</v>
      </c>
      <c r="M5" s="1551">
        <v>12</v>
      </c>
      <c r="N5" s="1551" t="s">
        <v>2466</v>
      </c>
      <c r="O5" s="1551" t="s">
        <v>2467</v>
      </c>
      <c r="P5" s="1551">
        <v>15</v>
      </c>
      <c r="Q5" s="1551" t="s">
        <v>2468</v>
      </c>
      <c r="R5" s="1552">
        <v>17</v>
      </c>
      <c r="S5" s="2307"/>
      <c r="T5" s="2307"/>
      <c r="U5" s="1551">
        <v>18</v>
      </c>
      <c r="V5" s="1551">
        <v>19</v>
      </c>
      <c r="W5" s="1551">
        <v>20</v>
      </c>
      <c r="X5" s="1551">
        <v>21</v>
      </c>
      <c r="Y5" s="1551">
        <v>22</v>
      </c>
      <c r="Z5" s="1551" t="s">
        <v>2469</v>
      </c>
      <c r="AA5" s="1551">
        <v>24</v>
      </c>
      <c r="AB5" s="1551">
        <v>25</v>
      </c>
      <c r="AC5" s="1551">
        <v>26</v>
      </c>
      <c r="AD5" s="1551">
        <v>27</v>
      </c>
      <c r="AE5" s="1551">
        <v>28</v>
      </c>
      <c r="AF5" s="1551">
        <v>29</v>
      </c>
      <c r="AG5" s="1551" t="s">
        <v>2470</v>
      </c>
      <c r="AH5" s="1551" t="s">
        <v>2471</v>
      </c>
      <c r="AI5" s="1551">
        <v>32</v>
      </c>
      <c r="AJ5" s="1551" t="s">
        <v>2472</v>
      </c>
      <c r="AK5" s="1551">
        <v>34</v>
      </c>
      <c r="AL5" s="2307"/>
    </row>
    <row r="6" spans="1:39" s="1079" customFormat="1" ht="11.1" customHeight="1">
      <c r="A6" s="2301" t="s">
        <v>2075</v>
      </c>
      <c r="B6" s="2301"/>
      <c r="C6" s="2301"/>
      <c r="D6" s="1078"/>
      <c r="E6" s="1078"/>
      <c r="F6" s="1078"/>
      <c r="G6" s="1078"/>
      <c r="H6" s="1078"/>
      <c r="I6" s="1078"/>
      <c r="J6" s="1078"/>
      <c r="K6" s="1078"/>
      <c r="L6" s="1078"/>
      <c r="M6" s="1078"/>
      <c r="N6" s="1078"/>
      <c r="O6" s="1078"/>
      <c r="P6" s="1078"/>
      <c r="Q6" s="1078"/>
      <c r="R6" s="1453"/>
      <c r="S6" s="218"/>
      <c r="T6" s="2301" t="s">
        <v>2076</v>
      </c>
      <c r="U6" s="2301"/>
      <c r="V6" s="2301"/>
      <c r="W6" s="1078"/>
      <c r="X6" s="1078"/>
      <c r="Y6" s="1078"/>
      <c r="Z6" s="1078"/>
      <c r="AA6" s="1078"/>
      <c r="AB6" s="1078"/>
      <c r="AC6" s="1078"/>
      <c r="AD6" s="1078"/>
      <c r="AE6" s="1078"/>
      <c r="AF6" s="1078"/>
      <c r="AG6" s="1078"/>
      <c r="AH6" s="1078"/>
      <c r="AI6" s="1078"/>
      <c r="AJ6" s="1078"/>
      <c r="AK6" s="1453"/>
      <c r="AL6" s="218"/>
    </row>
    <row r="7" spans="1:39" s="164" customFormat="1" ht="11.1" customHeight="1">
      <c r="A7" s="1543" t="s">
        <v>1193</v>
      </c>
      <c r="B7" s="296">
        <f>B8+B9+B11+B10</f>
        <v>279505</v>
      </c>
      <c r="C7" s="296">
        <f>C8+C9+C11+C10</f>
        <v>33052</v>
      </c>
      <c r="D7" s="296">
        <f>D8+D9+D11+D10</f>
        <v>422387</v>
      </c>
      <c r="E7" s="296">
        <f>E8+E9+E11+E10</f>
        <v>26658</v>
      </c>
      <c r="F7" s="296">
        <f>F8+F9+F11+F10</f>
        <v>162842</v>
      </c>
      <c r="G7" s="296">
        <f>C7+D7+E7+F7</f>
        <v>644939</v>
      </c>
      <c r="H7" s="296">
        <f t="shared" ref="H7:M7" si="0">H8+H9+H10+H11</f>
        <v>288510</v>
      </c>
      <c r="I7" s="296">
        <f t="shared" si="0"/>
        <v>206749</v>
      </c>
      <c r="J7" s="296">
        <f t="shared" si="0"/>
        <v>65071</v>
      </c>
      <c r="K7" s="296">
        <f t="shared" si="0"/>
        <v>210659</v>
      </c>
      <c r="L7" s="296">
        <f t="shared" si="0"/>
        <v>175809</v>
      </c>
      <c r="M7" s="296">
        <f t="shared" si="0"/>
        <v>116184</v>
      </c>
      <c r="N7" s="296">
        <f>H7+I7+J7+K7+L7+M7</f>
        <v>1062982</v>
      </c>
      <c r="O7" s="296">
        <f>B7+G7+N7</f>
        <v>1987426</v>
      </c>
      <c r="P7" s="296">
        <f>P8+P9+P10+P11</f>
        <v>88394</v>
      </c>
      <c r="Q7" s="296">
        <f>O7+P7</f>
        <v>2075820</v>
      </c>
      <c r="R7" s="295" t="s">
        <v>295</v>
      </c>
      <c r="S7" s="361" t="s">
        <v>1193</v>
      </c>
      <c r="T7" s="1543" t="s">
        <v>1193</v>
      </c>
      <c r="U7" s="296">
        <f>U8+U9+U11+U10</f>
        <v>279504</v>
      </c>
      <c r="V7" s="296">
        <f>V8+V9+V11+V10</f>
        <v>33052</v>
      </c>
      <c r="W7" s="296">
        <f>W8+W9+W11+W10</f>
        <v>422388</v>
      </c>
      <c r="X7" s="296">
        <f>X8+X9+X11+X10</f>
        <v>26657</v>
      </c>
      <c r="Y7" s="296">
        <f>Y8+Y9+Y11+Y10</f>
        <v>162844</v>
      </c>
      <c r="Z7" s="296">
        <f>V7+W7+X7+Y7</f>
        <v>644941</v>
      </c>
      <c r="AA7" s="296">
        <f t="shared" ref="AA7:AF7" si="1">AA8+AA9+AA10+AA11</f>
        <v>288509</v>
      </c>
      <c r="AB7" s="296">
        <f t="shared" si="1"/>
        <v>206750</v>
      </c>
      <c r="AC7" s="296">
        <f t="shared" si="1"/>
        <v>65072</v>
      </c>
      <c r="AD7" s="296">
        <f t="shared" si="1"/>
        <v>210660</v>
      </c>
      <c r="AE7" s="296">
        <f t="shared" si="1"/>
        <v>175809</v>
      </c>
      <c r="AF7" s="296">
        <f t="shared" si="1"/>
        <v>116183</v>
      </c>
      <c r="AG7" s="296">
        <f>AA7+AB7+AC7+AD7+AE7+AF7</f>
        <v>1062983</v>
      </c>
      <c r="AH7" s="296">
        <f>U7+Z7+AG7</f>
        <v>1987428</v>
      </c>
      <c r="AI7" s="296">
        <f>AI8+AI9+AI10+AI11</f>
        <v>88393</v>
      </c>
      <c r="AJ7" s="296">
        <f>AH7+AI7</f>
        <v>2075821</v>
      </c>
      <c r="AK7" s="295" t="s">
        <v>295</v>
      </c>
      <c r="AL7" s="361" t="s">
        <v>1193</v>
      </c>
    </row>
    <row r="8" spans="1:39" s="164" customFormat="1" ht="11.1" customHeight="1">
      <c r="A8" s="384" t="s">
        <v>2364</v>
      </c>
      <c r="B8" s="382">
        <v>61639</v>
      </c>
      <c r="C8" s="382">
        <v>7042</v>
      </c>
      <c r="D8" s="382">
        <v>97951</v>
      </c>
      <c r="E8" s="382">
        <v>6423</v>
      </c>
      <c r="F8" s="382">
        <v>35105</v>
      </c>
      <c r="G8" s="382">
        <f t="shared" ref="G8:G11" si="2">C8+D8+E8+F8</f>
        <v>146521</v>
      </c>
      <c r="H8" s="382">
        <v>65169</v>
      </c>
      <c r="I8" s="382">
        <v>47435</v>
      </c>
      <c r="J8" s="382">
        <v>13708</v>
      </c>
      <c r="K8" s="382">
        <v>50252</v>
      </c>
      <c r="L8" s="382">
        <v>40331</v>
      </c>
      <c r="M8" s="382">
        <v>27403</v>
      </c>
      <c r="N8" s="382">
        <f t="shared" ref="N8:N53" si="3">H8+I8+J8+K8+L8+M8</f>
        <v>244298</v>
      </c>
      <c r="O8" s="382">
        <f>B8+G8+N8</f>
        <v>452458</v>
      </c>
      <c r="P8" s="382">
        <v>19486</v>
      </c>
      <c r="Q8" s="382">
        <f t="shared" ref="Q8:Q16" si="4">O8+P8</f>
        <v>471944</v>
      </c>
      <c r="R8" s="256" t="s">
        <v>295</v>
      </c>
      <c r="S8" s="379" t="s">
        <v>2364</v>
      </c>
      <c r="T8" s="384" t="s">
        <v>2364</v>
      </c>
      <c r="U8" s="1553">
        <v>62406</v>
      </c>
      <c r="V8" s="1553">
        <v>7102</v>
      </c>
      <c r="W8" s="1553">
        <v>99718</v>
      </c>
      <c r="X8" s="1553">
        <v>6790</v>
      </c>
      <c r="Y8" s="1553">
        <v>35724</v>
      </c>
      <c r="Z8" s="1553">
        <f t="shared" ref="Z8:Z11" si="5">V8+W8+X8+Y8</f>
        <v>149334</v>
      </c>
      <c r="AA8" s="1553">
        <v>66580</v>
      </c>
      <c r="AB8" s="1553">
        <v>49470</v>
      </c>
      <c r="AC8" s="1553">
        <v>14016</v>
      </c>
      <c r="AD8" s="1553">
        <v>51834</v>
      </c>
      <c r="AE8" s="1553">
        <v>41234</v>
      </c>
      <c r="AF8" s="1553">
        <v>27717</v>
      </c>
      <c r="AG8" s="1553">
        <f t="shared" ref="AG8:AG50" si="6">AA8+AB8+AC8+AD8+AE8+AF8</f>
        <v>250851</v>
      </c>
      <c r="AH8" s="1553">
        <f>U8+Z8+AG8</f>
        <v>462591</v>
      </c>
      <c r="AI8" s="1553">
        <v>21700</v>
      </c>
      <c r="AJ8" s="1553">
        <f t="shared" ref="AJ8:AJ16" si="7">AH8+AI8</f>
        <v>484291</v>
      </c>
      <c r="AK8" s="1443" t="s">
        <v>295</v>
      </c>
      <c r="AL8" s="379" t="s">
        <v>2364</v>
      </c>
    </row>
    <row r="9" spans="1:39" s="164" customFormat="1" ht="11.1" customHeight="1">
      <c r="A9" s="398" t="s">
        <v>2365</v>
      </c>
      <c r="B9" s="296">
        <v>75020</v>
      </c>
      <c r="C9" s="296">
        <v>7828</v>
      </c>
      <c r="D9" s="296">
        <v>100244</v>
      </c>
      <c r="E9" s="296">
        <v>5928</v>
      </c>
      <c r="F9" s="296">
        <v>37499</v>
      </c>
      <c r="G9" s="296">
        <f t="shared" si="2"/>
        <v>151499</v>
      </c>
      <c r="H9" s="296">
        <v>70325</v>
      </c>
      <c r="I9" s="296">
        <v>51229</v>
      </c>
      <c r="J9" s="296">
        <v>15580</v>
      </c>
      <c r="K9" s="296">
        <v>51256</v>
      </c>
      <c r="L9" s="296">
        <v>30453</v>
      </c>
      <c r="M9" s="296">
        <v>28591</v>
      </c>
      <c r="N9" s="296">
        <f t="shared" si="3"/>
        <v>247434</v>
      </c>
      <c r="O9" s="296">
        <f>B9+G9+N9</f>
        <v>473953</v>
      </c>
      <c r="P9" s="296">
        <v>23995</v>
      </c>
      <c r="Q9" s="296">
        <f t="shared" si="4"/>
        <v>497948</v>
      </c>
      <c r="R9" s="295" t="s">
        <v>295</v>
      </c>
      <c r="S9" s="355" t="s">
        <v>2365</v>
      </c>
      <c r="T9" s="398" t="s">
        <v>2365</v>
      </c>
      <c r="U9" s="296">
        <v>74444</v>
      </c>
      <c r="V9" s="296">
        <v>7867</v>
      </c>
      <c r="W9" s="296">
        <v>102308</v>
      </c>
      <c r="X9" s="296">
        <v>6171</v>
      </c>
      <c r="Y9" s="296">
        <v>38262</v>
      </c>
      <c r="Z9" s="296">
        <f t="shared" si="5"/>
        <v>154608</v>
      </c>
      <c r="AA9" s="296">
        <v>70373</v>
      </c>
      <c r="AB9" s="296">
        <v>51206</v>
      </c>
      <c r="AC9" s="296">
        <v>15602</v>
      </c>
      <c r="AD9" s="296">
        <v>51899</v>
      </c>
      <c r="AE9" s="296">
        <v>30490</v>
      </c>
      <c r="AF9" s="296">
        <v>28773</v>
      </c>
      <c r="AG9" s="296">
        <f t="shared" si="6"/>
        <v>248343</v>
      </c>
      <c r="AH9" s="296">
        <f>U9+Z9+AG9</f>
        <v>477395</v>
      </c>
      <c r="AI9" s="296">
        <v>22766</v>
      </c>
      <c r="AJ9" s="296">
        <f t="shared" si="7"/>
        <v>500161</v>
      </c>
      <c r="AK9" s="295" t="s">
        <v>295</v>
      </c>
      <c r="AL9" s="355" t="s">
        <v>2365</v>
      </c>
    </row>
    <row r="10" spans="1:39" s="164" customFormat="1" ht="11.1" customHeight="1">
      <c r="A10" s="384" t="s">
        <v>2366</v>
      </c>
      <c r="B10" s="382">
        <v>59667</v>
      </c>
      <c r="C10" s="382">
        <v>9221</v>
      </c>
      <c r="D10" s="382">
        <v>109440</v>
      </c>
      <c r="E10" s="382">
        <v>6636</v>
      </c>
      <c r="F10" s="382">
        <v>48054</v>
      </c>
      <c r="G10" s="382">
        <f t="shared" si="2"/>
        <v>173351</v>
      </c>
      <c r="H10" s="382">
        <v>72789</v>
      </c>
      <c r="I10" s="382">
        <v>53501</v>
      </c>
      <c r="J10" s="382">
        <v>17244</v>
      </c>
      <c r="K10" s="382">
        <v>54437</v>
      </c>
      <c r="L10" s="382">
        <v>42472</v>
      </c>
      <c r="M10" s="382">
        <v>29924</v>
      </c>
      <c r="N10" s="382">
        <f t="shared" si="3"/>
        <v>270367</v>
      </c>
      <c r="O10" s="382">
        <f>B10+G10+N10</f>
        <v>503385</v>
      </c>
      <c r="P10" s="382">
        <v>20582</v>
      </c>
      <c r="Q10" s="382">
        <f t="shared" si="4"/>
        <v>523967</v>
      </c>
      <c r="R10" s="256" t="s">
        <v>295</v>
      </c>
      <c r="S10" s="379" t="s">
        <v>2366</v>
      </c>
      <c r="T10" s="384" t="s">
        <v>2366</v>
      </c>
      <c r="U10" s="1553">
        <v>59130</v>
      </c>
      <c r="V10" s="1553">
        <v>9194</v>
      </c>
      <c r="W10" s="1553">
        <v>107845</v>
      </c>
      <c r="X10" s="1553">
        <v>6381</v>
      </c>
      <c r="Y10" s="1553">
        <v>47666</v>
      </c>
      <c r="Z10" s="1553">
        <f t="shared" si="5"/>
        <v>171086</v>
      </c>
      <c r="AA10" s="1553">
        <v>71838</v>
      </c>
      <c r="AB10" s="1553">
        <v>52461</v>
      </c>
      <c r="AC10" s="1553">
        <v>17028</v>
      </c>
      <c r="AD10" s="1553">
        <v>53487</v>
      </c>
      <c r="AE10" s="1553">
        <v>41929</v>
      </c>
      <c r="AF10" s="1553">
        <v>29772</v>
      </c>
      <c r="AG10" s="1553">
        <f t="shared" si="6"/>
        <v>266515</v>
      </c>
      <c r="AH10" s="1553">
        <f>U10+Z10+AG10</f>
        <v>496731</v>
      </c>
      <c r="AI10" s="1553">
        <v>21442</v>
      </c>
      <c r="AJ10" s="1553">
        <f t="shared" si="7"/>
        <v>518173</v>
      </c>
      <c r="AK10" s="1443" t="s">
        <v>295</v>
      </c>
      <c r="AL10" s="379" t="s">
        <v>2366</v>
      </c>
    </row>
    <row r="11" spans="1:39" s="164" customFormat="1" ht="11.1" customHeight="1">
      <c r="A11" s="398" t="s">
        <v>2367</v>
      </c>
      <c r="B11" s="296">
        <v>83179</v>
      </c>
      <c r="C11" s="296">
        <v>8961</v>
      </c>
      <c r="D11" s="296">
        <v>114752</v>
      </c>
      <c r="E11" s="296">
        <v>7671</v>
      </c>
      <c r="F11" s="296">
        <v>42184</v>
      </c>
      <c r="G11" s="296">
        <f t="shared" si="2"/>
        <v>173568</v>
      </c>
      <c r="H11" s="296">
        <v>80227</v>
      </c>
      <c r="I11" s="296">
        <v>54584</v>
      </c>
      <c r="J11" s="296">
        <v>18539</v>
      </c>
      <c r="K11" s="296">
        <v>54714</v>
      </c>
      <c r="L11" s="296">
        <v>62553</v>
      </c>
      <c r="M11" s="296">
        <v>30266</v>
      </c>
      <c r="N11" s="296">
        <f t="shared" si="3"/>
        <v>300883</v>
      </c>
      <c r="O11" s="296">
        <f>B11+G11+N11</f>
        <v>557630</v>
      </c>
      <c r="P11" s="296">
        <v>24331</v>
      </c>
      <c r="Q11" s="296">
        <f t="shared" si="4"/>
        <v>581961</v>
      </c>
      <c r="R11" s="295" t="s">
        <v>295</v>
      </c>
      <c r="S11" s="355" t="s">
        <v>2367</v>
      </c>
      <c r="T11" s="398" t="s">
        <v>2367</v>
      </c>
      <c r="U11" s="296">
        <v>83524</v>
      </c>
      <c r="V11" s="296">
        <v>8889</v>
      </c>
      <c r="W11" s="296">
        <v>112517</v>
      </c>
      <c r="X11" s="296">
        <v>7315</v>
      </c>
      <c r="Y11" s="296">
        <v>41192</v>
      </c>
      <c r="Z11" s="296">
        <f t="shared" si="5"/>
        <v>169913</v>
      </c>
      <c r="AA11" s="296">
        <v>79718</v>
      </c>
      <c r="AB11" s="296">
        <v>53613</v>
      </c>
      <c r="AC11" s="296">
        <v>18426</v>
      </c>
      <c r="AD11" s="296">
        <v>53440</v>
      </c>
      <c r="AE11" s="296">
        <v>62156</v>
      </c>
      <c r="AF11" s="296">
        <v>29921</v>
      </c>
      <c r="AG11" s="296">
        <f t="shared" si="6"/>
        <v>297274</v>
      </c>
      <c r="AH11" s="296">
        <f>U11+Z11+AG11</f>
        <v>550711</v>
      </c>
      <c r="AI11" s="296">
        <v>22485</v>
      </c>
      <c r="AJ11" s="296">
        <f t="shared" si="7"/>
        <v>573196</v>
      </c>
      <c r="AK11" s="295" t="s">
        <v>295</v>
      </c>
      <c r="AL11" s="355" t="s">
        <v>2367</v>
      </c>
    </row>
    <row r="12" spans="1:39" s="164" customFormat="1" ht="11.1" customHeight="1">
      <c r="A12" s="891" t="s">
        <v>1225</v>
      </c>
      <c r="B12" s="382">
        <f>B13+B14+B15+B16</f>
        <v>301167</v>
      </c>
      <c r="C12" s="382">
        <f>C13+C14+C15+C16</f>
        <v>39984</v>
      </c>
      <c r="D12" s="382">
        <f>D13+D14+D15+D16</f>
        <v>466606</v>
      </c>
      <c r="E12" s="382">
        <f>E13+E14+E15+E16</f>
        <v>31497</v>
      </c>
      <c r="F12" s="382">
        <f>F13+F14+F15+F16</f>
        <v>188219</v>
      </c>
      <c r="G12" s="382">
        <f>C12+F12+E12+D12</f>
        <v>726306</v>
      </c>
      <c r="H12" s="382">
        <f t="shared" ref="H12:M12" si="8">H13+H14+H15+H16</f>
        <v>324632</v>
      </c>
      <c r="I12" s="382">
        <f t="shared" si="8"/>
        <v>232657</v>
      </c>
      <c r="J12" s="382">
        <f t="shared" si="8"/>
        <v>72246</v>
      </c>
      <c r="K12" s="382">
        <f t="shared" si="8"/>
        <v>234155</v>
      </c>
      <c r="L12" s="382">
        <f t="shared" si="8"/>
        <v>202836</v>
      </c>
      <c r="M12" s="382">
        <f t="shared" si="8"/>
        <v>127794</v>
      </c>
      <c r="N12" s="382">
        <f t="shared" si="3"/>
        <v>1194320</v>
      </c>
      <c r="O12" s="382">
        <f t="shared" ref="O12:O46" si="9">N12+G12+B12</f>
        <v>2221793</v>
      </c>
      <c r="P12" s="382">
        <f>P13+P14+P15+P16</f>
        <v>102514</v>
      </c>
      <c r="Q12" s="382">
        <f t="shared" si="4"/>
        <v>2324307</v>
      </c>
      <c r="R12" s="256">
        <v>11.97</v>
      </c>
      <c r="S12" s="362" t="s">
        <v>1225</v>
      </c>
      <c r="T12" s="891" t="s">
        <v>1225</v>
      </c>
      <c r="U12" s="1553">
        <f>U13+U14+U15+U16</f>
        <v>288438</v>
      </c>
      <c r="V12" s="1553">
        <f>V13+V14+V15+V16</f>
        <v>38767</v>
      </c>
      <c r="W12" s="1553">
        <f>W13+W14+W15+W16</f>
        <v>452319</v>
      </c>
      <c r="X12" s="1553">
        <f>X13+X14+X15+X16</f>
        <v>28469</v>
      </c>
      <c r="Y12" s="1553">
        <f>Y13+Y14+Y15+Y16</f>
        <v>178735</v>
      </c>
      <c r="Z12" s="1553">
        <f>V12+Y12+X12+W12</f>
        <v>698290</v>
      </c>
      <c r="AA12" s="1553">
        <f t="shared" ref="AA12:AF12" si="10">AA13+AA14+AA15+AA16</f>
        <v>312226</v>
      </c>
      <c r="AB12" s="1553">
        <f t="shared" si="10"/>
        <v>219789</v>
      </c>
      <c r="AC12" s="1553">
        <f t="shared" si="10"/>
        <v>68523</v>
      </c>
      <c r="AD12" s="1553">
        <f t="shared" si="10"/>
        <v>218137</v>
      </c>
      <c r="AE12" s="1553">
        <f t="shared" si="10"/>
        <v>192186</v>
      </c>
      <c r="AF12" s="1553">
        <f t="shared" si="10"/>
        <v>119888</v>
      </c>
      <c r="AG12" s="1553">
        <f t="shared" si="6"/>
        <v>1130749</v>
      </c>
      <c r="AH12" s="1553">
        <f t="shared" ref="AH12:AH46" si="11">AG12+Z12+U12</f>
        <v>2117477</v>
      </c>
      <c r="AI12" s="1553">
        <f>AI13+AI14+AI15+AI16</f>
        <v>95147</v>
      </c>
      <c r="AJ12" s="1553">
        <f t="shared" si="7"/>
        <v>2212624</v>
      </c>
      <c r="AK12" s="1443">
        <v>6.59</v>
      </c>
      <c r="AL12" s="362" t="s">
        <v>1225</v>
      </c>
    </row>
    <row r="13" spans="1:39" s="164" customFormat="1" ht="11.1" customHeight="1">
      <c r="A13" s="398" t="s">
        <v>2364</v>
      </c>
      <c r="B13" s="296">
        <v>67023</v>
      </c>
      <c r="C13" s="296">
        <v>8377</v>
      </c>
      <c r="D13" s="296">
        <v>107238</v>
      </c>
      <c r="E13" s="296">
        <v>8113</v>
      </c>
      <c r="F13" s="296">
        <v>40901</v>
      </c>
      <c r="G13" s="296">
        <f t="shared" ref="G13:G16" si="12">C13+F13+E13+D13</f>
        <v>164629</v>
      </c>
      <c r="H13" s="296">
        <v>69735</v>
      </c>
      <c r="I13" s="296">
        <v>55194</v>
      </c>
      <c r="J13" s="296">
        <v>16805</v>
      </c>
      <c r="K13" s="296">
        <v>56051</v>
      </c>
      <c r="L13" s="296">
        <v>44532</v>
      </c>
      <c r="M13" s="296">
        <v>28673</v>
      </c>
      <c r="N13" s="296">
        <f t="shared" si="3"/>
        <v>270990</v>
      </c>
      <c r="O13" s="296">
        <f t="shared" si="9"/>
        <v>502642</v>
      </c>
      <c r="P13" s="296">
        <v>23697</v>
      </c>
      <c r="Q13" s="296">
        <f t="shared" si="4"/>
        <v>526339</v>
      </c>
      <c r="R13" s="295">
        <v>11.53</v>
      </c>
      <c r="S13" s="355" t="s">
        <v>2364</v>
      </c>
      <c r="T13" s="398" t="s">
        <v>2364</v>
      </c>
      <c r="U13" s="296">
        <v>65516</v>
      </c>
      <c r="V13" s="296">
        <v>8119</v>
      </c>
      <c r="W13" s="296">
        <v>105828</v>
      </c>
      <c r="X13" s="296">
        <v>7562</v>
      </c>
      <c r="Y13" s="296">
        <v>39421</v>
      </c>
      <c r="Z13" s="296">
        <f t="shared" ref="Z13:Z16" si="13">V13+Y13+X13+W13</f>
        <v>160930</v>
      </c>
      <c r="AA13" s="296">
        <v>68554</v>
      </c>
      <c r="AB13" s="296">
        <v>52861</v>
      </c>
      <c r="AC13" s="296">
        <v>16289</v>
      </c>
      <c r="AD13" s="296">
        <v>53748</v>
      </c>
      <c r="AE13" s="296">
        <v>43151</v>
      </c>
      <c r="AF13" s="296">
        <v>28015</v>
      </c>
      <c r="AG13" s="296">
        <f t="shared" si="6"/>
        <v>262618</v>
      </c>
      <c r="AH13" s="296">
        <f t="shared" si="11"/>
        <v>489064</v>
      </c>
      <c r="AI13" s="296">
        <v>24176</v>
      </c>
      <c r="AJ13" s="296">
        <f t="shared" si="7"/>
        <v>513240</v>
      </c>
      <c r="AK13" s="295">
        <v>5.98</v>
      </c>
      <c r="AL13" s="355" t="s">
        <v>2364</v>
      </c>
    </row>
    <row r="14" spans="1:39" s="164" customFormat="1" ht="11.1" customHeight="1">
      <c r="A14" s="384" t="s">
        <v>2365</v>
      </c>
      <c r="B14" s="382">
        <v>81041</v>
      </c>
      <c r="C14" s="382">
        <v>9764</v>
      </c>
      <c r="D14" s="382">
        <v>111959</v>
      </c>
      <c r="E14" s="382">
        <v>7377</v>
      </c>
      <c r="F14" s="382">
        <v>44226</v>
      </c>
      <c r="G14" s="382">
        <f t="shared" si="12"/>
        <v>173326</v>
      </c>
      <c r="H14" s="382">
        <v>82320</v>
      </c>
      <c r="I14" s="382">
        <v>57404</v>
      </c>
      <c r="J14" s="382">
        <v>17281</v>
      </c>
      <c r="K14" s="382">
        <v>56796</v>
      </c>
      <c r="L14" s="382">
        <v>45828</v>
      </c>
      <c r="M14" s="382">
        <v>29749</v>
      </c>
      <c r="N14" s="382">
        <f t="shared" si="3"/>
        <v>289378</v>
      </c>
      <c r="O14" s="382">
        <f t="shared" si="9"/>
        <v>543745</v>
      </c>
      <c r="P14" s="382">
        <v>27005</v>
      </c>
      <c r="Q14" s="382">
        <f t="shared" si="4"/>
        <v>570750</v>
      </c>
      <c r="R14" s="256">
        <v>14.62</v>
      </c>
      <c r="S14" s="379" t="s">
        <v>2365</v>
      </c>
      <c r="T14" s="384" t="s">
        <v>2365</v>
      </c>
      <c r="U14" s="1553">
        <v>77340</v>
      </c>
      <c r="V14" s="1553">
        <v>9472</v>
      </c>
      <c r="W14" s="1553">
        <v>110767</v>
      </c>
      <c r="X14" s="1553">
        <v>6776</v>
      </c>
      <c r="Y14" s="1553">
        <v>42675</v>
      </c>
      <c r="Z14" s="1553">
        <f t="shared" si="13"/>
        <v>169690</v>
      </c>
      <c r="AA14" s="1553">
        <v>79351</v>
      </c>
      <c r="AB14" s="1553">
        <v>54405</v>
      </c>
      <c r="AC14" s="1553">
        <v>16420</v>
      </c>
      <c r="AD14" s="1553">
        <v>53770</v>
      </c>
      <c r="AE14" s="1553">
        <v>43531</v>
      </c>
      <c r="AF14" s="1553">
        <v>28829</v>
      </c>
      <c r="AG14" s="1553">
        <f t="shared" si="6"/>
        <v>276306</v>
      </c>
      <c r="AH14" s="1553">
        <f t="shared" si="11"/>
        <v>523336</v>
      </c>
      <c r="AI14" s="1553">
        <v>24636</v>
      </c>
      <c r="AJ14" s="1553">
        <f t="shared" si="7"/>
        <v>547972</v>
      </c>
      <c r="AK14" s="1443">
        <v>9.56</v>
      </c>
      <c r="AL14" s="379" t="s">
        <v>2365</v>
      </c>
    </row>
    <row r="15" spans="1:39" s="164" customFormat="1" ht="11.1" customHeight="1">
      <c r="A15" s="398" t="s">
        <v>2366</v>
      </c>
      <c r="B15" s="296">
        <v>65408</v>
      </c>
      <c r="C15" s="296">
        <v>11139</v>
      </c>
      <c r="D15" s="296">
        <v>121405</v>
      </c>
      <c r="E15" s="296">
        <v>7361</v>
      </c>
      <c r="F15" s="296">
        <v>51243</v>
      </c>
      <c r="G15" s="296">
        <f t="shared" si="12"/>
        <v>191148</v>
      </c>
      <c r="H15" s="296">
        <v>86751</v>
      </c>
      <c r="I15" s="296">
        <v>59813</v>
      </c>
      <c r="J15" s="296">
        <v>18364</v>
      </c>
      <c r="K15" s="296">
        <v>60607</v>
      </c>
      <c r="L15" s="296">
        <v>47747</v>
      </c>
      <c r="M15" s="296">
        <v>34201</v>
      </c>
      <c r="N15" s="296">
        <f t="shared" si="3"/>
        <v>307483</v>
      </c>
      <c r="O15" s="296">
        <f t="shared" si="9"/>
        <v>564039</v>
      </c>
      <c r="P15" s="296">
        <v>28361</v>
      </c>
      <c r="Q15" s="296">
        <f t="shared" si="4"/>
        <v>592400</v>
      </c>
      <c r="R15" s="295">
        <v>13.06</v>
      </c>
      <c r="S15" s="355" t="s">
        <v>2366</v>
      </c>
      <c r="T15" s="398" t="s">
        <v>2366</v>
      </c>
      <c r="U15" s="296">
        <v>62020</v>
      </c>
      <c r="V15" s="296">
        <v>10814</v>
      </c>
      <c r="W15" s="296">
        <v>115967</v>
      </c>
      <c r="X15" s="296">
        <v>6513</v>
      </c>
      <c r="Y15" s="296">
        <v>48306</v>
      </c>
      <c r="Z15" s="296">
        <f t="shared" si="13"/>
        <v>181600</v>
      </c>
      <c r="AA15" s="296">
        <v>82500</v>
      </c>
      <c r="AB15" s="296">
        <v>56107</v>
      </c>
      <c r="AC15" s="296">
        <v>17213</v>
      </c>
      <c r="AD15" s="296">
        <v>55431</v>
      </c>
      <c r="AE15" s="296">
        <v>44735</v>
      </c>
      <c r="AF15" s="296">
        <v>31202</v>
      </c>
      <c r="AG15" s="296">
        <f t="shared" si="6"/>
        <v>287188</v>
      </c>
      <c r="AH15" s="296">
        <f t="shared" si="11"/>
        <v>530808</v>
      </c>
      <c r="AI15" s="296">
        <v>25413</v>
      </c>
      <c r="AJ15" s="296">
        <f t="shared" si="7"/>
        <v>556221</v>
      </c>
      <c r="AK15" s="295">
        <v>7.34</v>
      </c>
      <c r="AL15" s="355" t="s">
        <v>2366</v>
      </c>
    </row>
    <row r="16" spans="1:39" s="164" customFormat="1" ht="11.1" customHeight="1">
      <c r="A16" s="384" t="s">
        <v>2367</v>
      </c>
      <c r="B16" s="382">
        <v>87695</v>
      </c>
      <c r="C16" s="382">
        <v>10704</v>
      </c>
      <c r="D16" s="382">
        <v>126004</v>
      </c>
      <c r="E16" s="382">
        <v>8646</v>
      </c>
      <c r="F16" s="382">
        <v>51849</v>
      </c>
      <c r="G16" s="382">
        <f t="shared" si="12"/>
        <v>197203</v>
      </c>
      <c r="H16" s="382">
        <v>85826</v>
      </c>
      <c r="I16" s="382">
        <v>60246</v>
      </c>
      <c r="J16" s="382">
        <v>19796</v>
      </c>
      <c r="K16" s="382">
        <v>60701</v>
      </c>
      <c r="L16" s="382">
        <v>64729</v>
      </c>
      <c r="M16" s="382">
        <v>35171</v>
      </c>
      <c r="N16" s="382">
        <f t="shared" si="3"/>
        <v>326469</v>
      </c>
      <c r="O16" s="382">
        <f t="shared" si="9"/>
        <v>611367</v>
      </c>
      <c r="P16" s="382">
        <v>23451</v>
      </c>
      <c r="Q16" s="382">
        <f t="shared" si="4"/>
        <v>634818</v>
      </c>
      <c r="R16" s="256">
        <v>9.08</v>
      </c>
      <c r="S16" s="379" t="s">
        <v>2367</v>
      </c>
      <c r="T16" s="384" t="s">
        <v>2367</v>
      </c>
      <c r="U16" s="1553">
        <v>83562</v>
      </c>
      <c r="V16" s="1553">
        <v>10362</v>
      </c>
      <c r="W16" s="1553">
        <v>119757</v>
      </c>
      <c r="X16" s="1553">
        <v>7618</v>
      </c>
      <c r="Y16" s="1553">
        <v>48333</v>
      </c>
      <c r="Z16" s="1553">
        <f t="shared" si="13"/>
        <v>186070</v>
      </c>
      <c r="AA16" s="1553">
        <v>81821</v>
      </c>
      <c r="AB16" s="1553">
        <v>56416</v>
      </c>
      <c r="AC16" s="1553">
        <v>18601</v>
      </c>
      <c r="AD16" s="1553">
        <v>55188</v>
      </c>
      <c r="AE16" s="1553">
        <v>60769</v>
      </c>
      <c r="AF16" s="1553">
        <v>31842</v>
      </c>
      <c r="AG16" s="1553">
        <f t="shared" si="6"/>
        <v>304637</v>
      </c>
      <c r="AH16" s="1553">
        <f t="shared" si="11"/>
        <v>574269</v>
      </c>
      <c r="AI16" s="1553">
        <v>20922</v>
      </c>
      <c r="AJ16" s="1553">
        <f t="shared" si="7"/>
        <v>595191</v>
      </c>
      <c r="AK16" s="1443">
        <v>3.84</v>
      </c>
      <c r="AL16" s="379" t="s">
        <v>2367</v>
      </c>
    </row>
    <row r="17" spans="1:38" s="164" customFormat="1" ht="11.1" customHeight="1">
      <c r="A17" s="1543" t="s">
        <v>1350</v>
      </c>
      <c r="B17" s="296">
        <f>B18+B19+B20+B21</f>
        <v>329379</v>
      </c>
      <c r="C17" s="296">
        <f>C18+C19+C20+C21</f>
        <v>44275</v>
      </c>
      <c r="D17" s="296">
        <f>D18+D19+D20+D21</f>
        <v>549024</v>
      </c>
      <c r="E17" s="296">
        <f>E18+E19+E20+E21</f>
        <v>35113</v>
      </c>
      <c r="F17" s="296">
        <f>F18+F19+F20+F21</f>
        <v>215693</v>
      </c>
      <c r="G17" s="296">
        <f>C17+F17+E17+D17</f>
        <v>844105</v>
      </c>
      <c r="H17" s="296">
        <f>H18+H19+H20+H21</f>
        <v>373715</v>
      </c>
      <c r="I17" s="296">
        <f>I18+I19+I20+I21</f>
        <v>257374</v>
      </c>
      <c r="J17" s="296">
        <f t="shared" ref="J17:M17" si="14">J18+J19+J20+J21</f>
        <v>81724</v>
      </c>
      <c r="K17" s="296">
        <f t="shared" si="14"/>
        <v>257972</v>
      </c>
      <c r="L17" s="296">
        <f t="shared" si="14"/>
        <v>231779</v>
      </c>
      <c r="M17" s="296">
        <f t="shared" si="14"/>
        <v>140553</v>
      </c>
      <c r="N17" s="296">
        <f t="shared" si="3"/>
        <v>1343117</v>
      </c>
      <c r="O17" s="296">
        <f t="shared" si="9"/>
        <v>2516601</v>
      </c>
      <c r="P17" s="296">
        <f>P18+P19+P20+P21</f>
        <v>122645</v>
      </c>
      <c r="Q17" s="296">
        <f>O17+P17</f>
        <v>2639246</v>
      </c>
      <c r="R17" s="295">
        <v>13.55</v>
      </c>
      <c r="S17" s="361" t="s">
        <v>1350</v>
      </c>
      <c r="T17" s="1543" t="s">
        <v>1350</v>
      </c>
      <c r="U17" s="296">
        <f>U18+U19+U20+U21</f>
        <v>298662</v>
      </c>
      <c r="V17" s="296">
        <f>V18+V19+V20+V21</f>
        <v>42469</v>
      </c>
      <c r="W17" s="296">
        <f>W18+W19+W20+W21</f>
        <v>499598</v>
      </c>
      <c r="X17" s="296">
        <f>X18+X19+X20+X21</f>
        <v>30710</v>
      </c>
      <c r="Y17" s="296">
        <f>Y18+Y19+Y20+Y21</f>
        <v>196710</v>
      </c>
      <c r="Z17" s="296">
        <f>V17+Y17+X17+W17</f>
        <v>769487</v>
      </c>
      <c r="AA17" s="296">
        <f>AA18+AA19+AA20+AA21</f>
        <v>339503</v>
      </c>
      <c r="AB17" s="296">
        <f>AB18+AB19+AB20+AB21</f>
        <v>234303</v>
      </c>
      <c r="AC17" s="296">
        <f t="shared" ref="AC17:AF17" si="15">AC18+AC19+AC20+AC21</f>
        <v>73278</v>
      </c>
      <c r="AD17" s="296">
        <f t="shared" si="15"/>
        <v>226397</v>
      </c>
      <c r="AE17" s="296">
        <f t="shared" si="15"/>
        <v>207560</v>
      </c>
      <c r="AF17" s="296">
        <f t="shared" si="15"/>
        <v>123812</v>
      </c>
      <c r="AG17" s="296">
        <f t="shared" si="6"/>
        <v>1204853</v>
      </c>
      <c r="AH17" s="296">
        <f t="shared" si="11"/>
        <v>2273002</v>
      </c>
      <c r="AI17" s="296">
        <f>AI18+AI19+AI20+AI21</f>
        <v>101572</v>
      </c>
      <c r="AJ17" s="296">
        <f>AH17+AI17</f>
        <v>2374574</v>
      </c>
      <c r="AK17" s="295">
        <v>7.32</v>
      </c>
      <c r="AL17" s="361" t="s">
        <v>1350</v>
      </c>
    </row>
    <row r="18" spans="1:38" s="164" customFormat="1" ht="11.1" customHeight="1">
      <c r="A18" s="384" t="s">
        <v>2364</v>
      </c>
      <c r="B18" s="382">
        <v>73848</v>
      </c>
      <c r="C18" s="382">
        <v>9923</v>
      </c>
      <c r="D18" s="382">
        <v>126182</v>
      </c>
      <c r="E18" s="382">
        <v>9403</v>
      </c>
      <c r="F18" s="382">
        <v>48481</v>
      </c>
      <c r="G18" s="382">
        <f t="shared" ref="G18:G21" si="16">C18+F18+E18+D18</f>
        <v>193989</v>
      </c>
      <c r="H18" s="382">
        <v>82857</v>
      </c>
      <c r="I18" s="382">
        <v>61663</v>
      </c>
      <c r="J18" s="382">
        <v>18861</v>
      </c>
      <c r="K18" s="382">
        <v>61328</v>
      </c>
      <c r="L18" s="382">
        <v>50467</v>
      </c>
      <c r="M18" s="382">
        <v>32433</v>
      </c>
      <c r="N18" s="382">
        <f t="shared" si="3"/>
        <v>307609</v>
      </c>
      <c r="O18" s="382">
        <f t="shared" si="9"/>
        <v>575446</v>
      </c>
      <c r="P18" s="382">
        <v>29528</v>
      </c>
      <c r="Q18" s="382">
        <f t="shared" ref="Q18:Q21" si="17">O18+P18</f>
        <v>604974</v>
      </c>
      <c r="R18" s="256">
        <v>14.94</v>
      </c>
      <c r="S18" s="379" t="s">
        <v>2364</v>
      </c>
      <c r="T18" s="384" t="s">
        <v>2364</v>
      </c>
      <c r="U18" s="1553">
        <v>68377</v>
      </c>
      <c r="V18" s="1553">
        <v>9779</v>
      </c>
      <c r="W18" s="1553">
        <v>118338</v>
      </c>
      <c r="X18" s="1553">
        <v>8274</v>
      </c>
      <c r="Y18" s="1553">
        <v>44958</v>
      </c>
      <c r="Z18" s="1553">
        <f t="shared" ref="Z18:Z21" si="18">V18+Y18+X18+W18</f>
        <v>181349</v>
      </c>
      <c r="AA18" s="1553">
        <v>76873</v>
      </c>
      <c r="AB18" s="1553">
        <v>56866</v>
      </c>
      <c r="AC18" s="1553">
        <v>17265</v>
      </c>
      <c r="AD18" s="1553">
        <v>55418</v>
      </c>
      <c r="AE18" s="1553">
        <v>46132</v>
      </c>
      <c r="AF18" s="1553">
        <v>29121</v>
      </c>
      <c r="AG18" s="1553">
        <f t="shared" si="6"/>
        <v>281675</v>
      </c>
      <c r="AH18" s="1553">
        <f t="shared" si="11"/>
        <v>531401</v>
      </c>
      <c r="AI18" s="1553">
        <v>26016</v>
      </c>
      <c r="AJ18" s="1553">
        <f t="shared" ref="AJ18:AJ21" si="19">AH18+AI18</f>
        <v>557417</v>
      </c>
      <c r="AK18" s="1443">
        <v>8.61</v>
      </c>
      <c r="AL18" s="379" t="s">
        <v>2364</v>
      </c>
    </row>
    <row r="19" spans="1:38" s="164" customFormat="1" ht="11.1" customHeight="1">
      <c r="A19" s="398" t="s">
        <v>2365</v>
      </c>
      <c r="B19" s="296">
        <v>89291</v>
      </c>
      <c r="C19" s="296">
        <v>11049</v>
      </c>
      <c r="D19" s="296">
        <v>138359</v>
      </c>
      <c r="E19" s="296">
        <v>8298</v>
      </c>
      <c r="F19" s="296">
        <v>52577</v>
      </c>
      <c r="G19" s="296">
        <f t="shared" si="16"/>
        <v>210283</v>
      </c>
      <c r="H19" s="296">
        <v>93614</v>
      </c>
      <c r="I19" s="296">
        <v>63991</v>
      </c>
      <c r="J19" s="296">
        <v>19624</v>
      </c>
      <c r="K19" s="296">
        <v>62766</v>
      </c>
      <c r="L19" s="296">
        <v>49502</v>
      </c>
      <c r="M19" s="296">
        <v>34980</v>
      </c>
      <c r="N19" s="296">
        <f t="shared" si="3"/>
        <v>324477</v>
      </c>
      <c r="O19" s="296">
        <f t="shared" si="9"/>
        <v>624051</v>
      </c>
      <c r="P19" s="296">
        <v>33413</v>
      </c>
      <c r="Q19" s="296">
        <f t="shared" si="17"/>
        <v>657464</v>
      </c>
      <c r="R19" s="295">
        <v>15.19</v>
      </c>
      <c r="S19" s="355" t="s">
        <v>2365</v>
      </c>
      <c r="T19" s="398" t="s">
        <v>2365</v>
      </c>
      <c r="U19" s="296">
        <v>80469</v>
      </c>
      <c r="V19" s="296">
        <v>10732</v>
      </c>
      <c r="W19" s="296">
        <v>125088</v>
      </c>
      <c r="X19" s="296">
        <v>7280</v>
      </c>
      <c r="Y19" s="296">
        <v>48808</v>
      </c>
      <c r="Z19" s="296">
        <f t="shared" si="18"/>
        <v>191908</v>
      </c>
      <c r="AA19" s="296">
        <v>85091</v>
      </c>
      <c r="AB19" s="296">
        <v>58526</v>
      </c>
      <c r="AC19" s="296">
        <v>17602</v>
      </c>
      <c r="AD19" s="296">
        <v>56387</v>
      </c>
      <c r="AE19" s="296">
        <v>44336</v>
      </c>
      <c r="AF19" s="296">
        <v>31073</v>
      </c>
      <c r="AG19" s="296">
        <f t="shared" si="6"/>
        <v>293015</v>
      </c>
      <c r="AH19" s="296">
        <f t="shared" si="11"/>
        <v>565392</v>
      </c>
      <c r="AI19" s="296">
        <v>28288</v>
      </c>
      <c r="AJ19" s="296">
        <f t="shared" si="19"/>
        <v>593680</v>
      </c>
      <c r="AK19" s="295">
        <v>8.34</v>
      </c>
      <c r="AL19" s="355" t="s">
        <v>2365</v>
      </c>
    </row>
    <row r="20" spans="1:38" s="164" customFormat="1" ht="11.1" customHeight="1">
      <c r="A20" s="384" t="s">
        <v>2366</v>
      </c>
      <c r="B20" s="382">
        <v>69509</v>
      </c>
      <c r="C20" s="382">
        <v>11425</v>
      </c>
      <c r="D20" s="382">
        <v>141775</v>
      </c>
      <c r="E20" s="382">
        <v>8280</v>
      </c>
      <c r="F20" s="382">
        <v>56288</v>
      </c>
      <c r="G20" s="382">
        <f t="shared" si="16"/>
        <v>217768</v>
      </c>
      <c r="H20" s="382">
        <v>96469</v>
      </c>
      <c r="I20" s="382">
        <v>65299</v>
      </c>
      <c r="J20" s="382">
        <v>20825</v>
      </c>
      <c r="K20" s="382">
        <v>67282</v>
      </c>
      <c r="L20" s="382">
        <v>60383</v>
      </c>
      <c r="M20" s="382">
        <v>38073</v>
      </c>
      <c r="N20" s="382">
        <f t="shared" si="3"/>
        <v>348331</v>
      </c>
      <c r="O20" s="382">
        <f t="shared" si="9"/>
        <v>635608</v>
      </c>
      <c r="P20" s="382">
        <v>32692</v>
      </c>
      <c r="Q20" s="382">
        <f t="shared" si="17"/>
        <v>668300</v>
      </c>
      <c r="R20" s="256">
        <v>12.81</v>
      </c>
      <c r="S20" s="379" t="s">
        <v>2366</v>
      </c>
      <c r="T20" s="384" t="s">
        <v>2366</v>
      </c>
      <c r="U20" s="382">
        <v>62316</v>
      </c>
      <c r="V20" s="382">
        <v>10899</v>
      </c>
      <c r="W20" s="382">
        <v>127775</v>
      </c>
      <c r="X20" s="382">
        <v>7225</v>
      </c>
      <c r="Y20" s="382">
        <v>50840</v>
      </c>
      <c r="Z20" s="382">
        <f t="shared" si="18"/>
        <v>196739</v>
      </c>
      <c r="AA20" s="382">
        <v>86646</v>
      </c>
      <c r="AB20" s="382">
        <v>59275</v>
      </c>
      <c r="AC20" s="382">
        <v>18459</v>
      </c>
      <c r="AD20" s="382">
        <v>57753</v>
      </c>
      <c r="AE20" s="382">
        <v>53475</v>
      </c>
      <c r="AF20" s="382">
        <v>33322</v>
      </c>
      <c r="AG20" s="382">
        <f t="shared" si="6"/>
        <v>308930</v>
      </c>
      <c r="AH20" s="382">
        <f t="shared" si="11"/>
        <v>567985</v>
      </c>
      <c r="AI20" s="382">
        <v>27040</v>
      </c>
      <c r="AJ20" s="382">
        <f t="shared" si="19"/>
        <v>595025</v>
      </c>
      <c r="AK20" s="256">
        <v>6.98</v>
      </c>
      <c r="AL20" s="379" t="s">
        <v>2366</v>
      </c>
    </row>
    <row r="21" spans="1:38" s="164" customFormat="1" ht="11.1" customHeight="1">
      <c r="A21" s="398" t="s">
        <v>2367</v>
      </c>
      <c r="B21" s="296">
        <v>96731</v>
      </c>
      <c r="C21" s="296">
        <v>11878</v>
      </c>
      <c r="D21" s="296">
        <v>142708</v>
      </c>
      <c r="E21" s="296">
        <v>9132</v>
      </c>
      <c r="F21" s="296">
        <v>58347</v>
      </c>
      <c r="G21" s="296">
        <f t="shared" si="16"/>
        <v>222065</v>
      </c>
      <c r="H21" s="296">
        <v>100775</v>
      </c>
      <c r="I21" s="296">
        <v>66421</v>
      </c>
      <c r="J21" s="296">
        <v>22414</v>
      </c>
      <c r="K21" s="296">
        <v>66596</v>
      </c>
      <c r="L21" s="296">
        <v>71427</v>
      </c>
      <c r="M21" s="296">
        <v>35067</v>
      </c>
      <c r="N21" s="296">
        <f t="shared" si="3"/>
        <v>362700</v>
      </c>
      <c r="O21" s="296">
        <f t="shared" si="9"/>
        <v>681496</v>
      </c>
      <c r="P21" s="296">
        <v>27012</v>
      </c>
      <c r="Q21" s="296">
        <f t="shared" si="17"/>
        <v>708508</v>
      </c>
      <c r="R21" s="295">
        <v>11.61</v>
      </c>
      <c r="S21" s="355" t="s">
        <v>2367</v>
      </c>
      <c r="T21" s="398" t="s">
        <v>2367</v>
      </c>
      <c r="U21" s="296">
        <v>87500</v>
      </c>
      <c r="V21" s="296">
        <v>11059</v>
      </c>
      <c r="W21" s="296">
        <v>128397</v>
      </c>
      <c r="X21" s="296">
        <v>7931</v>
      </c>
      <c r="Y21" s="296">
        <v>52104</v>
      </c>
      <c r="Z21" s="296">
        <f t="shared" si="18"/>
        <v>199491</v>
      </c>
      <c r="AA21" s="296">
        <v>90893</v>
      </c>
      <c r="AB21" s="296">
        <v>59636</v>
      </c>
      <c r="AC21" s="296">
        <v>19952</v>
      </c>
      <c r="AD21" s="296">
        <v>56839</v>
      </c>
      <c r="AE21" s="296">
        <v>63617</v>
      </c>
      <c r="AF21" s="296">
        <v>30296</v>
      </c>
      <c r="AG21" s="296">
        <f t="shared" si="6"/>
        <v>321233</v>
      </c>
      <c r="AH21" s="296">
        <f t="shared" si="11"/>
        <v>608224</v>
      </c>
      <c r="AI21" s="296">
        <v>20228</v>
      </c>
      <c r="AJ21" s="296">
        <f t="shared" si="19"/>
        <v>628452</v>
      </c>
      <c r="AK21" s="295">
        <v>5.59</v>
      </c>
      <c r="AL21" s="355" t="s">
        <v>2367</v>
      </c>
    </row>
    <row r="22" spans="1:38" s="164" customFormat="1" ht="11.1" customHeight="1">
      <c r="A22" s="891" t="s">
        <v>1466</v>
      </c>
      <c r="B22" s="382">
        <f>B23+B24+B26+B25</f>
        <v>353443</v>
      </c>
      <c r="C22" s="382">
        <f>C23+C24+C25+C26</f>
        <v>52610</v>
      </c>
      <c r="D22" s="382">
        <f t="shared" ref="D22:F22" si="20">D23+D24+D25+D26</f>
        <v>625938</v>
      </c>
      <c r="E22" s="382">
        <f t="shared" si="20"/>
        <v>40817</v>
      </c>
      <c r="F22" s="382">
        <f t="shared" si="20"/>
        <v>250255</v>
      </c>
      <c r="G22" s="382">
        <f>F22+E22+D22+C22</f>
        <v>969620</v>
      </c>
      <c r="H22" s="382">
        <f>H23+H24+H25+H26</f>
        <v>418395</v>
      </c>
      <c r="I22" s="382">
        <f t="shared" ref="I22:M22" si="21">I23+I24+I25+I26</f>
        <v>285465</v>
      </c>
      <c r="J22" s="382">
        <f t="shared" si="21"/>
        <v>93296</v>
      </c>
      <c r="K22" s="382">
        <f t="shared" si="21"/>
        <v>285912</v>
      </c>
      <c r="L22" s="382">
        <f t="shared" si="21"/>
        <v>262777</v>
      </c>
      <c r="M22" s="382">
        <f t="shared" si="21"/>
        <v>154935</v>
      </c>
      <c r="N22" s="382">
        <f t="shared" si="3"/>
        <v>1500780</v>
      </c>
      <c r="O22" s="382">
        <f t="shared" si="9"/>
        <v>2823843</v>
      </c>
      <c r="P22" s="382">
        <f>P23+P24+P25+P26</f>
        <v>127586</v>
      </c>
      <c r="Q22" s="382">
        <f>O22+P22</f>
        <v>2951429</v>
      </c>
      <c r="R22" s="256">
        <v>11.83</v>
      </c>
      <c r="S22" s="362" t="s">
        <v>1466</v>
      </c>
      <c r="T22" s="891" t="s">
        <v>1466</v>
      </c>
      <c r="U22" s="382">
        <f>U23+U24+U26+U25</f>
        <v>308400</v>
      </c>
      <c r="V22" s="382">
        <f>V23+V24+V25+V26</f>
        <v>47271</v>
      </c>
      <c r="W22" s="382">
        <f t="shared" ref="W22:Y22" si="22">W23+W24+W25+W26</f>
        <v>561220</v>
      </c>
      <c r="X22" s="382">
        <f t="shared" si="22"/>
        <v>33198</v>
      </c>
      <c r="Y22" s="382">
        <f t="shared" si="22"/>
        <v>217315</v>
      </c>
      <c r="Z22" s="382">
        <f>Y22+X22+W22+V22</f>
        <v>859004</v>
      </c>
      <c r="AA22" s="382">
        <f>AA23+AA24+AA25+AA26</f>
        <v>369560</v>
      </c>
      <c r="AB22" s="382">
        <f t="shared" ref="AB22:AF22" si="23">AB23+AB24+AB25+AB26</f>
        <v>250458</v>
      </c>
      <c r="AC22" s="382">
        <f t="shared" si="23"/>
        <v>79323</v>
      </c>
      <c r="AD22" s="382">
        <f t="shared" si="23"/>
        <v>235334</v>
      </c>
      <c r="AE22" s="382">
        <f t="shared" si="23"/>
        <v>225135</v>
      </c>
      <c r="AF22" s="382">
        <f t="shared" si="23"/>
        <v>127933</v>
      </c>
      <c r="AG22" s="382">
        <f t="shared" si="6"/>
        <v>1287743</v>
      </c>
      <c r="AH22" s="382">
        <f t="shared" si="11"/>
        <v>2455147</v>
      </c>
      <c r="AI22" s="382">
        <f>AI23+AI24+AI25+AI26</f>
        <v>106589</v>
      </c>
      <c r="AJ22" s="382">
        <f>AH22+AI22</f>
        <v>2561736</v>
      </c>
      <c r="AK22" s="256">
        <v>7.88</v>
      </c>
      <c r="AL22" s="362" t="s">
        <v>1466</v>
      </c>
    </row>
    <row r="23" spans="1:38" s="164" customFormat="1" ht="11.1" customHeight="1">
      <c r="A23" s="398" t="s">
        <v>2364</v>
      </c>
      <c r="B23" s="296">
        <v>78956</v>
      </c>
      <c r="C23" s="296">
        <v>11903</v>
      </c>
      <c r="D23" s="296">
        <v>151415</v>
      </c>
      <c r="E23" s="296">
        <v>10871</v>
      </c>
      <c r="F23" s="296">
        <v>55887</v>
      </c>
      <c r="G23" s="296">
        <f t="shared" ref="G23:G26" si="24">F23+E23+D23+C23</f>
        <v>230076</v>
      </c>
      <c r="H23" s="296">
        <v>94753</v>
      </c>
      <c r="I23" s="296">
        <v>67610</v>
      </c>
      <c r="J23" s="296">
        <v>21457</v>
      </c>
      <c r="K23" s="296">
        <v>67655</v>
      </c>
      <c r="L23" s="296">
        <v>61948</v>
      </c>
      <c r="M23" s="296">
        <v>34798</v>
      </c>
      <c r="N23" s="296">
        <f t="shared" si="3"/>
        <v>348221</v>
      </c>
      <c r="O23" s="296">
        <f t="shared" si="9"/>
        <v>657253</v>
      </c>
      <c r="P23" s="296">
        <v>30920</v>
      </c>
      <c r="Q23" s="296">
        <f t="shared" ref="Q23:Q26" si="25">O23+P23</f>
        <v>688173</v>
      </c>
      <c r="R23" s="295">
        <v>13.75</v>
      </c>
      <c r="S23" s="355" t="s">
        <v>2364</v>
      </c>
      <c r="T23" s="398" t="s">
        <v>2364</v>
      </c>
      <c r="U23" s="296">
        <v>70142</v>
      </c>
      <c r="V23" s="296">
        <v>10904</v>
      </c>
      <c r="W23" s="296">
        <v>136939</v>
      </c>
      <c r="X23" s="296">
        <v>9324</v>
      </c>
      <c r="Y23" s="296">
        <v>49519</v>
      </c>
      <c r="Z23" s="296">
        <f t="shared" ref="Z23:Z26" si="26">Y23+X23+W23+V23</f>
        <v>206686</v>
      </c>
      <c r="AA23" s="296">
        <v>85455</v>
      </c>
      <c r="AB23" s="296">
        <v>60711</v>
      </c>
      <c r="AC23" s="296">
        <v>18628</v>
      </c>
      <c r="AD23" s="296">
        <v>57351</v>
      </c>
      <c r="AE23" s="296">
        <v>53949</v>
      </c>
      <c r="AF23" s="296">
        <v>29603</v>
      </c>
      <c r="AG23" s="296">
        <f t="shared" si="6"/>
        <v>305697</v>
      </c>
      <c r="AH23" s="296">
        <f t="shared" si="11"/>
        <v>582525</v>
      </c>
      <c r="AI23" s="296">
        <v>28956</v>
      </c>
      <c r="AJ23" s="296">
        <f t="shared" ref="AJ23:AJ26" si="27">AH23+AI23</f>
        <v>611481</v>
      </c>
      <c r="AK23" s="295">
        <v>9.6999999999999993</v>
      </c>
      <c r="AL23" s="355" t="s">
        <v>2364</v>
      </c>
    </row>
    <row r="24" spans="1:38" s="164" customFormat="1" ht="11.1" customHeight="1">
      <c r="A24" s="384" t="s">
        <v>2365</v>
      </c>
      <c r="B24" s="382">
        <v>95307</v>
      </c>
      <c r="C24" s="382">
        <v>13035</v>
      </c>
      <c r="D24" s="382">
        <v>156266</v>
      </c>
      <c r="E24" s="382">
        <v>9033</v>
      </c>
      <c r="F24" s="382">
        <v>60751</v>
      </c>
      <c r="G24" s="382">
        <f t="shared" si="24"/>
        <v>239085</v>
      </c>
      <c r="H24" s="382">
        <v>103782</v>
      </c>
      <c r="I24" s="382">
        <v>70113</v>
      </c>
      <c r="J24" s="382">
        <v>22871</v>
      </c>
      <c r="K24" s="382">
        <v>69759</v>
      </c>
      <c r="L24" s="382">
        <v>61972</v>
      </c>
      <c r="M24" s="382">
        <v>38392</v>
      </c>
      <c r="N24" s="382">
        <f t="shared" si="3"/>
        <v>366889</v>
      </c>
      <c r="O24" s="382">
        <f t="shared" si="9"/>
        <v>701281</v>
      </c>
      <c r="P24" s="382">
        <v>29151</v>
      </c>
      <c r="Q24" s="382">
        <f t="shared" si="25"/>
        <v>730432</v>
      </c>
      <c r="R24" s="256">
        <v>11.1</v>
      </c>
      <c r="S24" s="379" t="s">
        <v>2365</v>
      </c>
      <c r="T24" s="384" t="s">
        <v>2365</v>
      </c>
      <c r="U24" s="382">
        <v>82726</v>
      </c>
      <c r="V24" s="382">
        <v>11973</v>
      </c>
      <c r="W24" s="382">
        <v>141024</v>
      </c>
      <c r="X24" s="382">
        <v>7552</v>
      </c>
      <c r="Y24" s="382">
        <v>53570</v>
      </c>
      <c r="Z24" s="382">
        <f t="shared" si="26"/>
        <v>214119</v>
      </c>
      <c r="AA24" s="382">
        <v>91807</v>
      </c>
      <c r="AB24" s="382">
        <v>61652</v>
      </c>
      <c r="AC24" s="382">
        <v>19473</v>
      </c>
      <c r="AD24" s="382">
        <v>58872</v>
      </c>
      <c r="AE24" s="382">
        <v>53074</v>
      </c>
      <c r="AF24" s="382">
        <v>32160</v>
      </c>
      <c r="AG24" s="382">
        <f t="shared" si="6"/>
        <v>317038</v>
      </c>
      <c r="AH24" s="382">
        <f t="shared" si="11"/>
        <v>613883</v>
      </c>
      <c r="AI24" s="382">
        <v>25210</v>
      </c>
      <c r="AJ24" s="382">
        <f t="shared" si="27"/>
        <v>639093</v>
      </c>
      <c r="AK24" s="256">
        <v>7.65</v>
      </c>
      <c r="AL24" s="379" t="s">
        <v>2365</v>
      </c>
    </row>
    <row r="25" spans="1:38" s="164" customFormat="1" ht="11.1" customHeight="1">
      <c r="A25" s="398" t="s">
        <v>2366</v>
      </c>
      <c r="B25" s="296">
        <v>75410</v>
      </c>
      <c r="C25" s="296">
        <v>13529</v>
      </c>
      <c r="D25" s="296">
        <v>158902</v>
      </c>
      <c r="E25" s="296">
        <v>9191</v>
      </c>
      <c r="F25" s="296">
        <v>64794</v>
      </c>
      <c r="G25" s="296">
        <f t="shared" si="24"/>
        <v>246416</v>
      </c>
      <c r="H25" s="296">
        <v>105048</v>
      </c>
      <c r="I25" s="296">
        <v>72892</v>
      </c>
      <c r="J25" s="296">
        <v>23871</v>
      </c>
      <c r="K25" s="296">
        <v>73937</v>
      </c>
      <c r="L25" s="296">
        <v>60545</v>
      </c>
      <c r="M25" s="296">
        <v>40691</v>
      </c>
      <c r="N25" s="296">
        <f t="shared" si="3"/>
        <v>376984</v>
      </c>
      <c r="O25" s="296">
        <f t="shared" si="9"/>
        <v>698810</v>
      </c>
      <c r="P25" s="296">
        <v>33116</v>
      </c>
      <c r="Q25" s="296">
        <f t="shared" si="25"/>
        <v>731926</v>
      </c>
      <c r="R25" s="295">
        <v>9.52</v>
      </c>
      <c r="S25" s="355" t="s">
        <v>2366</v>
      </c>
      <c r="T25" s="398" t="s">
        <v>2366</v>
      </c>
      <c r="U25" s="296">
        <v>65186</v>
      </c>
      <c r="V25" s="296">
        <v>12078</v>
      </c>
      <c r="W25" s="296">
        <v>141595</v>
      </c>
      <c r="X25" s="296">
        <v>7347</v>
      </c>
      <c r="Y25" s="296">
        <v>55764</v>
      </c>
      <c r="Z25" s="296">
        <f t="shared" si="26"/>
        <v>216784</v>
      </c>
      <c r="AA25" s="296">
        <v>91716</v>
      </c>
      <c r="AB25" s="296">
        <v>63614</v>
      </c>
      <c r="AC25" s="296">
        <v>20061</v>
      </c>
      <c r="AD25" s="296">
        <v>59478</v>
      </c>
      <c r="AE25" s="296">
        <v>51347</v>
      </c>
      <c r="AF25" s="296">
        <v>33173</v>
      </c>
      <c r="AG25" s="296">
        <f t="shared" si="6"/>
        <v>319389</v>
      </c>
      <c r="AH25" s="296">
        <f t="shared" si="11"/>
        <v>601359</v>
      </c>
      <c r="AI25" s="296">
        <v>27842</v>
      </c>
      <c r="AJ25" s="296">
        <f t="shared" si="27"/>
        <v>629201</v>
      </c>
      <c r="AK25" s="295">
        <v>5.74</v>
      </c>
      <c r="AL25" s="355" t="s">
        <v>2366</v>
      </c>
    </row>
    <row r="26" spans="1:38" s="164" customFormat="1" ht="11.1" customHeight="1">
      <c r="A26" s="384" t="s">
        <v>2367</v>
      </c>
      <c r="B26" s="382">
        <v>103770</v>
      </c>
      <c r="C26" s="382">
        <v>14143</v>
      </c>
      <c r="D26" s="382">
        <v>159355</v>
      </c>
      <c r="E26" s="382">
        <v>11722</v>
      </c>
      <c r="F26" s="382">
        <v>68823</v>
      </c>
      <c r="G26" s="382">
        <f t="shared" si="24"/>
        <v>254043</v>
      </c>
      <c r="H26" s="382">
        <v>114812</v>
      </c>
      <c r="I26" s="382">
        <v>74850</v>
      </c>
      <c r="J26" s="382">
        <v>25097</v>
      </c>
      <c r="K26" s="382">
        <v>74561</v>
      </c>
      <c r="L26" s="382">
        <v>78312</v>
      </c>
      <c r="M26" s="382">
        <v>41054</v>
      </c>
      <c r="N26" s="382">
        <f t="shared" si="3"/>
        <v>408686</v>
      </c>
      <c r="O26" s="382">
        <f t="shared" si="9"/>
        <v>766499</v>
      </c>
      <c r="P26" s="382">
        <v>34399</v>
      </c>
      <c r="Q26" s="382">
        <f t="shared" si="25"/>
        <v>800898</v>
      </c>
      <c r="R26" s="256">
        <v>13.04</v>
      </c>
      <c r="S26" s="379" t="s">
        <v>2367</v>
      </c>
      <c r="T26" s="384" t="s">
        <v>2367</v>
      </c>
      <c r="U26" s="382">
        <v>90346</v>
      </c>
      <c r="V26" s="382">
        <v>12316</v>
      </c>
      <c r="W26" s="382">
        <v>141662</v>
      </c>
      <c r="X26" s="382">
        <v>8975</v>
      </c>
      <c r="Y26" s="382">
        <v>58462</v>
      </c>
      <c r="Z26" s="382">
        <f t="shared" si="26"/>
        <v>221415</v>
      </c>
      <c r="AA26" s="382">
        <v>100582</v>
      </c>
      <c r="AB26" s="382">
        <v>64481</v>
      </c>
      <c r="AC26" s="382">
        <v>21161</v>
      </c>
      <c r="AD26" s="382">
        <v>59633</v>
      </c>
      <c r="AE26" s="382">
        <v>66765</v>
      </c>
      <c r="AF26" s="382">
        <v>32997</v>
      </c>
      <c r="AG26" s="382">
        <f t="shared" si="6"/>
        <v>345619</v>
      </c>
      <c r="AH26" s="382">
        <f t="shared" si="11"/>
        <v>657380</v>
      </c>
      <c r="AI26" s="382">
        <v>24581</v>
      </c>
      <c r="AJ26" s="382">
        <f t="shared" si="27"/>
        <v>681961</v>
      </c>
      <c r="AK26" s="256">
        <v>8.51</v>
      </c>
      <c r="AL26" s="379" t="s">
        <v>2367</v>
      </c>
    </row>
    <row r="27" spans="1:38" s="164" customFormat="1" ht="11.1" customHeight="1">
      <c r="A27" s="1543" t="s">
        <v>1550</v>
      </c>
      <c r="B27" s="296">
        <f>B28+B29+B31+B30</f>
        <v>380446</v>
      </c>
      <c r="C27" s="296">
        <f>C28+C29+C30+C31</f>
        <v>55224</v>
      </c>
      <c r="D27" s="296">
        <f t="shared" ref="D27:F27" si="28">D28+D29+D30+D31</f>
        <v>653064</v>
      </c>
      <c r="E27" s="296">
        <f t="shared" si="28"/>
        <v>47283</v>
      </c>
      <c r="F27" s="296">
        <f t="shared" si="28"/>
        <v>287881</v>
      </c>
      <c r="G27" s="296">
        <f>C27+D27+E27+F27</f>
        <v>1043452</v>
      </c>
      <c r="H27" s="296">
        <f>H28+H29+H30+H31</f>
        <v>445757</v>
      </c>
      <c r="I27" s="296">
        <f t="shared" ref="I27:M27" si="29">I28+I29+I30+I31</f>
        <v>303374</v>
      </c>
      <c r="J27" s="296">
        <f t="shared" si="29"/>
        <v>103217</v>
      </c>
      <c r="K27" s="296">
        <f t="shared" si="29"/>
        <v>316662</v>
      </c>
      <c r="L27" s="296">
        <f t="shared" si="29"/>
        <v>294129</v>
      </c>
      <c r="M27" s="296">
        <f t="shared" si="29"/>
        <v>170010</v>
      </c>
      <c r="N27" s="296">
        <f t="shared" si="3"/>
        <v>1633149</v>
      </c>
      <c r="O27" s="296">
        <f t="shared" si="9"/>
        <v>3057047</v>
      </c>
      <c r="P27" s="296">
        <f>P28+P29+P30+P31</f>
        <v>113421</v>
      </c>
      <c r="Q27" s="296">
        <f>O27+P27</f>
        <v>3170468</v>
      </c>
      <c r="R27" s="295">
        <v>7.42</v>
      </c>
      <c r="S27" s="361" t="s">
        <v>1550</v>
      </c>
      <c r="T27" s="1543" t="s">
        <v>1550</v>
      </c>
      <c r="U27" s="296">
        <f>U28+U29+U31+U30</f>
        <v>318951</v>
      </c>
      <c r="V27" s="296">
        <f>V28+V29+V30+V31</f>
        <v>48766</v>
      </c>
      <c r="W27" s="296">
        <f t="shared" ref="W27:Y27" si="30">W28+W29+W30+W31</f>
        <v>570654</v>
      </c>
      <c r="X27" s="296">
        <f t="shared" si="30"/>
        <v>33457</v>
      </c>
      <c r="Y27" s="296">
        <f t="shared" si="30"/>
        <v>237146</v>
      </c>
      <c r="Z27" s="296">
        <f>V27+W27+X27+Y27</f>
        <v>890023</v>
      </c>
      <c r="AA27" s="296">
        <f>AA28+AA29+AA30+AA31</f>
        <v>381438</v>
      </c>
      <c r="AB27" s="296">
        <f t="shared" ref="AB27:AE27" si="31">AB28+AB29+AB30+AB31</f>
        <v>256273</v>
      </c>
      <c r="AC27" s="296">
        <f t="shared" si="31"/>
        <v>83068</v>
      </c>
      <c r="AD27" s="296">
        <f t="shared" si="31"/>
        <v>244442</v>
      </c>
      <c r="AE27" s="296">
        <f t="shared" si="31"/>
        <v>241231</v>
      </c>
      <c r="AF27" s="296">
        <f>AF28+AF29+AF30+AF31</f>
        <v>131937</v>
      </c>
      <c r="AG27" s="296">
        <f t="shared" si="6"/>
        <v>1338389</v>
      </c>
      <c r="AH27" s="296">
        <f t="shared" si="11"/>
        <v>2547363</v>
      </c>
      <c r="AI27" s="296">
        <f>AI28+AI29+AI30+AI31</f>
        <v>102701</v>
      </c>
      <c r="AJ27" s="296">
        <f>AH27+AI27</f>
        <v>2650064</v>
      </c>
      <c r="AK27" s="295">
        <v>3.45</v>
      </c>
      <c r="AL27" s="361" t="s">
        <v>1550</v>
      </c>
    </row>
    <row r="28" spans="1:38" s="164" customFormat="1" ht="11.1" customHeight="1">
      <c r="A28" s="384" t="s">
        <v>2364</v>
      </c>
      <c r="B28" s="382">
        <v>84829</v>
      </c>
      <c r="C28" s="382">
        <v>13321</v>
      </c>
      <c r="D28" s="382">
        <v>166873</v>
      </c>
      <c r="E28" s="382">
        <v>13350</v>
      </c>
      <c r="F28" s="382">
        <v>69741</v>
      </c>
      <c r="G28" s="382">
        <f t="shared" ref="G28:G31" si="32">C28+D28+E28+F28</f>
        <v>263285</v>
      </c>
      <c r="H28" s="382">
        <v>105443</v>
      </c>
      <c r="I28" s="382">
        <v>74373</v>
      </c>
      <c r="J28" s="382">
        <v>23534</v>
      </c>
      <c r="K28" s="382">
        <v>75005</v>
      </c>
      <c r="L28" s="382">
        <v>64541</v>
      </c>
      <c r="M28" s="382">
        <v>42106</v>
      </c>
      <c r="N28" s="382">
        <f t="shared" si="3"/>
        <v>385002</v>
      </c>
      <c r="O28" s="382">
        <f t="shared" si="9"/>
        <v>733116</v>
      </c>
      <c r="P28" s="382">
        <v>31342</v>
      </c>
      <c r="Q28" s="382">
        <f t="shared" ref="Q28:Q31" si="33">O28+P28</f>
        <v>764458</v>
      </c>
      <c r="R28" s="256">
        <v>11.08</v>
      </c>
      <c r="S28" s="379" t="s">
        <v>2364</v>
      </c>
      <c r="T28" s="384" t="s">
        <v>2364</v>
      </c>
      <c r="U28" s="382">
        <v>72734</v>
      </c>
      <c r="V28" s="382">
        <v>11792</v>
      </c>
      <c r="W28" s="382">
        <v>146330</v>
      </c>
      <c r="X28" s="382">
        <v>9603</v>
      </c>
      <c r="Y28" s="382">
        <v>58385</v>
      </c>
      <c r="Z28" s="382">
        <f t="shared" ref="Z28:Z31" si="34">V28+W28+X28+Y28</f>
        <v>226110</v>
      </c>
      <c r="AA28" s="382">
        <v>92145</v>
      </c>
      <c r="AB28" s="382">
        <v>63749</v>
      </c>
      <c r="AC28" s="382">
        <v>19351</v>
      </c>
      <c r="AD28" s="382">
        <v>59513</v>
      </c>
      <c r="AE28" s="382">
        <v>53852</v>
      </c>
      <c r="AF28" s="382">
        <v>33381</v>
      </c>
      <c r="AG28" s="382">
        <f t="shared" si="6"/>
        <v>321991</v>
      </c>
      <c r="AH28" s="382">
        <f t="shared" si="11"/>
        <v>620835</v>
      </c>
      <c r="AI28" s="382">
        <v>31369</v>
      </c>
      <c r="AJ28" s="382">
        <f t="shared" ref="AJ28:AJ31" si="35">AH28+AI28</f>
        <v>652204</v>
      </c>
      <c r="AK28" s="256">
        <v>6.66</v>
      </c>
      <c r="AL28" s="379" t="s">
        <v>2364</v>
      </c>
    </row>
    <row r="29" spans="1:38" s="164" customFormat="1" ht="11.1" customHeight="1">
      <c r="A29" s="398" t="s">
        <v>2365</v>
      </c>
      <c r="B29" s="296">
        <v>103894</v>
      </c>
      <c r="C29" s="296">
        <v>14657</v>
      </c>
      <c r="D29" s="296">
        <v>170652</v>
      </c>
      <c r="E29" s="296">
        <v>11148</v>
      </c>
      <c r="F29" s="296">
        <v>77349</v>
      </c>
      <c r="G29" s="296">
        <f t="shared" si="32"/>
        <v>273806</v>
      </c>
      <c r="H29" s="296">
        <v>117966</v>
      </c>
      <c r="I29" s="296">
        <v>76179</v>
      </c>
      <c r="J29" s="296">
        <v>25497</v>
      </c>
      <c r="K29" s="296">
        <v>77372</v>
      </c>
      <c r="L29" s="296">
        <v>70575</v>
      </c>
      <c r="M29" s="296">
        <v>45112</v>
      </c>
      <c r="N29" s="296">
        <f t="shared" si="3"/>
        <v>412701</v>
      </c>
      <c r="O29" s="296">
        <f t="shared" si="9"/>
        <v>790401</v>
      </c>
      <c r="P29" s="296">
        <v>28667</v>
      </c>
      <c r="Q29" s="296">
        <f t="shared" si="33"/>
        <v>819068</v>
      </c>
      <c r="R29" s="295">
        <v>12.13</v>
      </c>
      <c r="S29" s="355" t="s">
        <v>2365</v>
      </c>
      <c r="T29" s="398" t="s">
        <v>2365</v>
      </c>
      <c r="U29" s="296">
        <v>86465</v>
      </c>
      <c r="V29" s="296">
        <v>12972</v>
      </c>
      <c r="W29" s="296">
        <v>150188</v>
      </c>
      <c r="X29" s="296">
        <v>7952</v>
      </c>
      <c r="Y29" s="296">
        <v>64117</v>
      </c>
      <c r="Z29" s="296">
        <f t="shared" si="34"/>
        <v>235229</v>
      </c>
      <c r="AA29" s="296">
        <v>100899</v>
      </c>
      <c r="AB29" s="296">
        <v>64519</v>
      </c>
      <c r="AC29" s="296">
        <v>20524</v>
      </c>
      <c r="AD29" s="296">
        <v>61151</v>
      </c>
      <c r="AE29" s="296">
        <v>57928</v>
      </c>
      <c r="AF29" s="296">
        <v>35223</v>
      </c>
      <c r="AG29" s="296">
        <f t="shared" si="6"/>
        <v>340244</v>
      </c>
      <c r="AH29" s="296">
        <f t="shared" si="11"/>
        <v>661938</v>
      </c>
      <c r="AI29" s="296">
        <v>24065</v>
      </c>
      <c r="AJ29" s="296">
        <f t="shared" si="35"/>
        <v>686003</v>
      </c>
      <c r="AK29" s="295">
        <v>7.34</v>
      </c>
      <c r="AL29" s="355" t="s">
        <v>2365</v>
      </c>
    </row>
    <row r="30" spans="1:38" s="164" customFormat="1" ht="11.1" customHeight="1">
      <c r="A30" s="384" t="s">
        <v>2366</v>
      </c>
      <c r="B30" s="382">
        <v>80960</v>
      </c>
      <c r="C30" s="382">
        <v>16169</v>
      </c>
      <c r="D30" s="382">
        <v>173955</v>
      </c>
      <c r="E30" s="382">
        <v>11334</v>
      </c>
      <c r="F30" s="382">
        <v>82038</v>
      </c>
      <c r="G30" s="382">
        <f t="shared" si="32"/>
        <v>283496</v>
      </c>
      <c r="H30" s="382">
        <v>118912</v>
      </c>
      <c r="I30" s="382">
        <v>78587</v>
      </c>
      <c r="J30" s="382">
        <v>29566</v>
      </c>
      <c r="K30" s="382">
        <v>81609</v>
      </c>
      <c r="L30" s="382">
        <v>68005</v>
      </c>
      <c r="M30" s="382">
        <v>43330</v>
      </c>
      <c r="N30" s="382">
        <f t="shared" si="3"/>
        <v>420009</v>
      </c>
      <c r="O30" s="382">
        <f t="shared" si="9"/>
        <v>784465</v>
      </c>
      <c r="P30" s="382">
        <v>33667</v>
      </c>
      <c r="Q30" s="382">
        <f t="shared" si="33"/>
        <v>818132</v>
      </c>
      <c r="R30" s="256">
        <v>11.78</v>
      </c>
      <c r="S30" s="379" t="s">
        <v>2366</v>
      </c>
      <c r="T30" s="384" t="s">
        <v>2366</v>
      </c>
      <c r="U30" s="382">
        <v>67541</v>
      </c>
      <c r="V30" s="382">
        <v>14210</v>
      </c>
      <c r="W30" s="382">
        <v>151518</v>
      </c>
      <c r="X30" s="382">
        <v>7847</v>
      </c>
      <c r="Y30" s="382">
        <v>66814</v>
      </c>
      <c r="Z30" s="382">
        <f t="shared" si="34"/>
        <v>240389</v>
      </c>
      <c r="AA30" s="382">
        <v>100658</v>
      </c>
      <c r="AB30" s="382">
        <v>66105</v>
      </c>
      <c r="AC30" s="382">
        <v>23554</v>
      </c>
      <c r="AD30" s="382">
        <v>61489</v>
      </c>
      <c r="AE30" s="382">
        <v>55262</v>
      </c>
      <c r="AF30" s="382">
        <v>33317</v>
      </c>
      <c r="AG30" s="382">
        <f t="shared" si="6"/>
        <v>340385</v>
      </c>
      <c r="AH30" s="382">
        <f t="shared" si="11"/>
        <v>648315</v>
      </c>
      <c r="AI30" s="382">
        <v>29282</v>
      </c>
      <c r="AJ30" s="382">
        <f t="shared" si="35"/>
        <v>677597</v>
      </c>
      <c r="AK30" s="256">
        <v>7.69</v>
      </c>
      <c r="AL30" s="379" t="s">
        <v>2366</v>
      </c>
    </row>
    <row r="31" spans="1:38" s="164" customFormat="1" ht="11.1" customHeight="1">
      <c r="A31" s="398" t="s">
        <v>2367</v>
      </c>
      <c r="B31" s="296">
        <v>110763</v>
      </c>
      <c r="C31" s="296">
        <v>11077</v>
      </c>
      <c r="D31" s="296">
        <v>141584</v>
      </c>
      <c r="E31" s="296">
        <v>11451</v>
      </c>
      <c r="F31" s="296">
        <v>58753</v>
      </c>
      <c r="G31" s="296">
        <f t="shared" si="32"/>
        <v>222865</v>
      </c>
      <c r="H31" s="296">
        <v>103436</v>
      </c>
      <c r="I31" s="296">
        <v>74235</v>
      </c>
      <c r="J31" s="296">
        <v>24620</v>
      </c>
      <c r="K31" s="296">
        <v>82676</v>
      </c>
      <c r="L31" s="296">
        <v>91008</v>
      </c>
      <c r="M31" s="296">
        <v>39462</v>
      </c>
      <c r="N31" s="296">
        <f t="shared" si="3"/>
        <v>415437</v>
      </c>
      <c r="O31" s="296">
        <f t="shared" si="9"/>
        <v>749065</v>
      </c>
      <c r="P31" s="296">
        <v>19745</v>
      </c>
      <c r="Q31" s="296">
        <f t="shared" si="33"/>
        <v>768810</v>
      </c>
      <c r="R31" s="295">
        <v>-4.01</v>
      </c>
      <c r="S31" s="355" t="s">
        <v>2367</v>
      </c>
      <c r="T31" s="398" t="s">
        <v>2367</v>
      </c>
      <c r="U31" s="296">
        <v>92211</v>
      </c>
      <c r="V31" s="296">
        <v>9792</v>
      </c>
      <c r="W31" s="296">
        <v>122618</v>
      </c>
      <c r="X31" s="296">
        <v>8055</v>
      </c>
      <c r="Y31" s="296">
        <v>47830</v>
      </c>
      <c r="Z31" s="296">
        <f t="shared" si="34"/>
        <v>188295</v>
      </c>
      <c r="AA31" s="296">
        <v>87736</v>
      </c>
      <c r="AB31" s="296">
        <v>61900</v>
      </c>
      <c r="AC31" s="296">
        <v>19639</v>
      </c>
      <c r="AD31" s="296">
        <v>62289</v>
      </c>
      <c r="AE31" s="296">
        <v>74189</v>
      </c>
      <c r="AF31" s="296">
        <v>30016</v>
      </c>
      <c r="AG31" s="296">
        <f t="shared" si="6"/>
        <v>335769</v>
      </c>
      <c r="AH31" s="296">
        <f t="shared" si="11"/>
        <v>616275</v>
      </c>
      <c r="AI31" s="296">
        <v>17985</v>
      </c>
      <c r="AJ31" s="296">
        <f t="shared" si="35"/>
        <v>634260</v>
      </c>
      <c r="AK31" s="295">
        <v>-6.99</v>
      </c>
      <c r="AL31" s="355" t="s">
        <v>2367</v>
      </c>
    </row>
    <row r="32" spans="1:38" s="164" customFormat="1" ht="11.1" customHeight="1">
      <c r="A32" s="891" t="s">
        <v>1606</v>
      </c>
      <c r="B32" s="382">
        <f>B33+B34+B35+B36</f>
        <v>410660</v>
      </c>
      <c r="C32" s="382">
        <f>C33+C34+C35+C36</f>
        <v>59102</v>
      </c>
      <c r="D32" s="382">
        <f t="shared" ref="D32:F32" si="36">D33+D34+D35+D36</f>
        <v>749658</v>
      </c>
      <c r="E32" s="382">
        <f t="shared" si="36"/>
        <v>47869</v>
      </c>
      <c r="F32" s="382">
        <f t="shared" si="36"/>
        <v>319488</v>
      </c>
      <c r="G32" s="382">
        <f>C32+D32+E32+F32</f>
        <v>1176117</v>
      </c>
      <c r="H32" s="382">
        <f>H33+H34+H35+H36</f>
        <v>497652</v>
      </c>
      <c r="I32" s="382">
        <f t="shared" ref="I32:M32" si="37">I33+I34+I35+I36</f>
        <v>334521</v>
      </c>
      <c r="J32" s="382">
        <f t="shared" si="37"/>
        <v>115271</v>
      </c>
      <c r="K32" s="382">
        <f t="shared" si="37"/>
        <v>346440</v>
      </c>
      <c r="L32" s="382">
        <f t="shared" si="37"/>
        <v>331140</v>
      </c>
      <c r="M32" s="382">
        <f t="shared" si="37"/>
        <v>186017</v>
      </c>
      <c r="N32" s="382">
        <f t="shared" si="3"/>
        <v>1811041</v>
      </c>
      <c r="O32" s="382">
        <f t="shared" si="9"/>
        <v>3397818</v>
      </c>
      <c r="P32" s="382">
        <f>P33+P34+P35+P36</f>
        <v>132366</v>
      </c>
      <c r="Q32" s="382">
        <f>O32+P32</f>
        <v>3530184</v>
      </c>
      <c r="R32" s="256">
        <v>11.35</v>
      </c>
      <c r="S32" s="362" t="s">
        <v>1606</v>
      </c>
      <c r="T32" s="891" t="s">
        <v>1606</v>
      </c>
      <c r="U32" s="382">
        <f>U33+U34+U35+U36</f>
        <v>329076</v>
      </c>
      <c r="V32" s="382">
        <f>V33+V34+V35+V36</f>
        <v>51931</v>
      </c>
      <c r="W32" s="382">
        <f t="shared" ref="W32:Y32" si="38">W33+W34+W35+W36</f>
        <v>636765</v>
      </c>
      <c r="X32" s="382">
        <f t="shared" si="38"/>
        <v>36580</v>
      </c>
      <c r="Y32" s="382">
        <f t="shared" si="38"/>
        <v>256305</v>
      </c>
      <c r="Z32" s="382">
        <f>V32+W32+X32+Y32</f>
        <v>981581</v>
      </c>
      <c r="AA32" s="382">
        <f>AA33+AA34+AA35+AA36</f>
        <v>410589</v>
      </c>
      <c r="AB32" s="382">
        <f t="shared" ref="AB32:AF32" si="39">AB33+AB34+AB35+AB36</f>
        <v>267774</v>
      </c>
      <c r="AC32" s="382">
        <f t="shared" si="39"/>
        <v>87902</v>
      </c>
      <c r="AD32" s="382">
        <f t="shared" si="39"/>
        <v>253360</v>
      </c>
      <c r="AE32" s="382">
        <f t="shared" si="39"/>
        <v>259377</v>
      </c>
      <c r="AF32" s="382">
        <f t="shared" si="39"/>
        <v>136105</v>
      </c>
      <c r="AG32" s="382">
        <f t="shared" si="6"/>
        <v>1415107</v>
      </c>
      <c r="AH32" s="382">
        <f t="shared" si="11"/>
        <v>2725764</v>
      </c>
      <c r="AI32" s="382">
        <f>AI33+AI34+AI35+AI36</f>
        <v>108180</v>
      </c>
      <c r="AJ32" s="382">
        <f>AH32+AI32</f>
        <v>2833944</v>
      </c>
      <c r="AK32" s="256">
        <v>6.94</v>
      </c>
      <c r="AL32" s="362" t="s">
        <v>1606</v>
      </c>
    </row>
    <row r="33" spans="1:38" s="164" customFormat="1" ht="11.1" customHeight="1">
      <c r="A33" s="398" t="s">
        <v>2364</v>
      </c>
      <c r="B33" s="296">
        <v>91739</v>
      </c>
      <c r="C33" s="296">
        <v>13223</v>
      </c>
      <c r="D33" s="296">
        <v>171868</v>
      </c>
      <c r="E33" s="296">
        <v>13299</v>
      </c>
      <c r="F33" s="296">
        <v>70327</v>
      </c>
      <c r="G33" s="296">
        <f t="shared" ref="G33:G41" si="40">C33+D33+E33+F33</f>
        <v>268717</v>
      </c>
      <c r="H33" s="296">
        <v>106623</v>
      </c>
      <c r="I33" s="296">
        <v>75479</v>
      </c>
      <c r="J33" s="296">
        <v>24775</v>
      </c>
      <c r="K33" s="296">
        <v>83451</v>
      </c>
      <c r="L33" s="296">
        <v>75704</v>
      </c>
      <c r="M33" s="296">
        <v>39052</v>
      </c>
      <c r="N33" s="296">
        <f t="shared" si="3"/>
        <v>405084</v>
      </c>
      <c r="O33" s="296">
        <f t="shared" si="9"/>
        <v>765540</v>
      </c>
      <c r="P33" s="296">
        <v>31365</v>
      </c>
      <c r="Q33" s="296">
        <f t="shared" ref="Q33:Q41" si="41">O33+P33</f>
        <v>796905</v>
      </c>
      <c r="R33" s="295">
        <v>4.24</v>
      </c>
      <c r="S33" s="355" t="s">
        <v>2364</v>
      </c>
      <c r="T33" s="398" t="s">
        <v>2364</v>
      </c>
      <c r="U33" s="296">
        <v>75193</v>
      </c>
      <c r="V33" s="296">
        <v>11489</v>
      </c>
      <c r="W33" s="296">
        <v>149164</v>
      </c>
      <c r="X33" s="296">
        <v>9836</v>
      </c>
      <c r="Y33" s="296">
        <v>57506</v>
      </c>
      <c r="Z33" s="296">
        <f t="shared" ref="Z33:Z36" si="42">V33+W33+X33+Y33</f>
        <v>227995</v>
      </c>
      <c r="AA33" s="296">
        <v>89796</v>
      </c>
      <c r="AB33" s="296">
        <v>62881</v>
      </c>
      <c r="AC33" s="296">
        <v>19299</v>
      </c>
      <c r="AD33" s="296">
        <v>62301</v>
      </c>
      <c r="AE33" s="296">
        <v>60451</v>
      </c>
      <c r="AF33" s="296">
        <v>29382</v>
      </c>
      <c r="AG33" s="296">
        <f t="shared" si="6"/>
        <v>324110</v>
      </c>
      <c r="AH33" s="296">
        <f t="shared" si="11"/>
        <v>627298</v>
      </c>
      <c r="AI33" s="296">
        <v>30099</v>
      </c>
      <c r="AJ33" s="296">
        <f t="shared" ref="AJ33:AJ36" si="43">AH33+AI33</f>
        <v>657397</v>
      </c>
      <c r="AK33" s="295">
        <v>0.8</v>
      </c>
      <c r="AL33" s="355" t="s">
        <v>2364</v>
      </c>
    </row>
    <row r="34" spans="1:38" s="164" customFormat="1" ht="11.1" customHeight="1">
      <c r="A34" s="384" t="s">
        <v>2365</v>
      </c>
      <c r="B34" s="382">
        <v>112643</v>
      </c>
      <c r="C34" s="382">
        <v>14861</v>
      </c>
      <c r="D34" s="382">
        <v>181426</v>
      </c>
      <c r="E34" s="382">
        <v>11064</v>
      </c>
      <c r="F34" s="382">
        <v>76779</v>
      </c>
      <c r="G34" s="382">
        <f t="shared" si="40"/>
        <v>284130</v>
      </c>
      <c r="H34" s="382">
        <v>114039</v>
      </c>
      <c r="I34" s="382">
        <v>80880</v>
      </c>
      <c r="J34" s="382">
        <v>27590</v>
      </c>
      <c r="K34" s="382">
        <v>87506</v>
      </c>
      <c r="L34" s="382">
        <v>74344</v>
      </c>
      <c r="M34" s="382">
        <v>40430</v>
      </c>
      <c r="N34" s="382">
        <f t="shared" si="3"/>
        <v>424789</v>
      </c>
      <c r="O34" s="382">
        <f t="shared" si="9"/>
        <v>821562</v>
      </c>
      <c r="P34" s="382">
        <v>35724</v>
      </c>
      <c r="Q34" s="382">
        <f t="shared" si="41"/>
        <v>857286</v>
      </c>
      <c r="R34" s="256">
        <v>4.67</v>
      </c>
      <c r="S34" s="379" t="s">
        <v>2365</v>
      </c>
      <c r="T34" s="384" t="s">
        <v>2365</v>
      </c>
      <c r="U34" s="382">
        <v>89412</v>
      </c>
      <c r="V34" s="382">
        <v>12867</v>
      </c>
      <c r="W34" s="382">
        <v>156048</v>
      </c>
      <c r="X34" s="382">
        <v>8512</v>
      </c>
      <c r="Y34" s="382">
        <v>62609</v>
      </c>
      <c r="Z34" s="382">
        <f t="shared" si="42"/>
        <v>240036</v>
      </c>
      <c r="AA34" s="382">
        <v>93973</v>
      </c>
      <c r="AB34" s="382">
        <v>66101</v>
      </c>
      <c r="AC34" s="382">
        <v>21034</v>
      </c>
      <c r="AD34" s="382">
        <v>65160</v>
      </c>
      <c r="AE34" s="382">
        <v>58041</v>
      </c>
      <c r="AF34" s="382">
        <v>30034</v>
      </c>
      <c r="AG34" s="382">
        <f t="shared" si="6"/>
        <v>334343</v>
      </c>
      <c r="AH34" s="382">
        <f t="shared" si="11"/>
        <v>663791</v>
      </c>
      <c r="AI34" s="382">
        <v>28572</v>
      </c>
      <c r="AJ34" s="382">
        <f t="shared" si="43"/>
        <v>692363</v>
      </c>
      <c r="AK34" s="256">
        <v>0.93</v>
      </c>
      <c r="AL34" s="379" t="s">
        <v>2365</v>
      </c>
    </row>
    <row r="35" spans="1:38" s="164" customFormat="1" ht="11.1" customHeight="1">
      <c r="A35" s="398" t="s">
        <v>2366</v>
      </c>
      <c r="B35" s="296">
        <v>87880</v>
      </c>
      <c r="C35" s="296">
        <v>17113</v>
      </c>
      <c r="D35" s="296">
        <v>193812</v>
      </c>
      <c r="E35" s="296">
        <v>10708</v>
      </c>
      <c r="F35" s="296">
        <v>87468</v>
      </c>
      <c r="G35" s="296">
        <f t="shared" si="40"/>
        <v>309101</v>
      </c>
      <c r="H35" s="296">
        <v>130685</v>
      </c>
      <c r="I35" s="296">
        <v>88611</v>
      </c>
      <c r="J35" s="296">
        <v>30156</v>
      </c>
      <c r="K35" s="296">
        <v>86991</v>
      </c>
      <c r="L35" s="296">
        <v>80028</v>
      </c>
      <c r="M35" s="296">
        <v>54389</v>
      </c>
      <c r="N35" s="296">
        <f t="shared" si="3"/>
        <v>470860</v>
      </c>
      <c r="O35" s="296">
        <f t="shared" si="9"/>
        <v>867841</v>
      </c>
      <c r="P35" s="296">
        <v>38892</v>
      </c>
      <c r="Q35" s="296">
        <f t="shared" si="41"/>
        <v>906733</v>
      </c>
      <c r="R35" s="295">
        <v>10.83</v>
      </c>
      <c r="S35" s="355" t="s">
        <v>2366</v>
      </c>
      <c r="T35" s="398" t="s">
        <v>2366</v>
      </c>
      <c r="U35" s="296">
        <v>70234</v>
      </c>
      <c r="V35" s="296">
        <v>15082</v>
      </c>
      <c r="W35" s="296">
        <v>164498</v>
      </c>
      <c r="X35" s="296">
        <v>8314</v>
      </c>
      <c r="Y35" s="296">
        <v>69752</v>
      </c>
      <c r="Z35" s="296">
        <f t="shared" si="42"/>
        <v>257646</v>
      </c>
      <c r="AA35" s="296">
        <v>107063</v>
      </c>
      <c r="AB35" s="296">
        <v>70600</v>
      </c>
      <c r="AC35" s="296">
        <v>22837</v>
      </c>
      <c r="AD35" s="296">
        <v>62379</v>
      </c>
      <c r="AE35" s="296">
        <v>62295</v>
      </c>
      <c r="AF35" s="296">
        <v>39423</v>
      </c>
      <c r="AG35" s="296">
        <f t="shared" si="6"/>
        <v>364597</v>
      </c>
      <c r="AH35" s="296">
        <f t="shared" si="11"/>
        <v>692477</v>
      </c>
      <c r="AI35" s="296">
        <v>30052</v>
      </c>
      <c r="AJ35" s="296">
        <f t="shared" si="43"/>
        <v>722529</v>
      </c>
      <c r="AK35" s="295">
        <v>6.63</v>
      </c>
      <c r="AL35" s="355" t="s">
        <v>2366</v>
      </c>
    </row>
    <row r="36" spans="1:38" s="164" customFormat="1" ht="11.1" customHeight="1">
      <c r="A36" s="384" t="s">
        <v>2367</v>
      </c>
      <c r="B36" s="382">
        <v>118398</v>
      </c>
      <c r="C36" s="382">
        <v>13905</v>
      </c>
      <c r="D36" s="382">
        <v>202552</v>
      </c>
      <c r="E36" s="382">
        <v>12798</v>
      </c>
      <c r="F36" s="382">
        <v>84914</v>
      </c>
      <c r="G36" s="382">
        <f t="shared" si="40"/>
        <v>314169</v>
      </c>
      <c r="H36" s="382">
        <v>146305</v>
      </c>
      <c r="I36" s="382">
        <v>89551</v>
      </c>
      <c r="J36" s="382">
        <v>32750</v>
      </c>
      <c r="K36" s="382">
        <v>88492</v>
      </c>
      <c r="L36" s="382">
        <v>101064</v>
      </c>
      <c r="M36" s="382">
        <v>52146</v>
      </c>
      <c r="N36" s="382">
        <f t="shared" si="3"/>
        <v>510308</v>
      </c>
      <c r="O36" s="382">
        <f t="shared" si="9"/>
        <v>942875</v>
      </c>
      <c r="P36" s="382">
        <v>26385</v>
      </c>
      <c r="Q36" s="382">
        <f t="shared" si="41"/>
        <v>969260</v>
      </c>
      <c r="R36" s="256">
        <v>26.07</v>
      </c>
      <c r="S36" s="379" t="s">
        <v>2367</v>
      </c>
      <c r="T36" s="384" t="s">
        <v>2367</v>
      </c>
      <c r="U36" s="382">
        <v>94237</v>
      </c>
      <c r="V36" s="382">
        <v>12493</v>
      </c>
      <c r="W36" s="382">
        <v>167055</v>
      </c>
      <c r="X36" s="382">
        <v>9918</v>
      </c>
      <c r="Y36" s="382">
        <v>66438</v>
      </c>
      <c r="Z36" s="382">
        <f t="shared" si="42"/>
        <v>255904</v>
      </c>
      <c r="AA36" s="382">
        <v>119757</v>
      </c>
      <c r="AB36" s="382">
        <v>68192</v>
      </c>
      <c r="AC36" s="382">
        <v>24732</v>
      </c>
      <c r="AD36" s="382">
        <v>63520</v>
      </c>
      <c r="AE36" s="382">
        <v>78590</v>
      </c>
      <c r="AF36" s="382">
        <v>37266</v>
      </c>
      <c r="AG36" s="382">
        <f t="shared" si="6"/>
        <v>392057</v>
      </c>
      <c r="AH36" s="382">
        <f t="shared" si="11"/>
        <v>742198</v>
      </c>
      <c r="AI36" s="382">
        <v>19457</v>
      </c>
      <c r="AJ36" s="382">
        <f t="shared" si="43"/>
        <v>761655</v>
      </c>
      <c r="AK36" s="256">
        <v>20.09</v>
      </c>
      <c r="AL36" s="379" t="s">
        <v>2367</v>
      </c>
    </row>
    <row r="37" spans="1:38" s="164" customFormat="1" ht="11.1" customHeight="1">
      <c r="A37" s="1543" t="s">
        <v>1927</v>
      </c>
      <c r="B37" s="296">
        <f>B38+B39+B40+B41</f>
        <v>445531</v>
      </c>
      <c r="C37" s="296">
        <f>C38+C39+C40+C41</f>
        <v>58915</v>
      </c>
      <c r="D37" s="296">
        <f t="shared" ref="D37:F37" si="44">D38+D39+D40+D41</f>
        <v>864437</v>
      </c>
      <c r="E37" s="296">
        <f t="shared" si="44"/>
        <v>54224</v>
      </c>
      <c r="F37" s="296">
        <f t="shared" si="44"/>
        <v>369634</v>
      </c>
      <c r="G37" s="296">
        <f>C37+D37+E37+F37</f>
        <v>1347210</v>
      </c>
      <c r="H37" s="296">
        <f>H38+H39+H40+H41</f>
        <v>567096</v>
      </c>
      <c r="I37" s="296">
        <f t="shared" ref="I37:M37" si="45">I38+I39+I40+I41</f>
        <v>371145</v>
      </c>
      <c r="J37" s="296">
        <f t="shared" si="45"/>
        <v>129539</v>
      </c>
      <c r="K37" s="296">
        <f t="shared" si="45"/>
        <v>378260</v>
      </c>
      <c r="L37" s="296">
        <f t="shared" si="45"/>
        <v>375087</v>
      </c>
      <c r="M37" s="296">
        <f t="shared" si="45"/>
        <v>205961</v>
      </c>
      <c r="N37" s="296">
        <f t="shared" si="3"/>
        <v>2027088</v>
      </c>
      <c r="O37" s="296">
        <f t="shared" si="9"/>
        <v>3819829</v>
      </c>
      <c r="P37" s="296">
        <f>P38+P39+P40+P41</f>
        <v>151888</v>
      </c>
      <c r="Q37" s="296">
        <f>O37+P37</f>
        <v>3971717</v>
      </c>
      <c r="R37" s="295">
        <v>12.51</v>
      </c>
      <c r="S37" s="361" t="s">
        <v>1927</v>
      </c>
      <c r="T37" s="1543" t="s">
        <v>1927</v>
      </c>
      <c r="U37" s="296">
        <f>U38+U39+U40+U41</f>
        <v>339125</v>
      </c>
      <c r="V37" s="296">
        <f>V38+V39+V40+V41</f>
        <v>51353</v>
      </c>
      <c r="W37" s="296">
        <f t="shared" ref="W37:Y37" si="46">W38+W39+W40+W41</f>
        <v>709425</v>
      </c>
      <c r="X37" s="296">
        <f t="shared" si="46"/>
        <v>38917</v>
      </c>
      <c r="Y37" s="296">
        <f t="shared" si="46"/>
        <v>278627</v>
      </c>
      <c r="Z37" s="296">
        <f>V37+W37+X37+Y37</f>
        <v>1078322</v>
      </c>
      <c r="AA37" s="296">
        <f>AA38+AA39+AA40+AA41</f>
        <v>445318</v>
      </c>
      <c r="AB37" s="296">
        <f t="shared" ref="AB37:AF37" si="47">AB38+AB39+AB40+AB41</f>
        <v>282718</v>
      </c>
      <c r="AC37" s="296">
        <f t="shared" si="47"/>
        <v>93061</v>
      </c>
      <c r="AD37" s="296">
        <f t="shared" si="47"/>
        <v>263229</v>
      </c>
      <c r="AE37" s="296">
        <f t="shared" si="47"/>
        <v>278766</v>
      </c>
      <c r="AF37" s="296">
        <f t="shared" si="47"/>
        <v>140554</v>
      </c>
      <c r="AG37" s="296">
        <f t="shared" si="6"/>
        <v>1503646</v>
      </c>
      <c r="AH37" s="296">
        <f t="shared" si="11"/>
        <v>2921093</v>
      </c>
      <c r="AI37" s="296">
        <f>AI38+AI39+AI40+AI41</f>
        <v>114057</v>
      </c>
      <c r="AJ37" s="296">
        <f>AH37+AI37</f>
        <v>3035150</v>
      </c>
      <c r="AK37" s="295">
        <v>7.1</v>
      </c>
      <c r="AL37" s="361" t="s">
        <v>1927</v>
      </c>
    </row>
    <row r="38" spans="1:38" s="164" customFormat="1" ht="11.1" customHeight="1">
      <c r="A38" s="384" t="s">
        <v>2364</v>
      </c>
      <c r="B38" s="382">
        <v>99598</v>
      </c>
      <c r="C38" s="382">
        <v>12759</v>
      </c>
      <c r="D38" s="382">
        <v>193283</v>
      </c>
      <c r="E38" s="382">
        <v>14051</v>
      </c>
      <c r="F38" s="382">
        <v>81242</v>
      </c>
      <c r="G38" s="382">
        <f t="shared" si="40"/>
        <v>301335</v>
      </c>
      <c r="H38" s="382">
        <v>120844</v>
      </c>
      <c r="I38" s="382">
        <v>85146</v>
      </c>
      <c r="J38" s="382">
        <v>30521</v>
      </c>
      <c r="K38" s="382">
        <v>87666</v>
      </c>
      <c r="L38" s="382">
        <v>81847</v>
      </c>
      <c r="M38" s="382">
        <v>44476</v>
      </c>
      <c r="N38" s="382">
        <f t="shared" si="3"/>
        <v>450500</v>
      </c>
      <c r="O38" s="382">
        <f t="shared" si="9"/>
        <v>851433</v>
      </c>
      <c r="P38" s="382">
        <v>35431</v>
      </c>
      <c r="Q38" s="382">
        <f t="shared" si="41"/>
        <v>886864</v>
      </c>
      <c r="R38" s="256">
        <v>10.24</v>
      </c>
      <c r="S38" s="379" t="s">
        <v>2364</v>
      </c>
      <c r="T38" s="384" t="s">
        <v>2364</v>
      </c>
      <c r="U38" s="382">
        <v>78137</v>
      </c>
      <c r="V38" s="382">
        <v>11087</v>
      </c>
      <c r="W38" s="382">
        <v>161113</v>
      </c>
      <c r="X38" s="382">
        <v>10444</v>
      </c>
      <c r="Y38" s="382">
        <v>62086</v>
      </c>
      <c r="Z38" s="382">
        <f t="shared" ref="Z38:Z41" si="48">V38+W38+X38+Y38</f>
        <v>244730</v>
      </c>
      <c r="AA38" s="382">
        <v>97761</v>
      </c>
      <c r="AB38" s="382">
        <v>67347</v>
      </c>
      <c r="AC38" s="382">
        <v>22507</v>
      </c>
      <c r="AD38" s="382">
        <v>62803</v>
      </c>
      <c r="AE38" s="382">
        <v>62262</v>
      </c>
      <c r="AF38" s="382">
        <v>31168</v>
      </c>
      <c r="AG38" s="382">
        <f t="shared" si="6"/>
        <v>343848</v>
      </c>
      <c r="AH38" s="382">
        <f t="shared" si="11"/>
        <v>666715</v>
      </c>
      <c r="AI38" s="382">
        <v>30330</v>
      </c>
      <c r="AJ38" s="382">
        <f t="shared" ref="AJ38:AJ41" si="49">AH38+AI38</f>
        <v>697045</v>
      </c>
      <c r="AK38" s="256">
        <v>5.08</v>
      </c>
      <c r="AL38" s="379" t="s">
        <v>2364</v>
      </c>
    </row>
    <row r="39" spans="1:38" s="164" customFormat="1" ht="11.1" customHeight="1">
      <c r="A39" s="398" t="s">
        <v>2365</v>
      </c>
      <c r="B39" s="296">
        <v>120789</v>
      </c>
      <c r="C39" s="296">
        <v>14334</v>
      </c>
      <c r="D39" s="296">
        <v>219598</v>
      </c>
      <c r="E39" s="296">
        <v>12310</v>
      </c>
      <c r="F39" s="296">
        <v>95952</v>
      </c>
      <c r="G39" s="296">
        <f t="shared" si="40"/>
        <v>342194</v>
      </c>
      <c r="H39" s="296">
        <v>139703</v>
      </c>
      <c r="I39" s="296">
        <v>91023</v>
      </c>
      <c r="J39" s="296">
        <v>32102</v>
      </c>
      <c r="K39" s="296">
        <v>91660</v>
      </c>
      <c r="L39" s="296">
        <v>79468</v>
      </c>
      <c r="M39" s="296">
        <v>51761</v>
      </c>
      <c r="N39" s="296">
        <f t="shared" si="3"/>
        <v>485717</v>
      </c>
      <c r="O39" s="296">
        <f t="shared" si="9"/>
        <v>948700</v>
      </c>
      <c r="P39" s="296">
        <v>40934</v>
      </c>
      <c r="Q39" s="296">
        <f t="shared" si="41"/>
        <v>989634</v>
      </c>
      <c r="R39" s="295">
        <v>14.73</v>
      </c>
      <c r="S39" s="355" t="s">
        <v>2365</v>
      </c>
      <c r="T39" s="398" t="s">
        <v>2365</v>
      </c>
      <c r="U39" s="296">
        <v>91382</v>
      </c>
      <c r="V39" s="296">
        <v>12522</v>
      </c>
      <c r="W39" s="296">
        <v>181070</v>
      </c>
      <c r="X39" s="296">
        <v>8865</v>
      </c>
      <c r="Y39" s="296">
        <v>72388</v>
      </c>
      <c r="Z39" s="296">
        <f t="shared" si="48"/>
        <v>274845</v>
      </c>
      <c r="AA39" s="296">
        <v>110044</v>
      </c>
      <c r="AB39" s="296">
        <v>70012</v>
      </c>
      <c r="AC39" s="296">
        <v>23077</v>
      </c>
      <c r="AD39" s="296">
        <v>65167</v>
      </c>
      <c r="AE39" s="296">
        <v>58773</v>
      </c>
      <c r="AF39" s="296">
        <v>35684</v>
      </c>
      <c r="AG39" s="296">
        <f t="shared" si="6"/>
        <v>362757</v>
      </c>
      <c r="AH39" s="296">
        <f t="shared" si="11"/>
        <v>728984</v>
      </c>
      <c r="AI39" s="296">
        <v>32144</v>
      </c>
      <c r="AJ39" s="296">
        <f t="shared" si="49"/>
        <v>761128</v>
      </c>
      <c r="AK39" s="295">
        <v>9.3000000000000007</v>
      </c>
      <c r="AL39" s="355" t="s">
        <v>2365</v>
      </c>
    </row>
    <row r="40" spans="1:38" s="164" customFormat="1" ht="11.1" customHeight="1">
      <c r="A40" s="384" t="s">
        <v>2366</v>
      </c>
      <c r="B40" s="382">
        <v>95263</v>
      </c>
      <c r="C40" s="382">
        <v>17659</v>
      </c>
      <c r="D40" s="382">
        <v>235751</v>
      </c>
      <c r="E40" s="382">
        <v>12332</v>
      </c>
      <c r="F40" s="382">
        <v>108046</v>
      </c>
      <c r="G40" s="382">
        <f t="shared" si="40"/>
        <v>373788</v>
      </c>
      <c r="H40" s="382">
        <v>150972</v>
      </c>
      <c r="I40" s="382">
        <v>95645</v>
      </c>
      <c r="J40" s="382">
        <v>32766</v>
      </c>
      <c r="K40" s="382">
        <v>97143</v>
      </c>
      <c r="L40" s="382">
        <v>99539</v>
      </c>
      <c r="M40" s="382">
        <v>56257</v>
      </c>
      <c r="N40" s="382">
        <f t="shared" si="3"/>
        <v>532322</v>
      </c>
      <c r="O40" s="382">
        <f t="shared" si="9"/>
        <v>1001373</v>
      </c>
      <c r="P40" s="382">
        <v>40769</v>
      </c>
      <c r="Q40" s="382">
        <f t="shared" si="41"/>
        <v>1042142</v>
      </c>
      <c r="R40" s="256">
        <v>15.56</v>
      </c>
      <c r="S40" s="379" t="s">
        <v>2366</v>
      </c>
      <c r="T40" s="384" t="s">
        <v>2366</v>
      </c>
      <c r="U40" s="382">
        <v>72309</v>
      </c>
      <c r="V40" s="382">
        <v>15428</v>
      </c>
      <c r="W40" s="382">
        <v>194337</v>
      </c>
      <c r="X40" s="382">
        <v>8731</v>
      </c>
      <c r="Y40" s="382">
        <v>80377</v>
      </c>
      <c r="Z40" s="382">
        <f t="shared" si="48"/>
        <v>298873</v>
      </c>
      <c r="AA40" s="382">
        <v>117864</v>
      </c>
      <c r="AB40" s="382">
        <v>72080</v>
      </c>
      <c r="AC40" s="382">
        <v>23375</v>
      </c>
      <c r="AD40" s="382">
        <v>66260</v>
      </c>
      <c r="AE40" s="382">
        <v>74066</v>
      </c>
      <c r="AF40" s="382">
        <v>38080</v>
      </c>
      <c r="AG40" s="382">
        <f t="shared" si="6"/>
        <v>391725</v>
      </c>
      <c r="AH40" s="382">
        <f t="shared" si="11"/>
        <v>762907</v>
      </c>
      <c r="AI40" s="382">
        <v>32175</v>
      </c>
      <c r="AJ40" s="382">
        <f t="shared" si="49"/>
        <v>795082</v>
      </c>
      <c r="AK40" s="256">
        <v>10.62</v>
      </c>
      <c r="AL40" s="379" t="s">
        <v>2366</v>
      </c>
    </row>
    <row r="41" spans="1:38" s="164" customFormat="1" ht="11.1" customHeight="1">
      <c r="A41" s="398" t="s">
        <v>2367</v>
      </c>
      <c r="B41" s="296">
        <v>129881</v>
      </c>
      <c r="C41" s="296">
        <v>14163</v>
      </c>
      <c r="D41" s="296">
        <v>215805</v>
      </c>
      <c r="E41" s="296">
        <v>15531</v>
      </c>
      <c r="F41" s="296">
        <v>84394</v>
      </c>
      <c r="G41" s="296">
        <f t="shared" si="40"/>
        <v>329893</v>
      </c>
      <c r="H41" s="296">
        <v>155577</v>
      </c>
      <c r="I41" s="296">
        <v>99331</v>
      </c>
      <c r="J41" s="296">
        <v>34150</v>
      </c>
      <c r="K41" s="296">
        <v>101791</v>
      </c>
      <c r="L41" s="296">
        <v>114233</v>
      </c>
      <c r="M41" s="296">
        <v>53467</v>
      </c>
      <c r="N41" s="296">
        <f t="shared" si="3"/>
        <v>558549</v>
      </c>
      <c r="O41" s="296">
        <f t="shared" si="9"/>
        <v>1018323</v>
      </c>
      <c r="P41" s="296">
        <v>34754</v>
      </c>
      <c r="Q41" s="296">
        <f t="shared" si="41"/>
        <v>1053077</v>
      </c>
      <c r="R41" s="295">
        <v>9.5399999999999991</v>
      </c>
      <c r="S41" s="355" t="s">
        <v>2367</v>
      </c>
      <c r="T41" s="398" t="s">
        <v>2367</v>
      </c>
      <c r="U41" s="296">
        <v>97297</v>
      </c>
      <c r="V41" s="296">
        <v>12316</v>
      </c>
      <c r="W41" s="296">
        <v>172905</v>
      </c>
      <c r="X41" s="296">
        <v>10877</v>
      </c>
      <c r="Y41" s="296">
        <v>63776</v>
      </c>
      <c r="Z41" s="296">
        <f t="shared" si="48"/>
        <v>259874</v>
      </c>
      <c r="AA41" s="296">
        <v>119649</v>
      </c>
      <c r="AB41" s="296">
        <v>73279</v>
      </c>
      <c r="AC41" s="296">
        <v>24102</v>
      </c>
      <c r="AD41" s="296">
        <v>68999</v>
      </c>
      <c r="AE41" s="296">
        <v>83665</v>
      </c>
      <c r="AF41" s="296">
        <v>35622</v>
      </c>
      <c r="AG41" s="296">
        <f t="shared" si="6"/>
        <v>405316</v>
      </c>
      <c r="AH41" s="296">
        <f t="shared" si="11"/>
        <v>762487</v>
      </c>
      <c r="AI41" s="296">
        <v>19408</v>
      </c>
      <c r="AJ41" s="296">
        <f t="shared" si="49"/>
        <v>781895</v>
      </c>
      <c r="AK41" s="295">
        <v>3.49</v>
      </c>
      <c r="AL41" s="355" t="s">
        <v>2367</v>
      </c>
    </row>
    <row r="42" spans="1:38" s="164" customFormat="1" ht="11.1" customHeight="1">
      <c r="A42" s="891" t="s">
        <v>2184</v>
      </c>
      <c r="B42" s="382">
        <f>B43+B44+B45+B46</f>
        <v>494159</v>
      </c>
      <c r="C42" s="382">
        <f>C43+C44+C45+C46</f>
        <v>70236</v>
      </c>
      <c r="D42" s="382">
        <f t="shared" ref="D42:F42" si="50">D43+D44+D45+D46</f>
        <v>1003346</v>
      </c>
      <c r="E42" s="382">
        <f t="shared" si="50"/>
        <v>59675</v>
      </c>
      <c r="F42" s="382">
        <f t="shared" si="50"/>
        <v>420310</v>
      </c>
      <c r="G42" s="382">
        <f>C42+D42+E42+F42</f>
        <v>1553567</v>
      </c>
      <c r="H42" s="382">
        <f>H43+H44+H45+H46</f>
        <v>647366</v>
      </c>
      <c r="I42" s="382">
        <f t="shared" ref="I42:M42" si="51">I43+I44+I45+I46</f>
        <v>422563</v>
      </c>
      <c r="J42" s="382">
        <f t="shared" si="51"/>
        <v>144784</v>
      </c>
      <c r="K42" s="382">
        <f t="shared" si="51"/>
        <v>419340</v>
      </c>
      <c r="L42" s="382">
        <f t="shared" si="51"/>
        <v>434788</v>
      </c>
      <c r="M42" s="382">
        <f t="shared" si="51"/>
        <v>226513</v>
      </c>
      <c r="N42" s="382">
        <f t="shared" si="3"/>
        <v>2295354</v>
      </c>
      <c r="O42" s="382">
        <f t="shared" si="9"/>
        <v>4343080</v>
      </c>
      <c r="P42" s="382">
        <f>P43+P44+P45+P46</f>
        <v>147755</v>
      </c>
      <c r="Q42" s="382">
        <f>O42+P42</f>
        <v>4490835</v>
      </c>
      <c r="R42" s="256">
        <v>13.07</v>
      </c>
      <c r="S42" s="362" t="s">
        <v>2184</v>
      </c>
      <c r="T42" s="891" t="s">
        <v>2184</v>
      </c>
      <c r="U42" s="382">
        <f>U43+U44+U45+U46</f>
        <v>350559</v>
      </c>
      <c r="V42" s="382">
        <f>V43+V44+V45+V46</f>
        <v>57889</v>
      </c>
      <c r="W42" s="382">
        <f t="shared" ref="W42:Y42" si="52">W43+W44+W45+W46</f>
        <v>772522</v>
      </c>
      <c r="X42" s="382">
        <f t="shared" si="52"/>
        <v>40059</v>
      </c>
      <c r="Y42" s="382">
        <f t="shared" si="52"/>
        <v>298079</v>
      </c>
      <c r="Z42" s="382">
        <f>V42+W42+X42+Y42</f>
        <v>1168549</v>
      </c>
      <c r="AA42" s="382">
        <f>AA43+AA44+AA45+AA46</f>
        <v>473716</v>
      </c>
      <c r="AB42" s="382">
        <f t="shared" ref="AB42:AF42" si="53">AB43+AB44+AB45+AB46</f>
        <v>298664</v>
      </c>
      <c r="AC42" s="382">
        <f t="shared" si="53"/>
        <v>95432</v>
      </c>
      <c r="AD42" s="382">
        <f t="shared" si="53"/>
        <v>273989</v>
      </c>
      <c r="AE42" s="382">
        <f t="shared" si="53"/>
        <v>972369</v>
      </c>
      <c r="AF42" s="382">
        <f t="shared" si="53"/>
        <v>145241</v>
      </c>
      <c r="AG42" s="382">
        <f t="shared" si="6"/>
        <v>2259411</v>
      </c>
      <c r="AH42" s="382">
        <f t="shared" si="11"/>
        <v>3778519</v>
      </c>
      <c r="AI42" s="382">
        <f>AI43+AI44+AI45+AI46</f>
        <v>106914</v>
      </c>
      <c r="AJ42" s="382">
        <f>AH42+AI42</f>
        <v>3885433</v>
      </c>
      <c r="AK42" s="256">
        <v>5.78</v>
      </c>
      <c r="AL42" s="362" t="s">
        <v>2184</v>
      </c>
    </row>
    <row r="43" spans="1:38" s="164" customFormat="1" ht="11.1" customHeight="1">
      <c r="A43" s="398" t="s">
        <v>2364</v>
      </c>
      <c r="B43" s="296">
        <v>107335</v>
      </c>
      <c r="C43" s="296">
        <v>14301</v>
      </c>
      <c r="D43" s="296">
        <v>222427</v>
      </c>
      <c r="E43" s="296">
        <v>16594</v>
      </c>
      <c r="F43" s="296">
        <v>84166</v>
      </c>
      <c r="G43" s="296">
        <f t="shared" ref="G43:G46" si="54">C43+D43+E43+F43</f>
        <v>337488</v>
      </c>
      <c r="H43" s="296">
        <v>149763</v>
      </c>
      <c r="I43" s="296">
        <v>100587</v>
      </c>
      <c r="J43" s="296">
        <v>34514</v>
      </c>
      <c r="K43" s="296">
        <v>97154</v>
      </c>
      <c r="L43" s="296">
        <v>93668</v>
      </c>
      <c r="M43" s="296">
        <v>51715</v>
      </c>
      <c r="N43" s="296">
        <f t="shared" si="3"/>
        <v>527401</v>
      </c>
      <c r="O43" s="296">
        <f t="shared" si="9"/>
        <v>972224</v>
      </c>
      <c r="P43" s="296">
        <v>34629</v>
      </c>
      <c r="Q43" s="296">
        <f t="shared" ref="Q43:Q53" si="55">O43+P43</f>
        <v>1006853</v>
      </c>
      <c r="R43" s="295">
        <v>12.69</v>
      </c>
      <c r="S43" s="355" t="s">
        <v>2364</v>
      </c>
      <c r="T43" s="398" t="s">
        <v>2364</v>
      </c>
      <c r="U43" s="296">
        <v>78301</v>
      </c>
      <c r="V43" s="296">
        <v>12534</v>
      </c>
      <c r="W43" s="296">
        <v>176704</v>
      </c>
      <c r="X43" s="296">
        <v>11349</v>
      </c>
      <c r="Y43" s="296">
        <v>62582</v>
      </c>
      <c r="Z43" s="296">
        <f t="shared" ref="Z43:Z46" si="56">V43+W43+X43+Y43</f>
        <v>263169</v>
      </c>
      <c r="AA43" s="296">
        <v>112572</v>
      </c>
      <c r="AB43" s="296">
        <v>73412</v>
      </c>
      <c r="AC43" s="296">
        <v>23418</v>
      </c>
      <c r="AD43" s="296">
        <v>67146</v>
      </c>
      <c r="AE43" s="296">
        <v>65968</v>
      </c>
      <c r="AF43" s="296">
        <v>33945</v>
      </c>
      <c r="AG43" s="296">
        <f t="shared" si="6"/>
        <v>376461</v>
      </c>
      <c r="AH43" s="296">
        <f t="shared" si="11"/>
        <v>717931</v>
      </c>
      <c r="AI43" s="296">
        <v>27653</v>
      </c>
      <c r="AJ43" s="296">
        <f t="shared" ref="AJ43:AJ45" si="57">AH43+AI43</f>
        <v>745584</v>
      </c>
      <c r="AK43" s="295">
        <v>6.25</v>
      </c>
      <c r="AL43" s="355" t="s">
        <v>2364</v>
      </c>
    </row>
    <row r="44" spans="1:38" s="164" customFormat="1" ht="11.1" customHeight="1">
      <c r="A44" s="384" t="s">
        <v>2365</v>
      </c>
      <c r="B44" s="382">
        <v>134092</v>
      </c>
      <c r="C44" s="382">
        <v>16249</v>
      </c>
      <c r="D44" s="382">
        <v>256945</v>
      </c>
      <c r="E44" s="382">
        <v>13463</v>
      </c>
      <c r="F44" s="382">
        <v>108209</v>
      </c>
      <c r="G44" s="382">
        <f t="shared" si="54"/>
        <v>394866</v>
      </c>
      <c r="H44" s="382">
        <v>159619</v>
      </c>
      <c r="I44" s="382">
        <v>105077</v>
      </c>
      <c r="J44" s="382">
        <v>35791</v>
      </c>
      <c r="K44" s="382">
        <v>101209</v>
      </c>
      <c r="L44" s="382">
        <v>98216</v>
      </c>
      <c r="M44" s="382">
        <v>55467</v>
      </c>
      <c r="N44" s="382">
        <f t="shared" si="3"/>
        <v>555379</v>
      </c>
      <c r="O44" s="382">
        <f t="shared" si="9"/>
        <v>1084337</v>
      </c>
      <c r="P44" s="382">
        <v>40475</v>
      </c>
      <c r="Q44" s="382">
        <f t="shared" si="55"/>
        <v>1124812</v>
      </c>
      <c r="R44" s="256">
        <v>13.73</v>
      </c>
      <c r="S44" s="379" t="s">
        <v>2365</v>
      </c>
      <c r="T44" s="384" t="s">
        <v>2365</v>
      </c>
      <c r="U44" s="382">
        <v>94945</v>
      </c>
      <c r="V44" s="382">
        <v>13771</v>
      </c>
      <c r="W44" s="382">
        <v>200720</v>
      </c>
      <c r="X44" s="382">
        <v>9131</v>
      </c>
      <c r="Y44" s="382">
        <v>78655</v>
      </c>
      <c r="Z44" s="382">
        <f t="shared" si="56"/>
        <v>302277</v>
      </c>
      <c r="AA44" s="382">
        <v>117119</v>
      </c>
      <c r="AB44" s="382">
        <v>73867</v>
      </c>
      <c r="AC44" s="382">
        <v>23647</v>
      </c>
      <c r="AD44" s="382">
        <v>67908</v>
      </c>
      <c r="AE44" s="382">
        <v>67307</v>
      </c>
      <c r="AF44" s="382">
        <v>36187</v>
      </c>
      <c r="AG44" s="382">
        <f t="shared" si="6"/>
        <v>386035</v>
      </c>
      <c r="AH44" s="382">
        <f t="shared" si="11"/>
        <v>783257</v>
      </c>
      <c r="AI44" s="382">
        <v>30184</v>
      </c>
      <c r="AJ44" s="382">
        <f t="shared" si="57"/>
        <v>813441</v>
      </c>
      <c r="AK44" s="256">
        <v>7.05</v>
      </c>
      <c r="AL44" s="379" t="s">
        <v>2365</v>
      </c>
    </row>
    <row r="45" spans="1:38" s="164" customFormat="1" ht="11.1" customHeight="1">
      <c r="A45" s="398" t="s">
        <v>2366</v>
      </c>
      <c r="B45" s="296">
        <v>103799</v>
      </c>
      <c r="C45" s="296">
        <v>21177</v>
      </c>
      <c r="D45" s="296">
        <v>264725</v>
      </c>
      <c r="E45" s="296">
        <v>13343</v>
      </c>
      <c r="F45" s="296">
        <v>122584</v>
      </c>
      <c r="G45" s="296">
        <f t="shared" si="54"/>
        <v>421829</v>
      </c>
      <c r="H45" s="296">
        <v>159136</v>
      </c>
      <c r="I45" s="296">
        <v>108094</v>
      </c>
      <c r="J45" s="296">
        <v>36583</v>
      </c>
      <c r="K45" s="296">
        <v>108144</v>
      </c>
      <c r="L45" s="296">
        <v>109913</v>
      </c>
      <c r="M45" s="296">
        <v>59320</v>
      </c>
      <c r="N45" s="296">
        <f t="shared" si="3"/>
        <v>581190</v>
      </c>
      <c r="O45" s="296">
        <f t="shared" si="9"/>
        <v>1106818</v>
      </c>
      <c r="P45" s="296">
        <v>36277</v>
      </c>
      <c r="Q45" s="296">
        <f t="shared" si="55"/>
        <v>1143095</v>
      </c>
      <c r="R45" s="295">
        <v>10.43</v>
      </c>
      <c r="S45" s="355" t="s">
        <v>2366</v>
      </c>
      <c r="T45" s="398" t="s">
        <v>2366</v>
      </c>
      <c r="U45" s="296">
        <v>73698</v>
      </c>
      <c r="V45" s="296">
        <v>17277</v>
      </c>
      <c r="W45" s="296">
        <v>201452</v>
      </c>
      <c r="X45" s="296">
        <v>8985</v>
      </c>
      <c r="Y45" s="296">
        <v>86245</v>
      </c>
      <c r="Z45" s="296">
        <f t="shared" si="56"/>
        <v>313959</v>
      </c>
      <c r="AA45" s="296">
        <v>115914</v>
      </c>
      <c r="AB45" s="296">
        <v>75211</v>
      </c>
      <c r="AC45" s="296">
        <v>23970</v>
      </c>
      <c r="AD45" s="296">
        <v>68804</v>
      </c>
      <c r="AE45" s="296">
        <v>750062</v>
      </c>
      <c r="AF45" s="296">
        <v>38445</v>
      </c>
      <c r="AG45" s="296">
        <f t="shared" si="6"/>
        <v>1072406</v>
      </c>
      <c r="AH45" s="296">
        <f t="shared" si="11"/>
        <v>1460063</v>
      </c>
      <c r="AI45" s="296">
        <v>28163</v>
      </c>
      <c r="AJ45" s="296">
        <f t="shared" si="57"/>
        <v>1488226</v>
      </c>
      <c r="AK45" s="295">
        <v>3.02</v>
      </c>
      <c r="AL45" s="355" t="s">
        <v>2366</v>
      </c>
    </row>
    <row r="46" spans="1:38" s="164" customFormat="1" ht="11.1" customHeight="1">
      <c r="A46" s="384" t="s">
        <v>2367</v>
      </c>
      <c r="B46" s="382">
        <v>148933</v>
      </c>
      <c r="C46" s="382">
        <v>18509</v>
      </c>
      <c r="D46" s="382">
        <v>259249</v>
      </c>
      <c r="E46" s="382">
        <v>16275</v>
      </c>
      <c r="F46" s="382">
        <v>105351</v>
      </c>
      <c r="G46" s="382">
        <f t="shared" si="54"/>
        <v>399384</v>
      </c>
      <c r="H46" s="382">
        <v>178848</v>
      </c>
      <c r="I46" s="382">
        <v>108805</v>
      </c>
      <c r="J46" s="382">
        <v>37896</v>
      </c>
      <c r="K46" s="382">
        <v>112833</v>
      </c>
      <c r="L46" s="382">
        <v>132991</v>
      </c>
      <c r="M46" s="382">
        <v>60011</v>
      </c>
      <c r="N46" s="382">
        <f t="shared" si="3"/>
        <v>631384</v>
      </c>
      <c r="O46" s="382">
        <f t="shared" si="9"/>
        <v>1179701</v>
      </c>
      <c r="P46" s="382">
        <v>36374</v>
      </c>
      <c r="Q46" s="382">
        <f t="shared" si="55"/>
        <v>1216075</v>
      </c>
      <c r="R46" s="256">
        <v>15.37</v>
      </c>
      <c r="S46" s="379" t="s">
        <v>2367</v>
      </c>
      <c r="T46" s="384" t="s">
        <v>2367</v>
      </c>
      <c r="U46" s="382">
        <v>103615</v>
      </c>
      <c r="V46" s="382">
        <v>14307</v>
      </c>
      <c r="W46" s="382">
        <v>193646</v>
      </c>
      <c r="X46" s="382">
        <v>10594</v>
      </c>
      <c r="Y46" s="382">
        <v>70597</v>
      </c>
      <c r="Z46" s="382">
        <f t="shared" si="56"/>
        <v>289144</v>
      </c>
      <c r="AA46" s="382">
        <v>128111</v>
      </c>
      <c r="AB46" s="382">
        <v>76174</v>
      </c>
      <c r="AC46" s="382">
        <v>24397</v>
      </c>
      <c r="AD46" s="382">
        <v>70131</v>
      </c>
      <c r="AE46" s="382">
        <v>89032</v>
      </c>
      <c r="AF46" s="382">
        <v>36664</v>
      </c>
      <c r="AG46" s="382">
        <f t="shared" si="6"/>
        <v>424509</v>
      </c>
      <c r="AH46" s="382">
        <f t="shared" si="11"/>
        <v>817268</v>
      </c>
      <c r="AI46" s="382">
        <v>20914</v>
      </c>
      <c r="AJ46" s="382">
        <f t="shared" ref="AJ46:AJ53" si="58">AH46+AI46</f>
        <v>838182</v>
      </c>
      <c r="AK46" s="256">
        <v>6.88</v>
      </c>
      <c r="AL46" s="379" t="s">
        <v>2367</v>
      </c>
    </row>
    <row r="47" spans="1:38" s="164" customFormat="1" ht="11.1" customHeight="1">
      <c r="A47" s="1543" t="s">
        <v>2473</v>
      </c>
      <c r="B47" s="296">
        <f>B48+B49+B50+B51</f>
        <v>563098</v>
      </c>
      <c r="C47" s="296">
        <f>C48+C49+C50+C51</f>
        <v>82954</v>
      </c>
      <c r="D47" s="296">
        <f t="shared" ref="D47:F47" si="59">D48+D49+D50+D51</f>
        <v>1148568</v>
      </c>
      <c r="E47" s="296">
        <f t="shared" si="59"/>
        <v>65524</v>
      </c>
      <c r="F47" s="296">
        <f t="shared" si="59"/>
        <v>550814</v>
      </c>
      <c r="G47" s="296">
        <f>C47+D47+E47+F47</f>
        <v>1847860</v>
      </c>
      <c r="H47" s="296">
        <f>H48+H49+H50+H51</f>
        <v>724357</v>
      </c>
      <c r="I47" s="296">
        <f t="shared" ref="I47:M47" si="60">I48+I49+I50+I51</f>
        <v>468300</v>
      </c>
      <c r="J47" s="296">
        <f t="shared" si="60"/>
        <v>160578</v>
      </c>
      <c r="K47" s="296">
        <f t="shared" si="60"/>
        <v>463047</v>
      </c>
      <c r="L47" s="296">
        <f t="shared" si="60"/>
        <v>504509</v>
      </c>
      <c r="M47" s="296">
        <f t="shared" si="60"/>
        <v>262197</v>
      </c>
      <c r="N47" s="296">
        <f t="shared" ref="N47" si="61">H47+I47+J47+K47+L47+M47</f>
        <v>2582988</v>
      </c>
      <c r="O47" s="296">
        <f t="shared" ref="O47" si="62">N47+G47+B47</f>
        <v>4993946</v>
      </c>
      <c r="P47" s="296">
        <f>P48+P49+P50+P51</f>
        <v>183767</v>
      </c>
      <c r="Q47" s="296">
        <f>O47+P47</f>
        <v>5177713</v>
      </c>
      <c r="R47" s="295">
        <v>12.41</v>
      </c>
      <c r="S47" s="361" t="s">
        <v>2473</v>
      </c>
      <c r="T47" s="1543" t="s">
        <v>2473</v>
      </c>
      <c r="U47" s="296">
        <f>U48+U49+U50+U51</f>
        <v>363965</v>
      </c>
      <c r="V47" s="296">
        <f>V48+V49+V50+V51</f>
        <v>60161</v>
      </c>
      <c r="W47" s="296">
        <f t="shared" ref="W47:Y47" si="63">W48+W49+W50+W51</f>
        <v>814677</v>
      </c>
      <c r="X47" s="296">
        <f t="shared" si="63"/>
        <v>40571</v>
      </c>
      <c r="Y47" s="296">
        <f t="shared" si="63"/>
        <v>314713</v>
      </c>
      <c r="Z47" s="296">
        <f>V47+W47+X47+Y47</f>
        <v>1230122</v>
      </c>
      <c r="AA47" s="296">
        <f>AA48+AA49+AA50+AA51</f>
        <v>501265</v>
      </c>
      <c r="AB47" s="296">
        <f t="shared" ref="AB47:AF47" si="64">AB48+AB49+AB50+AB51</f>
        <v>313247</v>
      </c>
      <c r="AC47" s="296">
        <f t="shared" si="64"/>
        <v>96470</v>
      </c>
      <c r="AD47" s="296">
        <f t="shared" si="64"/>
        <v>280618</v>
      </c>
      <c r="AE47" s="296">
        <f t="shared" si="64"/>
        <v>316596</v>
      </c>
      <c r="AF47" s="296">
        <f t="shared" si="64"/>
        <v>148306</v>
      </c>
      <c r="AG47" s="296">
        <f t="shared" ref="AG47" si="65">AA47+AB47+AC47+AD47+AE47+AF47</f>
        <v>1656502</v>
      </c>
      <c r="AH47" s="296">
        <f t="shared" ref="AH47" si="66">AG47+Z47+U47</f>
        <v>3250589</v>
      </c>
      <c r="AI47" s="296">
        <f>AI48+AI49+AI50+AI51</f>
        <v>120650</v>
      </c>
      <c r="AJ47" s="296">
        <f t="shared" si="58"/>
        <v>3371239</v>
      </c>
      <c r="AK47" s="295">
        <v>5.82</v>
      </c>
      <c r="AL47" s="361" t="s">
        <v>2473</v>
      </c>
    </row>
    <row r="48" spans="1:38" s="164" customFormat="1" ht="11.1" customHeight="1">
      <c r="A48" s="384" t="s">
        <v>2364</v>
      </c>
      <c r="B48" s="382">
        <v>118692</v>
      </c>
      <c r="C48" s="382">
        <v>18373</v>
      </c>
      <c r="D48" s="382">
        <v>270344</v>
      </c>
      <c r="E48" s="382">
        <v>17589</v>
      </c>
      <c r="F48" s="382">
        <v>104316</v>
      </c>
      <c r="G48" s="382">
        <f>C48+D48+E48+F48</f>
        <v>410622</v>
      </c>
      <c r="H48" s="382">
        <v>167081</v>
      </c>
      <c r="I48" s="382">
        <v>112173</v>
      </c>
      <c r="J48" s="382">
        <v>38289</v>
      </c>
      <c r="K48" s="382">
        <v>109883</v>
      </c>
      <c r="L48" s="382">
        <v>111037</v>
      </c>
      <c r="M48" s="382">
        <v>60134</v>
      </c>
      <c r="N48" s="382">
        <f t="shared" si="3"/>
        <v>598597</v>
      </c>
      <c r="O48" s="382">
        <f>N48+G48+B48</f>
        <v>1127911</v>
      </c>
      <c r="P48" s="382">
        <v>42402</v>
      </c>
      <c r="Q48" s="382">
        <f t="shared" si="55"/>
        <v>1170313</v>
      </c>
      <c r="R48" s="256">
        <v>16.23</v>
      </c>
      <c r="S48" s="379" t="s">
        <v>2364</v>
      </c>
      <c r="T48" s="384" t="s">
        <v>2364</v>
      </c>
      <c r="U48" s="382">
        <v>78574</v>
      </c>
      <c r="V48" s="382">
        <v>13182</v>
      </c>
      <c r="W48" s="382">
        <v>194763</v>
      </c>
      <c r="X48" s="382">
        <v>11285</v>
      </c>
      <c r="Y48" s="382">
        <v>65561</v>
      </c>
      <c r="Z48" s="382">
        <f>V48+W48+X48+Y48</f>
        <v>284791</v>
      </c>
      <c r="AA48" s="382">
        <v>117746</v>
      </c>
      <c r="AB48" s="382">
        <v>77289</v>
      </c>
      <c r="AC48" s="382">
        <v>23674</v>
      </c>
      <c r="AD48" s="382">
        <v>69464</v>
      </c>
      <c r="AE48" s="382">
        <v>71813</v>
      </c>
      <c r="AF48" s="382">
        <v>35557</v>
      </c>
      <c r="AG48" s="382">
        <f t="shared" si="6"/>
        <v>395543</v>
      </c>
      <c r="AH48" s="382">
        <f>AG48+Z48+U48</f>
        <v>758908</v>
      </c>
      <c r="AI48" s="382">
        <v>31727</v>
      </c>
      <c r="AJ48" s="382">
        <f t="shared" si="58"/>
        <v>790635</v>
      </c>
      <c r="AK48" s="256">
        <v>6.04</v>
      </c>
      <c r="AL48" s="379" t="s">
        <v>2364</v>
      </c>
    </row>
    <row r="49" spans="1:39" s="164" customFormat="1" ht="11.1" customHeight="1">
      <c r="A49" s="398" t="s">
        <v>2365</v>
      </c>
      <c r="B49" s="296">
        <v>153478</v>
      </c>
      <c r="C49" s="296">
        <v>25393</v>
      </c>
      <c r="D49" s="296">
        <v>281394</v>
      </c>
      <c r="E49" s="296">
        <v>14632</v>
      </c>
      <c r="F49" s="296">
        <v>146882</v>
      </c>
      <c r="G49" s="296">
        <f>C49+D49+E49+F49</f>
        <v>468301</v>
      </c>
      <c r="H49" s="296">
        <v>182665</v>
      </c>
      <c r="I49" s="296">
        <v>115714</v>
      </c>
      <c r="J49" s="296">
        <v>39952</v>
      </c>
      <c r="K49" s="296">
        <v>111961</v>
      </c>
      <c r="L49" s="296">
        <v>119478</v>
      </c>
      <c r="M49" s="296">
        <v>63462</v>
      </c>
      <c r="N49" s="296">
        <f t="shared" si="3"/>
        <v>633232</v>
      </c>
      <c r="O49" s="296">
        <f>N49+G49+B49</f>
        <v>1255011</v>
      </c>
      <c r="P49" s="296">
        <v>51117</v>
      </c>
      <c r="Q49" s="296">
        <f t="shared" si="55"/>
        <v>1306128</v>
      </c>
      <c r="R49" s="295">
        <v>16.12</v>
      </c>
      <c r="S49" s="355" t="s">
        <v>2365</v>
      </c>
      <c r="T49" s="398" t="s">
        <v>2365</v>
      </c>
      <c r="U49" s="296">
        <v>98817</v>
      </c>
      <c r="V49" s="296">
        <v>16919</v>
      </c>
      <c r="W49" s="296">
        <v>198356</v>
      </c>
      <c r="X49" s="296">
        <v>9154</v>
      </c>
      <c r="Y49" s="296">
        <v>86649</v>
      </c>
      <c r="Z49" s="296">
        <f>V49+W49+X49+Y49</f>
        <v>311078</v>
      </c>
      <c r="AA49" s="296">
        <v>125619</v>
      </c>
      <c r="AB49" s="296">
        <v>77466</v>
      </c>
      <c r="AC49" s="296">
        <v>24083</v>
      </c>
      <c r="AD49" s="296">
        <v>69771</v>
      </c>
      <c r="AE49" s="296">
        <v>75284</v>
      </c>
      <c r="AF49" s="296">
        <v>36106</v>
      </c>
      <c r="AG49" s="296">
        <f t="shared" si="6"/>
        <v>408329</v>
      </c>
      <c r="AH49" s="296">
        <f>AG49+Z49+U49</f>
        <v>818224</v>
      </c>
      <c r="AI49" s="296">
        <v>34103</v>
      </c>
      <c r="AJ49" s="296">
        <f t="shared" si="58"/>
        <v>852327</v>
      </c>
      <c r="AK49" s="295">
        <v>4.78</v>
      </c>
      <c r="AL49" s="355" t="s">
        <v>2365</v>
      </c>
    </row>
    <row r="50" spans="1:39" s="164" customFormat="1" ht="11.1" customHeight="1">
      <c r="A50" s="1714" t="s">
        <v>2366</v>
      </c>
      <c r="B50" s="382">
        <v>118859</v>
      </c>
      <c r="C50" s="382">
        <v>21435</v>
      </c>
      <c r="D50" s="382">
        <v>302646</v>
      </c>
      <c r="E50" s="382">
        <v>13801</v>
      </c>
      <c r="F50" s="1464">
        <v>167173</v>
      </c>
      <c r="G50" s="382">
        <f>C50+D50+E50+F50</f>
        <v>505055</v>
      </c>
      <c r="H50" s="382">
        <v>177498</v>
      </c>
      <c r="I50" s="382">
        <v>119388</v>
      </c>
      <c r="J50" s="382">
        <v>40619</v>
      </c>
      <c r="K50" s="382">
        <v>119355</v>
      </c>
      <c r="L50" s="382">
        <v>126280</v>
      </c>
      <c r="M50" s="382">
        <v>68343</v>
      </c>
      <c r="N50" s="382">
        <f t="shared" si="3"/>
        <v>651483</v>
      </c>
      <c r="O50" s="382">
        <f>N50+G50+B50</f>
        <v>1275397</v>
      </c>
      <c r="P50" s="382">
        <v>47512</v>
      </c>
      <c r="Q50" s="382">
        <f t="shared" si="55"/>
        <v>1322909</v>
      </c>
      <c r="R50" s="256">
        <v>15.73</v>
      </c>
      <c r="S50" s="379" t="s">
        <v>2366</v>
      </c>
      <c r="T50" s="1714" t="s">
        <v>2366</v>
      </c>
      <c r="U50" s="382">
        <v>77497</v>
      </c>
      <c r="V50" s="382">
        <v>16720</v>
      </c>
      <c r="W50" s="382">
        <v>215417</v>
      </c>
      <c r="X50" s="382">
        <v>8468</v>
      </c>
      <c r="Y50" s="382">
        <v>92984</v>
      </c>
      <c r="Z50" s="382">
        <f>V50+W50+X50+Y50</f>
        <v>333589</v>
      </c>
      <c r="AA50" s="382">
        <v>122361</v>
      </c>
      <c r="AB50" s="382">
        <v>78823</v>
      </c>
      <c r="AC50" s="382">
        <v>24247</v>
      </c>
      <c r="AD50" s="382">
        <v>70236</v>
      </c>
      <c r="AE50" s="382">
        <v>78938</v>
      </c>
      <c r="AF50" s="382">
        <v>37951</v>
      </c>
      <c r="AG50" s="382">
        <f t="shared" si="6"/>
        <v>412556</v>
      </c>
      <c r="AH50" s="382">
        <f>AG50+Z50+U50</f>
        <v>823642</v>
      </c>
      <c r="AI50" s="382">
        <v>33639</v>
      </c>
      <c r="AJ50" s="382">
        <f t="shared" si="58"/>
        <v>857281</v>
      </c>
      <c r="AK50" s="256">
        <v>5.42</v>
      </c>
      <c r="AL50" s="379" t="s">
        <v>2366</v>
      </c>
    </row>
    <row r="51" spans="1:39" s="164" customFormat="1" ht="11.1" customHeight="1">
      <c r="A51" s="398" t="s">
        <v>2367</v>
      </c>
      <c r="B51" s="296">
        <v>172069</v>
      </c>
      <c r="C51" s="296">
        <v>17753</v>
      </c>
      <c r="D51" s="296">
        <v>294184</v>
      </c>
      <c r="E51" s="296">
        <v>19502</v>
      </c>
      <c r="F51" s="1064">
        <v>132443</v>
      </c>
      <c r="G51" s="1064">
        <f>C51+D51+E51+F51</f>
        <v>463882</v>
      </c>
      <c r="H51" s="296">
        <v>197113</v>
      </c>
      <c r="I51" s="296">
        <v>121025</v>
      </c>
      <c r="J51" s="296">
        <v>41718</v>
      </c>
      <c r="K51" s="296">
        <v>121848</v>
      </c>
      <c r="L51" s="296">
        <v>147714</v>
      </c>
      <c r="M51" s="296">
        <v>70258</v>
      </c>
      <c r="N51" s="296">
        <f t="shared" si="3"/>
        <v>699676</v>
      </c>
      <c r="O51" s="296">
        <f>N51+G51+B51</f>
        <v>1335627</v>
      </c>
      <c r="P51" s="296">
        <v>42736</v>
      </c>
      <c r="Q51" s="296">
        <f t="shared" si="55"/>
        <v>1378363</v>
      </c>
      <c r="R51" s="295">
        <v>13.35</v>
      </c>
      <c r="S51" s="355" t="s">
        <v>2367</v>
      </c>
      <c r="T51" s="398" t="s">
        <v>2367</v>
      </c>
      <c r="U51" s="296">
        <v>109077</v>
      </c>
      <c r="V51" s="296">
        <v>13340</v>
      </c>
      <c r="W51" s="296">
        <v>206141</v>
      </c>
      <c r="X51" s="296">
        <v>11664</v>
      </c>
      <c r="Y51" s="296">
        <v>69519</v>
      </c>
      <c r="Z51" s="296">
        <f>V51+W51+X51+Y51</f>
        <v>300664</v>
      </c>
      <c r="AA51" s="296">
        <v>135539</v>
      </c>
      <c r="AB51" s="296">
        <v>79669</v>
      </c>
      <c r="AC51" s="296">
        <v>24466</v>
      </c>
      <c r="AD51" s="296">
        <v>71147</v>
      </c>
      <c r="AE51" s="296">
        <v>90561</v>
      </c>
      <c r="AF51" s="296">
        <v>38692</v>
      </c>
      <c r="AG51" s="296">
        <f t="shared" ref="AG51" si="67">AA51+AB51+AC51+AD51+AE51+AF51</f>
        <v>440074</v>
      </c>
      <c r="AH51" s="296">
        <f>AG51+Z51+U51</f>
        <v>849815</v>
      </c>
      <c r="AI51" s="296">
        <v>21181</v>
      </c>
      <c r="AJ51" s="296">
        <f t="shared" si="58"/>
        <v>870996</v>
      </c>
      <c r="AK51" s="295">
        <v>3.91</v>
      </c>
      <c r="AL51" s="355" t="s">
        <v>2367</v>
      </c>
    </row>
    <row r="52" spans="1:39" s="164" customFormat="1" ht="11.1" customHeight="1">
      <c r="A52" s="891" t="s">
        <v>2865</v>
      </c>
      <c r="B52" s="382"/>
      <c r="C52" s="382"/>
      <c r="D52" s="382"/>
      <c r="E52" s="382"/>
      <c r="F52" s="1464"/>
      <c r="G52" s="1464"/>
      <c r="H52" s="382"/>
      <c r="I52" s="382"/>
      <c r="J52" s="382"/>
      <c r="K52" s="382"/>
      <c r="L52" s="382"/>
      <c r="M52" s="382"/>
      <c r="N52" s="382"/>
      <c r="O52" s="382"/>
      <c r="P52" s="382"/>
      <c r="Q52" s="382"/>
      <c r="R52" s="256"/>
      <c r="S52" s="362" t="s">
        <v>2865</v>
      </c>
      <c r="T52" s="891" t="s">
        <v>2865</v>
      </c>
      <c r="U52" s="382"/>
      <c r="V52" s="382"/>
      <c r="W52" s="382"/>
      <c r="X52" s="382"/>
      <c r="Y52" s="382"/>
      <c r="Z52" s="382"/>
      <c r="AA52" s="382"/>
      <c r="AB52" s="382"/>
      <c r="AC52" s="382"/>
      <c r="AD52" s="382"/>
      <c r="AE52" s="382"/>
      <c r="AF52" s="382"/>
      <c r="AG52" s="382"/>
      <c r="AH52" s="382"/>
      <c r="AI52" s="382"/>
      <c r="AJ52" s="382"/>
      <c r="AK52" s="256"/>
      <c r="AL52" s="362" t="s">
        <v>2865</v>
      </c>
      <c r="AM52" s="162"/>
    </row>
    <row r="53" spans="1:39" s="164" customFormat="1" ht="11.1" customHeight="1" thickBot="1">
      <c r="A53" s="854" t="s">
        <v>2364</v>
      </c>
      <c r="B53" s="1718">
        <v>132359</v>
      </c>
      <c r="C53" s="1718">
        <v>19924</v>
      </c>
      <c r="D53" s="1718">
        <v>284087</v>
      </c>
      <c r="E53" s="1718">
        <v>19931</v>
      </c>
      <c r="F53" s="1719">
        <v>112510</v>
      </c>
      <c r="G53" s="1719">
        <f>C53+D53+E53+F53</f>
        <v>436452</v>
      </c>
      <c r="H53" s="1719">
        <v>186936</v>
      </c>
      <c r="I53" s="1719">
        <v>121628</v>
      </c>
      <c r="J53" s="1719">
        <v>41431</v>
      </c>
      <c r="K53" s="1719">
        <v>120233</v>
      </c>
      <c r="L53" s="1719">
        <v>121927</v>
      </c>
      <c r="M53" s="1719">
        <v>66196</v>
      </c>
      <c r="N53" s="1719">
        <f t="shared" si="3"/>
        <v>658351</v>
      </c>
      <c r="O53" s="1719">
        <f>N53+G53+B53</f>
        <v>1227162</v>
      </c>
      <c r="P53" s="1719">
        <v>39413</v>
      </c>
      <c r="Q53" s="1719">
        <f t="shared" si="55"/>
        <v>1266575</v>
      </c>
      <c r="R53" s="1734">
        <v>8.23</v>
      </c>
      <c r="S53" s="855" t="s">
        <v>2364</v>
      </c>
      <c r="T53" s="854" t="s">
        <v>2364</v>
      </c>
      <c r="U53" s="1719">
        <v>78703</v>
      </c>
      <c r="V53" s="1719">
        <v>14849</v>
      </c>
      <c r="W53" s="1719">
        <v>197545</v>
      </c>
      <c r="X53" s="1719">
        <v>11705</v>
      </c>
      <c r="Y53" s="1719">
        <v>66750</v>
      </c>
      <c r="Z53" s="1719">
        <f>V53+W53+X53+Y53</f>
        <v>290849</v>
      </c>
      <c r="AA53" s="1719">
        <v>119939</v>
      </c>
      <c r="AB53" s="1719">
        <v>78574</v>
      </c>
      <c r="AC53" s="1719">
        <v>23121</v>
      </c>
      <c r="AD53" s="1719">
        <v>71065</v>
      </c>
      <c r="AE53" s="1719">
        <v>73146</v>
      </c>
      <c r="AF53" s="1719">
        <v>35807</v>
      </c>
      <c r="AG53" s="1719">
        <f t="shared" ref="AG53" si="68">AA53+AB53+AC53+AD53+AE53+AF53</f>
        <v>401652</v>
      </c>
      <c r="AH53" s="1719">
        <f>AG53+Z53+U53</f>
        <v>771204</v>
      </c>
      <c r="AI53" s="1719">
        <v>33739</v>
      </c>
      <c r="AJ53" s="1719">
        <f t="shared" si="58"/>
        <v>804943</v>
      </c>
      <c r="AK53" s="482">
        <v>1.81</v>
      </c>
      <c r="AL53" s="855" t="s">
        <v>2364</v>
      </c>
      <c r="AM53" s="162"/>
    </row>
    <row r="54" spans="1:39" ht="11.45" customHeight="1">
      <c r="A54" s="717" t="s">
        <v>2079</v>
      </c>
      <c r="B54" s="7"/>
      <c r="C54" s="7"/>
      <c r="D54" s="7"/>
      <c r="E54" s="53"/>
      <c r="F54" s="745"/>
      <c r="G54" s="620" t="s">
        <v>2319</v>
      </c>
      <c r="H54" s="745"/>
      <c r="I54" s="1358"/>
      <c r="J54" s="745"/>
      <c r="K54" s="745"/>
      <c r="L54" s="745"/>
      <c r="M54" s="745"/>
      <c r="N54" s="745"/>
      <c r="O54" s="745"/>
      <c r="P54" s="745"/>
      <c r="Q54" s="745"/>
      <c r="R54" s="745"/>
      <c r="S54" s="745"/>
      <c r="T54" s="745"/>
      <c r="U54" s="745"/>
      <c r="V54" s="745"/>
      <c r="W54" s="745"/>
      <c r="X54" s="745"/>
      <c r="Y54" s="745"/>
      <c r="Z54" s="745"/>
      <c r="AA54" s="745"/>
      <c r="AB54" s="745"/>
      <c r="AC54" s="745"/>
      <c r="AD54" s="745"/>
      <c r="AE54" s="745"/>
      <c r="AF54" s="745"/>
      <c r="AG54" s="745"/>
      <c r="AH54" s="745"/>
      <c r="AI54" s="745"/>
      <c r="AJ54" s="745"/>
      <c r="AK54" s="745"/>
    </row>
    <row r="55" spans="1:39" ht="9.75" customHeight="1">
      <c r="D55" s="745"/>
      <c r="H55" s="1358"/>
      <c r="I55" s="1358"/>
    </row>
    <row r="56" spans="1:39" ht="9.75" customHeight="1">
      <c r="B56" s="745"/>
      <c r="C56" s="745"/>
      <c r="D56" s="745"/>
      <c r="E56" s="745"/>
      <c r="F56" s="745"/>
      <c r="G56" s="745"/>
      <c r="H56" s="745"/>
      <c r="I56" s="745"/>
      <c r="J56" s="745"/>
      <c r="K56" s="745"/>
      <c r="L56" s="745"/>
      <c r="M56" s="745"/>
      <c r="N56" s="745"/>
      <c r="O56" s="745"/>
      <c r="P56" s="745"/>
      <c r="Q56" s="745"/>
      <c r="R56" s="745"/>
    </row>
    <row r="57" spans="1:39" ht="9.75" customHeight="1">
      <c r="H57" s="1358"/>
      <c r="I57" s="1358"/>
    </row>
    <row r="58" spans="1:39" ht="9.75" customHeight="1">
      <c r="B58" s="745"/>
      <c r="C58" s="745"/>
      <c r="D58" s="745"/>
      <c r="E58" s="745"/>
      <c r="F58" s="745"/>
      <c r="G58" s="745"/>
      <c r="H58" s="745"/>
      <c r="I58" s="745"/>
      <c r="J58" s="745"/>
      <c r="K58" s="745"/>
      <c r="L58" s="745"/>
      <c r="M58" s="745"/>
      <c r="O58" s="745"/>
    </row>
    <row r="59" spans="1:39" ht="9.75" customHeight="1">
      <c r="H59" s="1358"/>
      <c r="I59" s="1358"/>
    </row>
    <row r="60" spans="1:39" ht="9.75" customHeight="1">
      <c r="H60" s="1358"/>
      <c r="I60" s="1358"/>
    </row>
    <row r="61" spans="1:39" ht="9.75" customHeight="1">
      <c r="H61" s="1358"/>
      <c r="I61" s="1358"/>
    </row>
    <row r="62" spans="1:39" ht="9.75" customHeight="1">
      <c r="H62" s="1358"/>
      <c r="I62" s="1358"/>
    </row>
    <row r="63" spans="1:39" ht="9.75" customHeight="1">
      <c r="H63" s="1358"/>
      <c r="I63" s="1358"/>
    </row>
    <row r="64" spans="1:39" ht="9.75" customHeight="1">
      <c r="H64" s="1358"/>
      <c r="I64" s="1358"/>
    </row>
    <row r="65" spans="8:9" ht="9.75" customHeight="1">
      <c r="H65" s="1358"/>
      <c r="I65" s="1358"/>
    </row>
    <row r="66" spans="8:9" ht="9.75" customHeight="1">
      <c r="H66" s="1358"/>
      <c r="I66" s="1358"/>
    </row>
    <row r="67" spans="8:9" ht="9.75" customHeight="1">
      <c r="H67" s="1358"/>
      <c r="I67" s="1358"/>
    </row>
    <row r="68" spans="8:9" ht="9.75" customHeight="1">
      <c r="H68" s="1358"/>
      <c r="I68" s="1358"/>
    </row>
    <row r="69" spans="8:9" ht="9.75" customHeight="1">
      <c r="H69" s="1358"/>
      <c r="I69" s="1358"/>
    </row>
    <row r="70" spans="8:9" ht="9.75" customHeight="1">
      <c r="H70" s="1358"/>
      <c r="I70" s="1358"/>
    </row>
    <row r="71" spans="8:9" ht="9.75" customHeight="1">
      <c r="H71" s="1358"/>
      <c r="I71" s="1358"/>
    </row>
    <row r="72" spans="8:9">
      <c r="H72" s="1358"/>
      <c r="I72" s="1358"/>
    </row>
    <row r="73" spans="8:9">
      <c r="H73" s="1358"/>
      <c r="I73" s="1358"/>
    </row>
    <row r="74" spans="8:9">
      <c r="H74" s="1358"/>
      <c r="I74" s="1358"/>
    </row>
    <row r="75" spans="8:9">
      <c r="H75" s="1358"/>
      <c r="I75" s="1358"/>
    </row>
    <row r="76" spans="8:9">
      <c r="H76" s="1358"/>
      <c r="I76" s="1358"/>
    </row>
    <row r="77" spans="8:9">
      <c r="H77" s="1358"/>
      <c r="I77" s="1358"/>
    </row>
    <row r="78" spans="8:9">
      <c r="H78" s="1358"/>
      <c r="I78" s="1358"/>
    </row>
    <row r="79" spans="8:9">
      <c r="H79" s="1358"/>
      <c r="I79" s="1358"/>
    </row>
    <row r="80" spans="8:9">
      <c r="H80" s="1358"/>
      <c r="I80" s="1358"/>
    </row>
    <row r="81" spans="8:9">
      <c r="H81" s="1358"/>
      <c r="I81" s="1358"/>
    </row>
    <row r="82" spans="8:9">
      <c r="H82" s="1358"/>
      <c r="I82" s="1358"/>
    </row>
    <row r="83" spans="8:9">
      <c r="H83" s="1358"/>
      <c r="I83" s="1358"/>
    </row>
    <row r="84" spans="8:9">
      <c r="H84" s="1358"/>
      <c r="I84" s="1358"/>
    </row>
    <row r="85" spans="8:9">
      <c r="H85" s="1358"/>
      <c r="I85" s="1358"/>
    </row>
    <row r="86" spans="8:9">
      <c r="H86" s="1358"/>
      <c r="I86" s="1358"/>
    </row>
    <row r="87" spans="8:9">
      <c r="H87" s="1358"/>
      <c r="I87" s="1358"/>
    </row>
    <row r="88" spans="8:9">
      <c r="H88" s="1358"/>
      <c r="I88" s="1358"/>
    </row>
    <row r="89" spans="8:9">
      <c r="H89" s="1358"/>
      <c r="I89" s="1358"/>
    </row>
    <row r="90" spans="8:9">
      <c r="H90" s="1358"/>
      <c r="I90" s="1358"/>
    </row>
    <row r="91" spans="8:9">
      <c r="H91" s="1358"/>
      <c r="I91" s="1358"/>
    </row>
    <row r="92" spans="8:9">
      <c r="H92" s="1358"/>
      <c r="I92" s="1358"/>
    </row>
    <row r="93" spans="8:9">
      <c r="H93" s="1358"/>
      <c r="I93" s="1358"/>
    </row>
    <row r="94" spans="8:9">
      <c r="H94" s="1358"/>
      <c r="I94" s="1358"/>
    </row>
    <row r="95" spans="8:9">
      <c r="H95" s="1358"/>
      <c r="I95" s="1358"/>
    </row>
    <row r="96" spans="8:9">
      <c r="H96" s="1358"/>
      <c r="I96" s="1358"/>
    </row>
    <row r="97" spans="8:9">
      <c r="H97" s="1358"/>
      <c r="I97" s="1358"/>
    </row>
    <row r="98" spans="8:9">
      <c r="H98" s="1358"/>
      <c r="I98" s="1358"/>
    </row>
    <row r="99" spans="8:9">
      <c r="H99" s="1358"/>
      <c r="I99" s="1358"/>
    </row>
    <row r="100" spans="8:9">
      <c r="H100" s="1358"/>
      <c r="I100" s="1358"/>
    </row>
    <row r="101" spans="8:9">
      <c r="H101" s="1358"/>
      <c r="I101" s="1358"/>
    </row>
    <row r="102" spans="8:9">
      <c r="H102" s="1358"/>
      <c r="I102" s="1358"/>
    </row>
    <row r="103" spans="8:9">
      <c r="H103" s="1358"/>
      <c r="I103" s="1358"/>
    </row>
    <row r="104" spans="8:9">
      <c r="H104" s="1358"/>
      <c r="I104" s="1358"/>
    </row>
    <row r="105" spans="8:9">
      <c r="H105" s="1358"/>
      <c r="I105" s="1358"/>
    </row>
    <row r="106" spans="8:9">
      <c r="H106" s="1358"/>
      <c r="I106" s="1358"/>
    </row>
    <row r="107" spans="8:9">
      <c r="H107" s="1358"/>
      <c r="I107" s="1358"/>
    </row>
    <row r="108" spans="8:9">
      <c r="H108" s="1358"/>
      <c r="I108" s="1358"/>
    </row>
    <row r="109" spans="8:9">
      <c r="H109" s="1358"/>
      <c r="I109" s="1358"/>
    </row>
    <row r="110" spans="8:9">
      <c r="H110" s="1358"/>
      <c r="I110" s="1358"/>
    </row>
    <row r="111" spans="8:9">
      <c r="H111" s="1358"/>
      <c r="I111" s="1358"/>
    </row>
    <row r="112" spans="8:9">
      <c r="H112" s="1358"/>
      <c r="I112" s="1358"/>
    </row>
    <row r="113" spans="8:9">
      <c r="H113" s="1358"/>
      <c r="I113" s="1358"/>
    </row>
    <row r="114" spans="8:9">
      <c r="H114" s="1358"/>
      <c r="I114" s="1358"/>
    </row>
    <row r="115" spans="8:9">
      <c r="H115" s="1358"/>
      <c r="I115" s="1358"/>
    </row>
    <row r="116" spans="8:9">
      <c r="H116" s="1358"/>
      <c r="I116" s="1358"/>
    </row>
    <row r="117" spans="8:9">
      <c r="H117" s="1358"/>
      <c r="I117" s="1358"/>
    </row>
    <row r="118" spans="8:9">
      <c r="H118" s="1358"/>
      <c r="I118" s="1358"/>
    </row>
    <row r="119" spans="8:9">
      <c r="H119" s="1358"/>
      <c r="I119" s="1358"/>
    </row>
    <row r="120" spans="8:9">
      <c r="H120" s="1358"/>
      <c r="I120" s="1358"/>
    </row>
    <row r="121" spans="8:9">
      <c r="H121" s="1358"/>
      <c r="I121" s="1358"/>
    </row>
    <row r="122" spans="8:9">
      <c r="H122" s="1358"/>
      <c r="I122" s="1358"/>
    </row>
    <row r="123" spans="8:9">
      <c r="H123" s="1358"/>
      <c r="I123" s="1358"/>
    </row>
    <row r="124" spans="8:9">
      <c r="H124" s="1358"/>
      <c r="I124" s="1358"/>
    </row>
    <row r="125" spans="8:9">
      <c r="H125" s="1358"/>
      <c r="I125" s="1358"/>
    </row>
    <row r="126" spans="8:9">
      <c r="H126" s="1358"/>
      <c r="I126" s="1358"/>
    </row>
    <row r="127" spans="8:9">
      <c r="H127" s="1358"/>
      <c r="I127" s="1358"/>
    </row>
    <row r="128" spans="8:9">
      <c r="H128" s="1358"/>
      <c r="I128" s="1358"/>
    </row>
    <row r="129" spans="8:9">
      <c r="H129" s="1358"/>
      <c r="I129" s="1358"/>
    </row>
    <row r="130" spans="8:9">
      <c r="H130" s="1358"/>
      <c r="I130" s="1358"/>
    </row>
    <row r="131" spans="8:9">
      <c r="H131" s="1358"/>
      <c r="I131" s="1358"/>
    </row>
    <row r="132" spans="8:9">
      <c r="H132" s="1358"/>
      <c r="I132" s="1358"/>
    </row>
    <row r="133" spans="8:9">
      <c r="H133" s="1358"/>
      <c r="I133" s="1358"/>
    </row>
    <row r="134" spans="8:9">
      <c r="H134" s="1358"/>
      <c r="I134" s="1358"/>
    </row>
    <row r="135" spans="8:9">
      <c r="H135" s="1358"/>
      <c r="I135" s="1358"/>
    </row>
    <row r="136" spans="8:9">
      <c r="H136" s="1358"/>
      <c r="I136" s="1358"/>
    </row>
    <row r="137" spans="8:9">
      <c r="H137" s="1358"/>
      <c r="I137" s="1358"/>
    </row>
    <row r="138" spans="8:9">
      <c r="H138" s="1358"/>
      <c r="I138" s="1358"/>
    </row>
    <row r="139" spans="8:9">
      <c r="H139" s="1358"/>
      <c r="I139" s="1358"/>
    </row>
    <row r="140" spans="8:9">
      <c r="H140" s="1358"/>
      <c r="I140" s="1358"/>
    </row>
    <row r="141" spans="8:9">
      <c r="H141" s="1358"/>
      <c r="I141" s="1358"/>
    </row>
    <row r="142" spans="8:9">
      <c r="H142" s="1358"/>
      <c r="I142" s="1358"/>
    </row>
    <row r="143" spans="8:9">
      <c r="H143" s="1358"/>
      <c r="I143" s="1358"/>
    </row>
    <row r="144" spans="8:9">
      <c r="H144" s="1358"/>
      <c r="I144" s="1358"/>
    </row>
    <row r="145" spans="8:9">
      <c r="H145" s="1358"/>
      <c r="I145" s="1358"/>
    </row>
    <row r="146" spans="8:9">
      <c r="H146" s="1358"/>
      <c r="I146" s="1358"/>
    </row>
    <row r="147" spans="8:9">
      <c r="H147" s="1358"/>
      <c r="I147" s="1358"/>
    </row>
    <row r="148" spans="8:9">
      <c r="H148" s="1358"/>
      <c r="I148" s="1358"/>
    </row>
    <row r="149" spans="8:9">
      <c r="H149" s="1358"/>
      <c r="I149" s="1358"/>
    </row>
    <row r="150" spans="8:9">
      <c r="H150" s="1358"/>
      <c r="I150" s="1358"/>
    </row>
    <row r="151" spans="8:9">
      <c r="H151" s="1358"/>
      <c r="I151" s="1358"/>
    </row>
    <row r="152" spans="8:9">
      <c r="H152" s="1358"/>
      <c r="I152" s="1358"/>
    </row>
    <row r="153" spans="8:9">
      <c r="H153" s="1358"/>
      <c r="I153" s="1358"/>
    </row>
    <row r="154" spans="8:9">
      <c r="H154" s="1358"/>
      <c r="I154" s="1358"/>
    </row>
    <row r="155" spans="8:9">
      <c r="H155" s="1358"/>
      <c r="I155" s="1358"/>
    </row>
    <row r="156" spans="8:9">
      <c r="H156" s="1358"/>
      <c r="I156" s="1358"/>
    </row>
    <row r="157" spans="8:9">
      <c r="H157" s="1358"/>
      <c r="I157" s="1358"/>
    </row>
    <row r="158" spans="8:9">
      <c r="H158" s="1358"/>
      <c r="I158" s="1358"/>
    </row>
    <row r="159" spans="8:9">
      <c r="H159" s="1358"/>
      <c r="I159" s="1358"/>
    </row>
    <row r="160" spans="8:9">
      <c r="H160" s="1358"/>
      <c r="I160" s="1358"/>
    </row>
    <row r="161" spans="8:9">
      <c r="H161" s="1358"/>
      <c r="I161" s="1358"/>
    </row>
    <row r="162" spans="8:9">
      <c r="H162" s="1358"/>
      <c r="I162" s="1358"/>
    </row>
    <row r="163" spans="8:9">
      <c r="H163" s="1358"/>
      <c r="I163" s="1358"/>
    </row>
    <row r="164" spans="8:9">
      <c r="H164" s="1358"/>
      <c r="I164" s="1358"/>
    </row>
    <row r="165" spans="8:9">
      <c r="H165" s="1358"/>
      <c r="I165" s="1358"/>
    </row>
    <row r="166" spans="8:9">
      <c r="H166" s="1358"/>
      <c r="I166" s="1358"/>
    </row>
    <row r="167" spans="8:9">
      <c r="H167" s="1358"/>
      <c r="I167" s="1358"/>
    </row>
    <row r="168" spans="8:9">
      <c r="H168" s="1358"/>
      <c r="I168" s="1358"/>
    </row>
    <row r="169" spans="8:9">
      <c r="H169" s="1358"/>
      <c r="I169" s="1358"/>
    </row>
    <row r="170" spans="8:9">
      <c r="H170" s="1358"/>
      <c r="I170" s="1358"/>
    </row>
    <row r="171" spans="8:9">
      <c r="H171" s="1358"/>
      <c r="I171" s="1358"/>
    </row>
    <row r="172" spans="8:9">
      <c r="H172" s="1358"/>
      <c r="I172" s="1358"/>
    </row>
    <row r="173" spans="8:9">
      <c r="H173" s="1358"/>
      <c r="I173" s="1358"/>
    </row>
    <row r="174" spans="8:9">
      <c r="H174" s="1358"/>
      <c r="I174" s="1358"/>
    </row>
    <row r="175" spans="8:9">
      <c r="H175" s="1358"/>
      <c r="I175" s="1358"/>
    </row>
    <row r="176" spans="8:9">
      <c r="H176" s="1358"/>
      <c r="I176" s="1358"/>
    </row>
    <row r="177" spans="8:9">
      <c r="H177" s="1358"/>
      <c r="I177" s="1358"/>
    </row>
    <row r="178" spans="8:9">
      <c r="H178" s="1358"/>
      <c r="I178" s="1358"/>
    </row>
    <row r="179" spans="8:9">
      <c r="H179" s="1358"/>
      <c r="I179" s="1358"/>
    </row>
    <row r="180" spans="8:9">
      <c r="H180" s="1358"/>
      <c r="I180" s="1358"/>
    </row>
    <row r="181" spans="8:9">
      <c r="H181" s="1358"/>
      <c r="I181" s="1358"/>
    </row>
    <row r="182" spans="8:9">
      <c r="H182" s="1358"/>
      <c r="I182" s="1358"/>
    </row>
    <row r="183" spans="8:9">
      <c r="H183" s="1358"/>
      <c r="I183" s="1358"/>
    </row>
    <row r="184" spans="8:9">
      <c r="H184" s="1358"/>
      <c r="I184" s="1358"/>
    </row>
    <row r="185" spans="8:9">
      <c r="H185" s="1358"/>
      <c r="I185" s="1358"/>
    </row>
    <row r="186" spans="8:9">
      <c r="H186" s="1358"/>
      <c r="I186" s="1358"/>
    </row>
    <row r="187" spans="8:9">
      <c r="H187" s="1358"/>
      <c r="I187" s="1358"/>
    </row>
    <row r="188" spans="8:9">
      <c r="H188" s="1358"/>
      <c r="I188" s="1358"/>
    </row>
    <row r="189" spans="8:9">
      <c r="H189" s="1358"/>
      <c r="I189" s="1358"/>
    </row>
    <row r="190" spans="8:9">
      <c r="H190" s="1358"/>
      <c r="I190" s="1358"/>
    </row>
    <row r="191" spans="8:9">
      <c r="H191" s="1358"/>
      <c r="I191" s="1358"/>
    </row>
    <row r="192" spans="8:9">
      <c r="H192" s="1358"/>
      <c r="I192" s="1358"/>
    </row>
    <row r="193" spans="8:9">
      <c r="H193" s="1358"/>
      <c r="I193" s="1358"/>
    </row>
    <row r="194" spans="8:9">
      <c r="H194" s="1358"/>
      <c r="I194" s="1358"/>
    </row>
    <row r="195" spans="8:9">
      <c r="H195" s="1358"/>
      <c r="I195" s="1358"/>
    </row>
    <row r="196" spans="8:9">
      <c r="H196" s="1358"/>
      <c r="I196" s="1358"/>
    </row>
    <row r="197" spans="8:9">
      <c r="H197" s="1358"/>
      <c r="I197" s="1358"/>
    </row>
    <row r="198" spans="8:9">
      <c r="H198" s="1358"/>
      <c r="I198" s="1358"/>
    </row>
    <row r="199" spans="8:9">
      <c r="H199" s="1358"/>
      <c r="I199" s="1358"/>
    </row>
    <row r="200" spans="8:9">
      <c r="H200" s="1358"/>
      <c r="I200" s="1358"/>
    </row>
    <row r="201" spans="8:9">
      <c r="H201" s="1358"/>
      <c r="I201" s="1358"/>
    </row>
    <row r="202" spans="8:9">
      <c r="H202" s="1358"/>
      <c r="I202" s="1358"/>
    </row>
    <row r="203" spans="8:9">
      <c r="H203" s="1358"/>
      <c r="I203" s="1358"/>
    </row>
    <row r="204" spans="8:9">
      <c r="H204" s="1358"/>
      <c r="I204" s="1358"/>
    </row>
    <row r="205" spans="8:9">
      <c r="H205" s="1358"/>
      <c r="I205" s="1358"/>
    </row>
    <row r="206" spans="8:9">
      <c r="H206" s="1358"/>
      <c r="I206" s="1358"/>
    </row>
    <row r="207" spans="8:9">
      <c r="H207" s="1358"/>
      <c r="I207" s="1358"/>
    </row>
    <row r="208" spans="8:9">
      <c r="H208" s="1358"/>
      <c r="I208" s="1358"/>
    </row>
    <row r="209" spans="8:9">
      <c r="H209" s="1358"/>
      <c r="I209" s="1358"/>
    </row>
    <row r="210" spans="8:9">
      <c r="H210" s="1358"/>
      <c r="I210" s="1358"/>
    </row>
    <row r="211" spans="8:9">
      <c r="H211" s="1358"/>
      <c r="I211" s="1358"/>
    </row>
    <row r="212" spans="8:9">
      <c r="H212" s="1358"/>
      <c r="I212" s="1358"/>
    </row>
    <row r="213" spans="8:9">
      <c r="H213" s="1358"/>
      <c r="I213" s="1358"/>
    </row>
    <row r="214" spans="8:9">
      <c r="H214" s="1358"/>
      <c r="I214" s="1358"/>
    </row>
    <row r="215" spans="8:9">
      <c r="H215" s="1358"/>
      <c r="I215" s="1358"/>
    </row>
    <row r="216" spans="8:9">
      <c r="H216" s="1358"/>
      <c r="I216" s="1358"/>
    </row>
    <row r="217" spans="8:9">
      <c r="H217" s="1358"/>
      <c r="I217" s="1358"/>
    </row>
    <row r="218" spans="8:9">
      <c r="H218" s="1358"/>
      <c r="I218" s="1358"/>
    </row>
    <row r="219" spans="8:9">
      <c r="H219" s="1358"/>
      <c r="I219" s="1358"/>
    </row>
    <row r="220" spans="8:9">
      <c r="H220" s="1358"/>
      <c r="I220" s="1358"/>
    </row>
    <row r="221" spans="8:9">
      <c r="H221" s="1358"/>
      <c r="I221" s="1358"/>
    </row>
    <row r="222" spans="8:9">
      <c r="H222" s="1358"/>
      <c r="I222" s="1358"/>
    </row>
    <row r="223" spans="8:9">
      <c r="H223" s="1358"/>
      <c r="I223" s="1358"/>
    </row>
    <row r="224" spans="8:9">
      <c r="H224" s="1358"/>
      <c r="I224" s="1358"/>
    </row>
    <row r="225" spans="8:9">
      <c r="H225" s="1358"/>
      <c r="I225" s="1358"/>
    </row>
    <row r="226" spans="8:9">
      <c r="H226" s="1358"/>
      <c r="I226" s="1358"/>
    </row>
    <row r="227" spans="8:9">
      <c r="H227" s="1358"/>
      <c r="I227" s="1358"/>
    </row>
    <row r="228" spans="8:9">
      <c r="H228" s="1358"/>
      <c r="I228" s="1358"/>
    </row>
    <row r="229" spans="8:9">
      <c r="H229" s="1358"/>
      <c r="I229" s="1358"/>
    </row>
    <row r="230" spans="8:9">
      <c r="H230" s="1358"/>
      <c r="I230" s="1358"/>
    </row>
    <row r="231" spans="8:9">
      <c r="H231" s="1358"/>
      <c r="I231" s="1358"/>
    </row>
    <row r="232" spans="8:9">
      <c r="H232" s="1358"/>
      <c r="I232" s="1358"/>
    </row>
    <row r="233" spans="8:9">
      <c r="H233" s="1358"/>
      <c r="I233" s="1358"/>
    </row>
    <row r="234" spans="8:9">
      <c r="H234" s="1358"/>
      <c r="I234" s="1358"/>
    </row>
    <row r="235" spans="8:9">
      <c r="H235" s="1358"/>
      <c r="I235" s="1358"/>
    </row>
    <row r="236" spans="8:9">
      <c r="H236" s="1358"/>
      <c r="I236" s="1358"/>
    </row>
    <row r="237" spans="8:9">
      <c r="H237" s="1358"/>
      <c r="I237" s="1358"/>
    </row>
    <row r="238" spans="8:9">
      <c r="H238" s="1358"/>
      <c r="I238" s="1358"/>
    </row>
    <row r="239" spans="8:9">
      <c r="H239" s="1358"/>
      <c r="I239" s="1358"/>
    </row>
    <row r="240" spans="8:9">
      <c r="H240" s="1358"/>
      <c r="I240" s="1358"/>
    </row>
    <row r="241" spans="8:9">
      <c r="H241" s="1358"/>
      <c r="I241" s="1358"/>
    </row>
    <row r="242" spans="8:9">
      <c r="H242" s="1358"/>
      <c r="I242" s="1358"/>
    </row>
    <row r="243" spans="8:9">
      <c r="H243" s="1358"/>
      <c r="I243" s="1358"/>
    </row>
    <row r="244" spans="8:9">
      <c r="H244" s="1358"/>
      <c r="I244" s="1358"/>
    </row>
    <row r="245" spans="8:9">
      <c r="H245" s="1358"/>
      <c r="I245" s="1358"/>
    </row>
    <row r="246" spans="8:9">
      <c r="H246" s="1358"/>
      <c r="I246" s="1358"/>
    </row>
    <row r="247" spans="8:9">
      <c r="H247" s="1358"/>
      <c r="I247" s="1358"/>
    </row>
    <row r="248" spans="8:9">
      <c r="H248" s="1358"/>
      <c r="I248" s="1358"/>
    </row>
    <row r="249" spans="8:9">
      <c r="H249" s="1358"/>
      <c r="I249" s="1358"/>
    </row>
    <row r="250" spans="8:9">
      <c r="H250" s="1358"/>
      <c r="I250" s="1358"/>
    </row>
    <row r="251" spans="8:9">
      <c r="H251" s="1358"/>
      <c r="I251" s="1358"/>
    </row>
    <row r="252" spans="8:9">
      <c r="H252" s="1358"/>
      <c r="I252" s="1358"/>
    </row>
    <row r="253" spans="8:9">
      <c r="H253" s="1358"/>
      <c r="I253" s="1358"/>
    </row>
    <row r="254" spans="8:9">
      <c r="H254" s="1358"/>
      <c r="I254" s="1358"/>
    </row>
    <row r="255" spans="8:9">
      <c r="H255" s="1358"/>
      <c r="I255" s="1358"/>
    </row>
    <row r="256" spans="8:9">
      <c r="H256" s="1358"/>
      <c r="I256" s="1358"/>
    </row>
    <row r="257" spans="8:9">
      <c r="H257" s="1358"/>
      <c r="I257" s="1358"/>
    </row>
    <row r="258" spans="8:9">
      <c r="H258" s="1358"/>
      <c r="I258" s="1358"/>
    </row>
    <row r="259" spans="8:9">
      <c r="H259" s="1358"/>
      <c r="I259" s="1358"/>
    </row>
    <row r="260" spans="8:9">
      <c r="H260" s="1358"/>
      <c r="I260" s="1358"/>
    </row>
    <row r="261" spans="8:9">
      <c r="H261" s="1358"/>
      <c r="I261" s="1358"/>
    </row>
    <row r="262" spans="8:9">
      <c r="H262" s="1358"/>
      <c r="I262" s="1358"/>
    </row>
    <row r="263" spans="8:9">
      <c r="H263" s="1358"/>
      <c r="I263" s="1358"/>
    </row>
    <row r="264" spans="8:9">
      <c r="H264" s="1358"/>
      <c r="I264" s="1358"/>
    </row>
    <row r="265" spans="8:9">
      <c r="H265" s="1358"/>
      <c r="I265" s="1358"/>
    </row>
    <row r="266" spans="8:9">
      <c r="H266" s="1358"/>
      <c r="I266" s="1358"/>
    </row>
    <row r="267" spans="8:9">
      <c r="H267" s="1358"/>
      <c r="I267" s="1358"/>
    </row>
    <row r="268" spans="8:9">
      <c r="H268" s="1358"/>
      <c r="I268" s="1358"/>
    </row>
    <row r="269" spans="8:9">
      <c r="H269" s="1358"/>
      <c r="I269" s="1358"/>
    </row>
    <row r="270" spans="8:9">
      <c r="H270" s="1358"/>
      <c r="I270" s="1358"/>
    </row>
    <row r="271" spans="8:9">
      <c r="H271" s="1358"/>
      <c r="I271" s="1358"/>
    </row>
    <row r="272" spans="8:9">
      <c r="H272" s="1358"/>
      <c r="I272" s="1358"/>
    </row>
    <row r="273" spans="8:9">
      <c r="H273" s="1358"/>
      <c r="I273" s="1358"/>
    </row>
    <row r="274" spans="8:9">
      <c r="H274" s="1358"/>
      <c r="I274" s="1358"/>
    </row>
    <row r="275" spans="8:9">
      <c r="H275" s="1358"/>
      <c r="I275" s="1358"/>
    </row>
    <row r="276" spans="8:9">
      <c r="H276" s="1358"/>
      <c r="I276" s="1358"/>
    </row>
    <row r="277" spans="8:9">
      <c r="H277" s="1358"/>
      <c r="I277" s="1358"/>
    </row>
    <row r="278" spans="8:9">
      <c r="H278" s="1358"/>
      <c r="I278" s="1358"/>
    </row>
    <row r="279" spans="8:9">
      <c r="H279" s="1358"/>
      <c r="I279" s="1358"/>
    </row>
    <row r="280" spans="8:9">
      <c r="H280" s="1358"/>
      <c r="I280" s="1358"/>
    </row>
    <row r="281" spans="8:9">
      <c r="H281" s="1358"/>
      <c r="I281" s="1358"/>
    </row>
    <row r="282" spans="8:9">
      <c r="H282" s="1358"/>
      <c r="I282" s="1358"/>
    </row>
    <row r="283" spans="8:9">
      <c r="H283" s="1358"/>
      <c r="I283" s="1358"/>
    </row>
    <row r="284" spans="8:9">
      <c r="H284" s="1358"/>
      <c r="I284" s="1358"/>
    </row>
    <row r="285" spans="8:9">
      <c r="H285" s="1358"/>
      <c r="I285" s="1358"/>
    </row>
    <row r="286" spans="8:9">
      <c r="H286" s="1358"/>
      <c r="I286" s="1358"/>
    </row>
    <row r="287" spans="8:9">
      <c r="H287" s="1358"/>
      <c r="I287" s="1358"/>
    </row>
    <row r="288" spans="8:9">
      <c r="H288" s="1358"/>
      <c r="I288" s="1358"/>
    </row>
    <row r="289" spans="8:9">
      <c r="H289" s="1358"/>
      <c r="I289" s="1358"/>
    </row>
    <row r="290" spans="8:9">
      <c r="H290" s="1358"/>
      <c r="I290" s="1358"/>
    </row>
    <row r="291" spans="8:9">
      <c r="H291" s="1358"/>
      <c r="I291" s="1358"/>
    </row>
    <row r="292" spans="8:9">
      <c r="H292" s="1358"/>
      <c r="I292" s="1358"/>
    </row>
    <row r="293" spans="8:9">
      <c r="H293" s="1358"/>
      <c r="I293" s="1358"/>
    </row>
    <row r="294" spans="8:9">
      <c r="H294" s="1358"/>
      <c r="I294" s="1358"/>
    </row>
    <row r="295" spans="8:9">
      <c r="H295" s="1358"/>
      <c r="I295" s="1358"/>
    </row>
    <row r="296" spans="8:9">
      <c r="H296" s="1358"/>
      <c r="I296" s="1358"/>
    </row>
    <row r="297" spans="8:9">
      <c r="H297" s="1358"/>
      <c r="I297" s="1358"/>
    </row>
    <row r="298" spans="8:9">
      <c r="H298" s="1358"/>
      <c r="I298" s="1358"/>
    </row>
    <row r="299" spans="8:9">
      <c r="H299" s="1358"/>
      <c r="I299" s="1358"/>
    </row>
    <row r="300" spans="8:9">
      <c r="H300" s="1358"/>
      <c r="I300" s="1358"/>
    </row>
    <row r="301" spans="8:9">
      <c r="H301" s="1358"/>
      <c r="I301" s="1358"/>
    </row>
    <row r="302" spans="8:9">
      <c r="H302" s="1358"/>
      <c r="I302" s="1358"/>
    </row>
    <row r="303" spans="8:9">
      <c r="H303" s="1358"/>
      <c r="I303" s="1358"/>
    </row>
    <row r="304" spans="8:9">
      <c r="H304" s="1358"/>
      <c r="I304" s="1358"/>
    </row>
    <row r="305" spans="8:9">
      <c r="H305" s="1358"/>
      <c r="I305" s="1358"/>
    </row>
    <row r="306" spans="8:9">
      <c r="H306" s="1358"/>
      <c r="I306" s="1358"/>
    </row>
    <row r="307" spans="8:9">
      <c r="H307" s="1358"/>
      <c r="I307" s="1358"/>
    </row>
    <row r="308" spans="8:9">
      <c r="H308" s="1358"/>
      <c r="I308" s="1358"/>
    </row>
    <row r="309" spans="8:9">
      <c r="H309" s="1358"/>
      <c r="I309" s="1358"/>
    </row>
    <row r="310" spans="8:9">
      <c r="H310" s="1358"/>
      <c r="I310" s="1358"/>
    </row>
    <row r="311" spans="8:9">
      <c r="H311" s="1358"/>
      <c r="I311" s="1358"/>
    </row>
    <row r="312" spans="8:9">
      <c r="H312" s="1358"/>
      <c r="I312" s="1358"/>
    </row>
    <row r="313" spans="8:9">
      <c r="H313" s="1358"/>
      <c r="I313" s="1358"/>
    </row>
    <row r="314" spans="8:9">
      <c r="H314" s="1358"/>
      <c r="I314" s="1358"/>
    </row>
    <row r="315" spans="8:9">
      <c r="H315" s="1358"/>
      <c r="I315" s="1358"/>
    </row>
    <row r="316" spans="8:9">
      <c r="H316" s="1358"/>
      <c r="I316" s="1358"/>
    </row>
    <row r="317" spans="8:9">
      <c r="H317" s="1358"/>
      <c r="I317" s="1358"/>
    </row>
    <row r="318" spans="8:9">
      <c r="H318" s="1358"/>
      <c r="I318" s="1358"/>
    </row>
    <row r="319" spans="8:9">
      <c r="H319" s="1358"/>
      <c r="I319" s="1358"/>
    </row>
    <row r="320" spans="8:9">
      <c r="H320" s="1358"/>
      <c r="I320" s="1358"/>
    </row>
    <row r="321" spans="8:9">
      <c r="H321" s="1358"/>
      <c r="I321" s="1358"/>
    </row>
    <row r="322" spans="8:9">
      <c r="H322" s="1358"/>
      <c r="I322" s="1358"/>
    </row>
    <row r="323" spans="8:9">
      <c r="H323" s="1358"/>
      <c r="I323" s="1358"/>
    </row>
    <row r="324" spans="8:9">
      <c r="H324" s="1358"/>
      <c r="I324" s="1358"/>
    </row>
    <row r="325" spans="8:9">
      <c r="H325" s="1358"/>
      <c r="I325" s="1358"/>
    </row>
    <row r="326" spans="8:9">
      <c r="H326" s="1358"/>
      <c r="I326" s="1358"/>
    </row>
    <row r="327" spans="8:9">
      <c r="H327" s="1358"/>
      <c r="I327" s="1358"/>
    </row>
    <row r="328" spans="8:9">
      <c r="H328" s="1358"/>
      <c r="I328" s="1358"/>
    </row>
    <row r="329" spans="8:9">
      <c r="H329" s="1358"/>
      <c r="I329" s="1358"/>
    </row>
    <row r="330" spans="8:9">
      <c r="H330" s="1358"/>
      <c r="I330" s="1358"/>
    </row>
    <row r="331" spans="8:9">
      <c r="H331" s="1358"/>
      <c r="I331" s="1358"/>
    </row>
    <row r="332" spans="8:9">
      <c r="H332" s="1358"/>
      <c r="I332" s="1358"/>
    </row>
    <row r="333" spans="8:9">
      <c r="H333" s="1358"/>
      <c r="I333" s="1358"/>
    </row>
    <row r="334" spans="8:9">
      <c r="H334" s="1358"/>
      <c r="I334" s="1358"/>
    </row>
    <row r="335" spans="8:9">
      <c r="H335" s="1358"/>
      <c r="I335" s="1358"/>
    </row>
    <row r="336" spans="8:9">
      <c r="H336" s="1358"/>
      <c r="I336" s="1358"/>
    </row>
    <row r="337" spans="8:9">
      <c r="H337" s="1358"/>
      <c r="I337" s="1358"/>
    </row>
    <row r="338" spans="8:9">
      <c r="H338" s="1358"/>
      <c r="I338" s="1358"/>
    </row>
    <row r="339" spans="8:9">
      <c r="H339" s="1358"/>
      <c r="I339" s="1358"/>
    </row>
    <row r="340" spans="8:9">
      <c r="H340" s="1358"/>
      <c r="I340" s="1358"/>
    </row>
    <row r="341" spans="8:9">
      <c r="H341" s="1358"/>
      <c r="I341" s="1358"/>
    </row>
    <row r="342" spans="8:9">
      <c r="H342" s="1358"/>
      <c r="I342" s="1358"/>
    </row>
    <row r="343" spans="8:9">
      <c r="H343" s="1358"/>
      <c r="I343" s="1358"/>
    </row>
    <row r="344" spans="8:9">
      <c r="H344" s="1358"/>
      <c r="I344" s="1358"/>
    </row>
    <row r="345" spans="8:9">
      <c r="H345" s="1358"/>
      <c r="I345" s="1358"/>
    </row>
    <row r="346" spans="8:9">
      <c r="H346" s="1358"/>
      <c r="I346" s="1358"/>
    </row>
    <row r="347" spans="8:9">
      <c r="H347" s="1358"/>
      <c r="I347" s="1358"/>
    </row>
    <row r="348" spans="8:9">
      <c r="H348" s="1358"/>
      <c r="I348" s="1358"/>
    </row>
    <row r="349" spans="8:9">
      <c r="H349" s="1358"/>
      <c r="I349" s="1358"/>
    </row>
    <row r="350" spans="8:9">
      <c r="H350" s="1358"/>
      <c r="I350" s="1358"/>
    </row>
    <row r="351" spans="8:9">
      <c r="H351" s="1358"/>
      <c r="I351" s="1358"/>
    </row>
    <row r="352" spans="8:9">
      <c r="H352" s="1358"/>
      <c r="I352" s="1358"/>
    </row>
    <row r="353" spans="8:9">
      <c r="H353" s="1358"/>
      <c r="I353" s="1358"/>
    </row>
    <row r="354" spans="8:9">
      <c r="H354" s="1358"/>
      <c r="I354" s="1358"/>
    </row>
    <row r="355" spans="8:9">
      <c r="H355" s="1358"/>
      <c r="I355" s="1358"/>
    </row>
    <row r="356" spans="8:9">
      <c r="H356" s="1358"/>
      <c r="I356" s="1358"/>
    </row>
    <row r="357" spans="8:9">
      <c r="H357" s="1358"/>
      <c r="I357" s="1358"/>
    </row>
    <row r="358" spans="8:9">
      <c r="H358" s="1358"/>
      <c r="I358" s="1358"/>
    </row>
    <row r="359" spans="8:9">
      <c r="H359" s="1358"/>
      <c r="I359" s="1358"/>
    </row>
    <row r="360" spans="8:9">
      <c r="H360" s="1358"/>
      <c r="I360" s="1358"/>
    </row>
    <row r="361" spans="8:9">
      <c r="H361" s="1358"/>
      <c r="I361" s="1358"/>
    </row>
    <row r="362" spans="8:9">
      <c r="H362" s="1358"/>
      <c r="I362" s="1358"/>
    </row>
    <row r="363" spans="8:9">
      <c r="H363" s="1358"/>
      <c r="I363" s="1358"/>
    </row>
    <row r="364" spans="8:9">
      <c r="H364" s="1358"/>
      <c r="I364" s="1358"/>
    </row>
    <row r="365" spans="8:9">
      <c r="H365" s="1358"/>
      <c r="I365" s="1358"/>
    </row>
    <row r="366" spans="8:9">
      <c r="H366" s="1358"/>
      <c r="I366" s="1358"/>
    </row>
    <row r="367" spans="8:9">
      <c r="H367" s="1358"/>
      <c r="I367" s="1358"/>
    </row>
    <row r="368" spans="8:9">
      <c r="H368" s="1358"/>
      <c r="I368" s="1358"/>
    </row>
    <row r="369" spans="8:9">
      <c r="H369" s="1358"/>
      <c r="I369" s="1358"/>
    </row>
    <row r="370" spans="8:9">
      <c r="H370" s="1358"/>
      <c r="I370" s="1358"/>
    </row>
    <row r="371" spans="8:9">
      <c r="H371" s="1358"/>
      <c r="I371" s="1358"/>
    </row>
    <row r="372" spans="8:9">
      <c r="H372" s="1358"/>
      <c r="I372" s="1358"/>
    </row>
    <row r="373" spans="8:9">
      <c r="H373" s="1358"/>
      <c r="I373" s="1358"/>
    </row>
    <row r="374" spans="8:9">
      <c r="H374" s="1358"/>
      <c r="I374" s="1358"/>
    </row>
    <row r="375" spans="8:9">
      <c r="H375" s="1358"/>
      <c r="I375" s="1358"/>
    </row>
    <row r="376" spans="8:9">
      <c r="H376" s="1358"/>
      <c r="I376" s="1358"/>
    </row>
    <row r="377" spans="8:9">
      <c r="H377" s="1358"/>
      <c r="I377" s="1358"/>
    </row>
    <row r="378" spans="8:9">
      <c r="H378" s="1358"/>
      <c r="I378" s="1358"/>
    </row>
    <row r="379" spans="8:9">
      <c r="H379" s="1358"/>
      <c r="I379" s="1358"/>
    </row>
    <row r="380" spans="8:9">
      <c r="H380" s="1358"/>
      <c r="I380" s="1358"/>
    </row>
    <row r="381" spans="8:9">
      <c r="H381" s="1358"/>
      <c r="I381" s="1358"/>
    </row>
    <row r="382" spans="8:9">
      <c r="H382" s="1358"/>
      <c r="I382" s="1358"/>
    </row>
    <row r="383" spans="8:9">
      <c r="H383" s="1358"/>
      <c r="I383" s="1358"/>
    </row>
    <row r="384" spans="8:9">
      <c r="H384" s="1358"/>
      <c r="I384" s="1358"/>
    </row>
    <row r="385" spans="8:9">
      <c r="H385" s="1358"/>
      <c r="I385" s="1358"/>
    </row>
    <row r="386" spans="8:9">
      <c r="H386" s="1358"/>
      <c r="I386" s="1358"/>
    </row>
    <row r="387" spans="8:9">
      <c r="H387" s="1358"/>
      <c r="I387" s="1358"/>
    </row>
    <row r="388" spans="8:9">
      <c r="H388" s="1358"/>
      <c r="I388" s="1358"/>
    </row>
    <row r="389" spans="8:9">
      <c r="H389" s="1358"/>
      <c r="I389" s="1358"/>
    </row>
    <row r="390" spans="8:9">
      <c r="H390" s="1358"/>
      <c r="I390" s="1358"/>
    </row>
    <row r="391" spans="8:9">
      <c r="H391" s="1358"/>
      <c r="I391" s="1358"/>
    </row>
    <row r="392" spans="8:9">
      <c r="H392" s="1358"/>
      <c r="I392" s="1358"/>
    </row>
    <row r="393" spans="8:9">
      <c r="H393" s="1358"/>
      <c r="I393" s="1358"/>
    </row>
    <row r="394" spans="8:9">
      <c r="H394" s="1358"/>
      <c r="I394" s="1358"/>
    </row>
    <row r="395" spans="8:9">
      <c r="H395" s="1358"/>
      <c r="I395" s="1358"/>
    </row>
    <row r="396" spans="8:9">
      <c r="H396" s="1358"/>
      <c r="I396" s="1358"/>
    </row>
    <row r="397" spans="8:9">
      <c r="H397" s="1358"/>
      <c r="I397" s="1358"/>
    </row>
    <row r="398" spans="8:9">
      <c r="H398" s="1358"/>
      <c r="I398" s="1358"/>
    </row>
    <row r="399" spans="8:9">
      <c r="H399" s="1358"/>
      <c r="I399" s="1358"/>
    </row>
    <row r="400" spans="8:9">
      <c r="H400" s="1358"/>
      <c r="I400" s="1358"/>
    </row>
    <row r="401" spans="8:9">
      <c r="H401" s="1358"/>
      <c r="I401" s="1358"/>
    </row>
    <row r="402" spans="8:9">
      <c r="H402" s="1358"/>
      <c r="I402" s="1358"/>
    </row>
    <row r="403" spans="8:9">
      <c r="H403" s="1358"/>
      <c r="I403" s="1358"/>
    </row>
    <row r="404" spans="8:9">
      <c r="H404" s="1358"/>
      <c r="I404" s="1358"/>
    </row>
    <row r="405" spans="8:9">
      <c r="H405" s="1358"/>
      <c r="I405" s="1358"/>
    </row>
    <row r="406" spans="8:9">
      <c r="H406" s="1358"/>
      <c r="I406" s="1358"/>
    </row>
    <row r="407" spans="8:9">
      <c r="H407" s="1358"/>
      <c r="I407" s="1358"/>
    </row>
    <row r="408" spans="8:9">
      <c r="H408" s="1358"/>
      <c r="I408" s="1358"/>
    </row>
    <row r="409" spans="8:9">
      <c r="H409" s="1358"/>
      <c r="I409" s="1358"/>
    </row>
    <row r="410" spans="8:9">
      <c r="H410" s="1358"/>
      <c r="I410" s="1358"/>
    </row>
    <row r="411" spans="8:9">
      <c r="H411" s="1358"/>
      <c r="I411" s="1358"/>
    </row>
    <row r="412" spans="8:9">
      <c r="H412" s="1358"/>
      <c r="I412" s="1358"/>
    </row>
    <row r="413" spans="8:9">
      <c r="H413" s="1358"/>
      <c r="I413" s="1358"/>
    </row>
    <row r="414" spans="8:9">
      <c r="H414" s="1358"/>
      <c r="I414" s="1358"/>
    </row>
    <row r="415" spans="8:9">
      <c r="H415" s="1358"/>
      <c r="I415" s="1358"/>
    </row>
    <row r="416" spans="8:9">
      <c r="H416" s="1358"/>
      <c r="I416" s="1358"/>
    </row>
    <row r="417" spans="8:9">
      <c r="H417" s="1358"/>
      <c r="I417" s="1358"/>
    </row>
    <row r="418" spans="8:9">
      <c r="H418" s="1358"/>
      <c r="I418" s="1358"/>
    </row>
    <row r="419" spans="8:9">
      <c r="H419" s="1358"/>
      <c r="I419" s="1358"/>
    </row>
    <row r="420" spans="8:9">
      <c r="H420" s="1358"/>
      <c r="I420" s="1358"/>
    </row>
    <row r="421" spans="8:9">
      <c r="H421" s="1358"/>
      <c r="I421" s="1358"/>
    </row>
    <row r="422" spans="8:9">
      <c r="H422" s="1358"/>
      <c r="I422" s="1358"/>
    </row>
    <row r="423" spans="8:9">
      <c r="H423" s="1358"/>
      <c r="I423" s="1358"/>
    </row>
    <row r="424" spans="8:9">
      <c r="H424" s="1358"/>
      <c r="I424" s="1358"/>
    </row>
    <row r="425" spans="8:9">
      <c r="H425" s="1358"/>
      <c r="I425" s="1358"/>
    </row>
    <row r="426" spans="8:9">
      <c r="H426" s="1358"/>
      <c r="I426" s="1358"/>
    </row>
    <row r="427" spans="8:9">
      <c r="H427" s="1358"/>
      <c r="I427" s="1358"/>
    </row>
    <row r="428" spans="8:9">
      <c r="H428" s="1358"/>
      <c r="I428" s="1358"/>
    </row>
    <row r="429" spans="8:9">
      <c r="H429" s="1358"/>
      <c r="I429" s="1358"/>
    </row>
    <row r="430" spans="8:9">
      <c r="H430" s="1358"/>
      <c r="I430" s="1358"/>
    </row>
    <row r="431" spans="8:9">
      <c r="H431" s="1358"/>
      <c r="I431" s="1358"/>
    </row>
    <row r="432" spans="8:9">
      <c r="H432" s="1358"/>
      <c r="I432" s="1358"/>
    </row>
    <row r="433" spans="8:9">
      <c r="H433" s="1358"/>
      <c r="I433" s="1358"/>
    </row>
    <row r="434" spans="8:9">
      <c r="H434" s="1358"/>
      <c r="I434" s="1358"/>
    </row>
    <row r="435" spans="8:9">
      <c r="H435" s="1358"/>
      <c r="I435" s="1358"/>
    </row>
    <row r="436" spans="8:9">
      <c r="H436" s="1358"/>
      <c r="I436" s="1358"/>
    </row>
    <row r="437" spans="8:9">
      <c r="H437" s="1358"/>
      <c r="I437" s="1358"/>
    </row>
    <row r="438" spans="8:9">
      <c r="H438" s="1358"/>
      <c r="I438" s="1358"/>
    </row>
    <row r="439" spans="8:9">
      <c r="H439" s="1358"/>
      <c r="I439" s="1358"/>
    </row>
    <row r="440" spans="8:9">
      <c r="H440" s="1358"/>
      <c r="I440" s="1358"/>
    </row>
    <row r="441" spans="8:9">
      <c r="H441" s="1358"/>
      <c r="I441" s="1358"/>
    </row>
    <row r="442" spans="8:9">
      <c r="H442" s="1358"/>
      <c r="I442" s="1358"/>
    </row>
    <row r="443" spans="8:9">
      <c r="H443" s="1358"/>
      <c r="I443" s="1358"/>
    </row>
    <row r="444" spans="8:9">
      <c r="H444" s="1358"/>
      <c r="I444" s="1358"/>
    </row>
    <row r="445" spans="8:9">
      <c r="H445" s="1358"/>
      <c r="I445" s="1358"/>
    </row>
    <row r="446" spans="8:9">
      <c r="H446" s="1358"/>
      <c r="I446" s="1358"/>
    </row>
    <row r="447" spans="8:9">
      <c r="H447" s="1358"/>
      <c r="I447" s="1358"/>
    </row>
    <row r="448" spans="8:9">
      <c r="H448" s="1358"/>
      <c r="I448" s="1358"/>
    </row>
    <row r="449" spans="8:9">
      <c r="H449" s="1358"/>
      <c r="I449" s="1358"/>
    </row>
    <row r="450" spans="8:9">
      <c r="H450" s="1358"/>
      <c r="I450" s="1358"/>
    </row>
    <row r="451" spans="8:9">
      <c r="H451" s="1358"/>
      <c r="I451" s="1358"/>
    </row>
    <row r="452" spans="8:9">
      <c r="H452" s="1358"/>
      <c r="I452" s="1358"/>
    </row>
    <row r="453" spans="8:9">
      <c r="H453" s="1358"/>
      <c r="I453" s="1358"/>
    </row>
    <row r="454" spans="8:9">
      <c r="H454" s="1358"/>
      <c r="I454" s="1358"/>
    </row>
    <row r="455" spans="8:9">
      <c r="H455" s="1358"/>
      <c r="I455" s="1358"/>
    </row>
    <row r="456" spans="8:9">
      <c r="H456" s="1358"/>
      <c r="I456" s="1358"/>
    </row>
    <row r="457" spans="8:9">
      <c r="H457" s="1358"/>
      <c r="I457" s="1358"/>
    </row>
    <row r="458" spans="8:9">
      <c r="H458" s="1358"/>
      <c r="I458" s="1358"/>
    </row>
    <row r="459" spans="8:9">
      <c r="H459" s="1358"/>
      <c r="I459" s="1358"/>
    </row>
    <row r="460" spans="8:9">
      <c r="H460" s="1358"/>
      <c r="I460" s="1358"/>
    </row>
    <row r="461" spans="8:9">
      <c r="H461" s="1358"/>
      <c r="I461" s="1358"/>
    </row>
    <row r="462" spans="8:9">
      <c r="H462" s="1358"/>
      <c r="I462" s="1358"/>
    </row>
    <row r="463" spans="8:9">
      <c r="H463" s="1358"/>
      <c r="I463" s="1358"/>
    </row>
    <row r="464" spans="8:9">
      <c r="H464" s="1358"/>
      <c r="I464" s="1358"/>
    </row>
    <row r="465" spans="8:9">
      <c r="H465" s="1358"/>
      <c r="I465" s="1358"/>
    </row>
    <row r="466" spans="8:9">
      <c r="H466" s="1358"/>
      <c r="I466" s="1358"/>
    </row>
    <row r="467" spans="8:9">
      <c r="H467" s="1358"/>
      <c r="I467" s="1358"/>
    </row>
    <row r="468" spans="8:9">
      <c r="H468" s="1358"/>
      <c r="I468" s="1358"/>
    </row>
    <row r="469" spans="8:9">
      <c r="H469" s="1358"/>
      <c r="I469" s="1358"/>
    </row>
    <row r="470" spans="8:9">
      <c r="H470" s="1358"/>
      <c r="I470" s="1358"/>
    </row>
    <row r="471" spans="8:9">
      <c r="H471" s="1358"/>
      <c r="I471" s="1358"/>
    </row>
    <row r="472" spans="8:9">
      <c r="H472" s="1358"/>
      <c r="I472" s="1358"/>
    </row>
    <row r="473" spans="8:9">
      <c r="H473" s="1358"/>
      <c r="I473" s="1358"/>
    </row>
    <row r="474" spans="8:9">
      <c r="H474" s="1358"/>
      <c r="I474" s="1358"/>
    </row>
    <row r="475" spans="8:9">
      <c r="H475" s="1358"/>
      <c r="I475" s="1358"/>
    </row>
    <row r="476" spans="8:9">
      <c r="H476" s="1358"/>
      <c r="I476" s="1358"/>
    </row>
    <row r="477" spans="8:9">
      <c r="H477" s="1358"/>
      <c r="I477" s="1358"/>
    </row>
    <row r="478" spans="8:9">
      <c r="H478" s="1358"/>
      <c r="I478" s="1358"/>
    </row>
    <row r="479" spans="8:9">
      <c r="H479" s="1358"/>
      <c r="I479" s="1358"/>
    </row>
    <row r="480" spans="8:9">
      <c r="H480" s="1358"/>
      <c r="I480" s="1358"/>
    </row>
    <row r="481" spans="8:9">
      <c r="H481" s="1358"/>
      <c r="I481" s="1358"/>
    </row>
    <row r="482" spans="8:9">
      <c r="H482" s="1358"/>
      <c r="I482" s="1358"/>
    </row>
    <row r="483" spans="8:9">
      <c r="H483" s="1358"/>
      <c r="I483" s="1358"/>
    </row>
    <row r="484" spans="8:9">
      <c r="H484" s="1358"/>
      <c r="I484" s="1358"/>
    </row>
    <row r="485" spans="8:9">
      <c r="H485" s="1358"/>
      <c r="I485" s="1358"/>
    </row>
    <row r="486" spans="8:9">
      <c r="H486" s="1358"/>
      <c r="I486" s="1358"/>
    </row>
    <row r="487" spans="8:9">
      <c r="H487" s="1358"/>
      <c r="I487" s="1358"/>
    </row>
    <row r="488" spans="8:9">
      <c r="H488" s="1358"/>
      <c r="I488" s="1358"/>
    </row>
    <row r="489" spans="8:9">
      <c r="H489" s="1358"/>
      <c r="I489" s="1358"/>
    </row>
    <row r="490" spans="8:9">
      <c r="H490" s="1358"/>
      <c r="I490" s="1358"/>
    </row>
    <row r="491" spans="8:9">
      <c r="H491" s="1358"/>
      <c r="I491" s="1358"/>
    </row>
    <row r="492" spans="8:9">
      <c r="H492" s="1358"/>
      <c r="I492" s="1358"/>
    </row>
    <row r="493" spans="8:9">
      <c r="H493" s="1358"/>
      <c r="I493" s="1358"/>
    </row>
    <row r="494" spans="8:9">
      <c r="H494" s="1358"/>
      <c r="I494" s="1358"/>
    </row>
    <row r="495" spans="8:9">
      <c r="H495" s="1358"/>
      <c r="I495" s="1358"/>
    </row>
    <row r="496" spans="8:9">
      <c r="H496" s="1358"/>
      <c r="I496" s="1358"/>
    </row>
    <row r="497" spans="8:9">
      <c r="H497" s="1358"/>
      <c r="I497" s="1358"/>
    </row>
    <row r="498" spans="8:9">
      <c r="H498" s="1358"/>
      <c r="I498" s="1358"/>
    </row>
    <row r="499" spans="8:9">
      <c r="H499" s="1358"/>
      <c r="I499" s="1358"/>
    </row>
    <row r="500" spans="8:9">
      <c r="H500" s="1358"/>
      <c r="I500" s="1358"/>
    </row>
    <row r="501" spans="8:9">
      <c r="H501" s="1358"/>
      <c r="I501" s="1358"/>
    </row>
    <row r="502" spans="8:9">
      <c r="H502" s="1358"/>
      <c r="I502" s="1358"/>
    </row>
    <row r="503" spans="8:9">
      <c r="H503" s="1358"/>
      <c r="I503" s="1358"/>
    </row>
    <row r="504" spans="8:9">
      <c r="H504" s="1358"/>
      <c r="I504" s="1358"/>
    </row>
    <row r="505" spans="8:9">
      <c r="H505" s="1358"/>
      <c r="I505" s="1358"/>
    </row>
    <row r="506" spans="8:9">
      <c r="H506" s="1358"/>
      <c r="I506" s="1358"/>
    </row>
    <row r="507" spans="8:9">
      <c r="H507" s="1358"/>
      <c r="I507" s="1358"/>
    </row>
    <row r="508" spans="8:9">
      <c r="H508" s="1358"/>
      <c r="I508" s="1358"/>
    </row>
    <row r="509" spans="8:9">
      <c r="H509" s="1358"/>
      <c r="I509" s="1358"/>
    </row>
    <row r="510" spans="8:9">
      <c r="H510" s="1358"/>
      <c r="I510" s="1358"/>
    </row>
    <row r="511" spans="8:9">
      <c r="H511" s="1358"/>
      <c r="I511" s="1358"/>
    </row>
    <row r="512" spans="8:9">
      <c r="H512" s="1358"/>
      <c r="I512" s="1358"/>
    </row>
    <row r="513" spans="8:9">
      <c r="H513" s="1358"/>
      <c r="I513" s="1358"/>
    </row>
    <row r="514" spans="8:9">
      <c r="H514" s="1358"/>
      <c r="I514" s="1358"/>
    </row>
    <row r="515" spans="8:9">
      <c r="H515" s="1358"/>
      <c r="I515" s="1358"/>
    </row>
    <row r="516" spans="8:9">
      <c r="H516" s="1358"/>
      <c r="I516" s="1358"/>
    </row>
    <row r="517" spans="8:9">
      <c r="H517" s="1358"/>
      <c r="I517" s="1358"/>
    </row>
    <row r="518" spans="8:9">
      <c r="H518" s="1358"/>
      <c r="I518" s="1358"/>
    </row>
    <row r="519" spans="8:9">
      <c r="H519" s="1358"/>
      <c r="I519" s="1358"/>
    </row>
    <row r="520" spans="8:9">
      <c r="H520" s="1358"/>
      <c r="I520" s="1358"/>
    </row>
    <row r="521" spans="8:9">
      <c r="H521" s="1358"/>
      <c r="I521" s="1358"/>
    </row>
    <row r="522" spans="8:9">
      <c r="H522" s="1358"/>
      <c r="I522" s="1358"/>
    </row>
    <row r="523" spans="8:9">
      <c r="H523" s="1358"/>
      <c r="I523" s="1358"/>
    </row>
    <row r="524" spans="8:9">
      <c r="H524" s="1358"/>
      <c r="I524" s="1358"/>
    </row>
    <row r="525" spans="8:9">
      <c r="H525" s="1358"/>
      <c r="I525" s="1358"/>
    </row>
    <row r="526" spans="8:9">
      <c r="H526" s="1358"/>
      <c r="I526" s="1358"/>
    </row>
    <row r="527" spans="8:9">
      <c r="H527" s="1358"/>
      <c r="I527" s="1358"/>
    </row>
    <row r="528" spans="8:9">
      <c r="H528" s="1358"/>
      <c r="I528" s="1358"/>
    </row>
    <row r="529" spans="8:9">
      <c r="H529" s="1358"/>
      <c r="I529" s="1358"/>
    </row>
    <row r="530" spans="8:9">
      <c r="H530" s="1358"/>
      <c r="I530" s="1358"/>
    </row>
    <row r="531" spans="8:9">
      <c r="H531" s="1358"/>
      <c r="I531" s="1358"/>
    </row>
    <row r="532" spans="8:9">
      <c r="H532" s="1358"/>
      <c r="I532" s="1358"/>
    </row>
    <row r="533" spans="8:9">
      <c r="H533" s="1358"/>
      <c r="I533" s="1358"/>
    </row>
    <row r="534" spans="8:9">
      <c r="H534" s="1358"/>
      <c r="I534" s="1358"/>
    </row>
    <row r="535" spans="8:9">
      <c r="H535" s="1358"/>
      <c r="I535" s="1358"/>
    </row>
    <row r="536" spans="8:9">
      <c r="H536" s="1358"/>
      <c r="I536" s="1358"/>
    </row>
    <row r="537" spans="8:9">
      <c r="H537" s="1358"/>
      <c r="I537" s="1358"/>
    </row>
    <row r="538" spans="8:9">
      <c r="H538" s="1358"/>
      <c r="I538" s="1358"/>
    </row>
    <row r="539" spans="8:9">
      <c r="H539" s="1358"/>
      <c r="I539" s="1358"/>
    </row>
    <row r="540" spans="8:9">
      <c r="H540" s="1358"/>
      <c r="I540" s="1358"/>
    </row>
    <row r="541" spans="8:9">
      <c r="H541" s="1358"/>
      <c r="I541" s="1358"/>
    </row>
    <row r="542" spans="8:9">
      <c r="H542" s="1358"/>
      <c r="I542" s="1358"/>
    </row>
    <row r="543" spans="8:9">
      <c r="H543" s="1358"/>
      <c r="I543" s="1358"/>
    </row>
    <row r="544" spans="8:9">
      <c r="H544" s="1358"/>
      <c r="I544" s="1358"/>
    </row>
    <row r="545" spans="8:9">
      <c r="H545" s="1358"/>
      <c r="I545" s="1358"/>
    </row>
    <row r="546" spans="8:9">
      <c r="H546" s="1358"/>
      <c r="I546" s="1358"/>
    </row>
    <row r="547" spans="8:9">
      <c r="H547" s="1358"/>
      <c r="I547" s="1358"/>
    </row>
    <row r="548" spans="8:9">
      <c r="H548" s="1358"/>
      <c r="I548" s="1358"/>
    </row>
    <row r="549" spans="8:9">
      <c r="H549" s="1358"/>
      <c r="I549" s="1358"/>
    </row>
    <row r="550" spans="8:9">
      <c r="H550" s="1358"/>
      <c r="I550" s="1358"/>
    </row>
    <row r="551" spans="8:9">
      <c r="H551" s="1358"/>
      <c r="I551" s="1358"/>
    </row>
    <row r="552" spans="8:9">
      <c r="H552" s="1358"/>
      <c r="I552" s="1358"/>
    </row>
    <row r="553" spans="8:9">
      <c r="H553" s="1358"/>
      <c r="I553" s="1358"/>
    </row>
    <row r="554" spans="8:9">
      <c r="H554" s="1358"/>
      <c r="I554" s="1358"/>
    </row>
    <row r="555" spans="8:9">
      <c r="H555" s="1358"/>
      <c r="I555" s="1358"/>
    </row>
    <row r="556" spans="8:9">
      <c r="H556" s="1358"/>
      <c r="I556" s="1358"/>
    </row>
    <row r="557" spans="8:9">
      <c r="H557" s="1358"/>
      <c r="I557" s="1358"/>
    </row>
    <row r="558" spans="8:9">
      <c r="H558" s="1358"/>
      <c r="I558" s="1358"/>
    </row>
    <row r="559" spans="8:9">
      <c r="H559" s="1358"/>
      <c r="I559" s="1358"/>
    </row>
    <row r="560" spans="8:9">
      <c r="H560" s="1358"/>
      <c r="I560" s="1358"/>
    </row>
    <row r="561" spans="8:9">
      <c r="H561" s="1358"/>
      <c r="I561" s="1358"/>
    </row>
    <row r="562" spans="8:9">
      <c r="H562" s="1358"/>
      <c r="I562" s="1358"/>
    </row>
    <row r="563" spans="8:9">
      <c r="H563" s="1358"/>
      <c r="I563" s="1358"/>
    </row>
    <row r="564" spans="8:9">
      <c r="H564" s="1358"/>
      <c r="I564" s="1358"/>
    </row>
    <row r="565" spans="8:9">
      <c r="H565" s="1358"/>
      <c r="I565" s="1358"/>
    </row>
    <row r="566" spans="8:9">
      <c r="H566" s="1358"/>
      <c r="I566" s="1358"/>
    </row>
    <row r="567" spans="8:9">
      <c r="H567" s="1358"/>
      <c r="I567" s="1358"/>
    </row>
    <row r="568" spans="8:9">
      <c r="H568" s="1358"/>
      <c r="I568" s="1358"/>
    </row>
    <row r="569" spans="8:9">
      <c r="H569" s="1358"/>
      <c r="I569" s="1358"/>
    </row>
    <row r="570" spans="8:9">
      <c r="H570" s="1358"/>
      <c r="I570" s="1358"/>
    </row>
    <row r="571" spans="8:9">
      <c r="H571" s="1358"/>
      <c r="I571" s="1358"/>
    </row>
    <row r="572" spans="8:9">
      <c r="H572" s="1358"/>
      <c r="I572" s="1358"/>
    </row>
    <row r="573" spans="8:9">
      <c r="H573" s="1358"/>
      <c r="I573" s="1358"/>
    </row>
    <row r="574" spans="8:9">
      <c r="H574" s="1358"/>
      <c r="I574" s="1358"/>
    </row>
    <row r="575" spans="8:9">
      <c r="H575" s="1358"/>
      <c r="I575" s="1358"/>
    </row>
    <row r="576" spans="8:9">
      <c r="H576" s="1358"/>
      <c r="I576" s="1358"/>
    </row>
    <row r="577" spans="8:9">
      <c r="H577" s="1358"/>
      <c r="I577" s="1358"/>
    </row>
    <row r="578" spans="8:9">
      <c r="H578" s="1358"/>
      <c r="I578" s="1358"/>
    </row>
    <row r="579" spans="8:9">
      <c r="H579" s="1358"/>
      <c r="I579" s="1358"/>
    </row>
    <row r="580" spans="8:9">
      <c r="H580" s="1358"/>
      <c r="I580" s="1358"/>
    </row>
    <row r="581" spans="8:9">
      <c r="H581" s="1358"/>
      <c r="I581" s="1358"/>
    </row>
    <row r="582" spans="8:9">
      <c r="H582" s="1358"/>
      <c r="I582" s="1358"/>
    </row>
    <row r="583" spans="8:9">
      <c r="H583" s="1358"/>
      <c r="I583" s="1358"/>
    </row>
    <row r="584" spans="8:9">
      <c r="H584" s="1358"/>
      <c r="I584" s="1358"/>
    </row>
    <row r="585" spans="8:9">
      <c r="H585" s="1358"/>
      <c r="I585" s="1358"/>
    </row>
    <row r="586" spans="8:9">
      <c r="H586" s="1358"/>
      <c r="I586" s="1358"/>
    </row>
    <row r="587" spans="8:9">
      <c r="H587" s="1358"/>
      <c r="I587" s="1358"/>
    </row>
    <row r="588" spans="8:9">
      <c r="H588" s="1358"/>
      <c r="I588" s="1358"/>
    </row>
    <row r="589" spans="8:9">
      <c r="H589" s="1358"/>
      <c r="I589" s="1358"/>
    </row>
    <row r="590" spans="8:9">
      <c r="H590" s="1358"/>
      <c r="I590" s="1358"/>
    </row>
    <row r="591" spans="8:9">
      <c r="H591" s="1358"/>
      <c r="I591" s="1358"/>
    </row>
    <row r="592" spans="8:9">
      <c r="H592" s="1358"/>
      <c r="I592" s="1358"/>
    </row>
    <row r="593" spans="8:9">
      <c r="H593" s="1358"/>
      <c r="I593" s="1358"/>
    </row>
    <row r="594" spans="8:9">
      <c r="H594" s="1358"/>
      <c r="I594" s="1358"/>
    </row>
    <row r="595" spans="8:9">
      <c r="H595" s="1358"/>
      <c r="I595" s="1358"/>
    </row>
    <row r="596" spans="8:9">
      <c r="H596" s="1358"/>
      <c r="I596" s="1358"/>
    </row>
    <row r="597" spans="8:9">
      <c r="H597" s="1358"/>
      <c r="I597" s="1358"/>
    </row>
    <row r="598" spans="8:9">
      <c r="H598" s="1358"/>
      <c r="I598" s="1358"/>
    </row>
    <row r="599" spans="8:9">
      <c r="H599" s="1358"/>
      <c r="I599" s="1358"/>
    </row>
    <row r="600" spans="8:9">
      <c r="H600" s="1358"/>
      <c r="I600" s="1358"/>
    </row>
    <row r="601" spans="8:9">
      <c r="H601" s="1358"/>
      <c r="I601" s="1358"/>
    </row>
    <row r="602" spans="8:9">
      <c r="H602" s="1358"/>
      <c r="I602" s="1358"/>
    </row>
    <row r="603" spans="8:9">
      <c r="H603" s="1358"/>
      <c r="I603" s="1358"/>
    </row>
    <row r="604" spans="8:9">
      <c r="H604" s="1358"/>
      <c r="I604" s="1358"/>
    </row>
    <row r="605" spans="8:9">
      <c r="H605" s="1358"/>
      <c r="I605" s="1358"/>
    </row>
    <row r="606" spans="8:9">
      <c r="H606" s="1358"/>
      <c r="I606" s="1358"/>
    </row>
    <row r="607" spans="8:9">
      <c r="H607" s="1358"/>
      <c r="I607" s="1358"/>
    </row>
    <row r="608" spans="8:9">
      <c r="H608" s="1358"/>
      <c r="I608" s="1358"/>
    </row>
    <row r="609" spans="8:9">
      <c r="H609" s="1358"/>
      <c r="I609" s="1358"/>
    </row>
    <row r="610" spans="8:9">
      <c r="H610" s="1358"/>
      <c r="I610" s="1358"/>
    </row>
    <row r="611" spans="8:9">
      <c r="H611" s="1358"/>
      <c r="I611" s="1358"/>
    </row>
    <row r="612" spans="8:9">
      <c r="H612" s="1358"/>
      <c r="I612" s="1358"/>
    </row>
    <row r="613" spans="8:9">
      <c r="H613" s="1358"/>
      <c r="I613" s="1358"/>
    </row>
    <row r="614" spans="8:9">
      <c r="H614" s="1358"/>
      <c r="I614" s="1358"/>
    </row>
    <row r="615" spans="8:9">
      <c r="H615" s="1358"/>
      <c r="I615" s="1358"/>
    </row>
    <row r="616" spans="8:9">
      <c r="H616" s="1358"/>
      <c r="I616" s="1358"/>
    </row>
    <row r="617" spans="8:9">
      <c r="H617" s="1358"/>
      <c r="I617" s="1358"/>
    </row>
    <row r="618" spans="8:9">
      <c r="H618" s="1358"/>
      <c r="I618" s="1358"/>
    </row>
    <row r="619" spans="8:9">
      <c r="H619" s="1358"/>
      <c r="I619" s="1358"/>
    </row>
    <row r="620" spans="8:9">
      <c r="H620" s="1358"/>
      <c r="I620" s="1358"/>
    </row>
    <row r="621" spans="8:9">
      <c r="H621" s="1358"/>
      <c r="I621" s="1358"/>
    </row>
    <row r="622" spans="8:9">
      <c r="H622" s="1358"/>
      <c r="I622" s="1358"/>
    </row>
    <row r="623" spans="8:9">
      <c r="H623" s="1358"/>
      <c r="I623" s="1358"/>
    </row>
    <row r="624" spans="8:9">
      <c r="H624" s="1358"/>
      <c r="I624" s="1358"/>
    </row>
    <row r="625" spans="8:9">
      <c r="H625" s="1358"/>
      <c r="I625" s="1358"/>
    </row>
    <row r="626" spans="8:9">
      <c r="H626" s="1358"/>
      <c r="I626" s="1358"/>
    </row>
    <row r="627" spans="8:9">
      <c r="H627" s="1358"/>
      <c r="I627" s="1358"/>
    </row>
    <row r="628" spans="8:9">
      <c r="H628" s="1358"/>
      <c r="I628" s="1358"/>
    </row>
    <row r="629" spans="8:9">
      <c r="H629" s="1358"/>
      <c r="I629" s="1358"/>
    </row>
    <row r="630" spans="8:9">
      <c r="H630" s="1358"/>
      <c r="I630" s="1358"/>
    </row>
    <row r="631" spans="8:9">
      <c r="H631" s="1358"/>
      <c r="I631" s="1358"/>
    </row>
    <row r="632" spans="8:9">
      <c r="H632" s="1358"/>
      <c r="I632" s="1358"/>
    </row>
    <row r="633" spans="8:9">
      <c r="H633" s="1358"/>
      <c r="I633" s="1358"/>
    </row>
    <row r="634" spans="8:9">
      <c r="H634" s="1358"/>
      <c r="I634" s="1358"/>
    </row>
    <row r="635" spans="8:9">
      <c r="H635" s="1358"/>
      <c r="I635" s="1358"/>
    </row>
    <row r="636" spans="8:9">
      <c r="H636" s="1358"/>
      <c r="I636" s="1358"/>
    </row>
    <row r="637" spans="8:9">
      <c r="H637" s="1358"/>
      <c r="I637" s="1358"/>
    </row>
    <row r="638" spans="8:9">
      <c r="H638" s="1358"/>
      <c r="I638" s="1358"/>
    </row>
    <row r="639" spans="8:9">
      <c r="H639" s="1358"/>
      <c r="I639" s="1358"/>
    </row>
    <row r="640" spans="8:9">
      <c r="H640" s="1358"/>
      <c r="I640" s="1358"/>
    </row>
    <row r="641" spans="8:9">
      <c r="H641" s="1358"/>
      <c r="I641" s="1358"/>
    </row>
    <row r="642" spans="8:9">
      <c r="H642" s="1358"/>
      <c r="I642" s="1358"/>
    </row>
    <row r="643" spans="8:9">
      <c r="H643" s="1358"/>
      <c r="I643" s="1358"/>
    </row>
    <row r="644" spans="8:9">
      <c r="H644" s="1358"/>
      <c r="I644" s="1358"/>
    </row>
    <row r="645" spans="8:9">
      <c r="H645" s="1358"/>
      <c r="I645" s="1358"/>
    </row>
    <row r="646" spans="8:9">
      <c r="H646" s="1358"/>
      <c r="I646" s="1358"/>
    </row>
    <row r="647" spans="8:9">
      <c r="H647" s="1358"/>
      <c r="I647" s="1358"/>
    </row>
    <row r="648" spans="8:9">
      <c r="H648" s="1358"/>
      <c r="I648" s="1358"/>
    </row>
    <row r="649" spans="8:9">
      <c r="H649" s="1358"/>
      <c r="I649" s="1358"/>
    </row>
    <row r="650" spans="8:9">
      <c r="H650" s="1358"/>
      <c r="I650" s="1358"/>
    </row>
    <row r="651" spans="8:9">
      <c r="H651" s="1358"/>
      <c r="I651" s="1358"/>
    </row>
    <row r="652" spans="8:9">
      <c r="H652" s="1358"/>
      <c r="I652" s="1358"/>
    </row>
    <row r="653" spans="8:9">
      <c r="H653" s="1358"/>
      <c r="I653" s="1358"/>
    </row>
    <row r="654" spans="8:9">
      <c r="H654" s="1358"/>
      <c r="I654" s="1358"/>
    </row>
    <row r="655" spans="8:9">
      <c r="H655" s="1358"/>
      <c r="I655" s="1358"/>
    </row>
    <row r="656" spans="8:9">
      <c r="H656" s="1358"/>
      <c r="I656" s="1358"/>
    </row>
    <row r="657" spans="8:9">
      <c r="H657" s="1358"/>
      <c r="I657" s="1358"/>
    </row>
    <row r="658" spans="8:9">
      <c r="H658" s="1358"/>
      <c r="I658" s="1358"/>
    </row>
    <row r="659" spans="8:9">
      <c r="H659" s="1358"/>
      <c r="I659" s="1358"/>
    </row>
    <row r="660" spans="8:9">
      <c r="H660" s="1358"/>
      <c r="I660" s="1358"/>
    </row>
    <row r="661" spans="8:9">
      <c r="H661" s="1358"/>
      <c r="I661" s="1358"/>
    </row>
    <row r="662" spans="8:9">
      <c r="H662" s="1358"/>
      <c r="I662" s="1358"/>
    </row>
    <row r="663" spans="8:9">
      <c r="H663" s="1358"/>
      <c r="I663" s="1358"/>
    </row>
    <row r="664" spans="8:9">
      <c r="H664" s="1358"/>
      <c r="I664" s="1358"/>
    </row>
    <row r="665" spans="8:9">
      <c r="H665" s="1358"/>
      <c r="I665" s="1358"/>
    </row>
    <row r="666" spans="8:9">
      <c r="H666" s="1358"/>
      <c r="I666" s="1358"/>
    </row>
    <row r="667" spans="8:9">
      <c r="H667" s="1358"/>
      <c r="I667" s="1358"/>
    </row>
    <row r="668" spans="8:9">
      <c r="H668" s="1358"/>
      <c r="I668" s="1358"/>
    </row>
    <row r="669" spans="8:9">
      <c r="H669" s="1358"/>
      <c r="I669" s="1358"/>
    </row>
    <row r="670" spans="8:9">
      <c r="H670" s="1358"/>
      <c r="I670" s="1358"/>
    </row>
    <row r="671" spans="8:9">
      <c r="H671" s="1358"/>
      <c r="I671" s="1358"/>
    </row>
    <row r="672" spans="8:9">
      <c r="H672" s="1358"/>
      <c r="I672" s="1358"/>
    </row>
    <row r="673" spans="8:9">
      <c r="H673" s="1358"/>
      <c r="I673" s="1358"/>
    </row>
    <row r="674" spans="8:9">
      <c r="H674" s="1358"/>
      <c r="I674" s="1358"/>
    </row>
    <row r="675" spans="8:9">
      <c r="H675" s="1358"/>
      <c r="I675" s="1358"/>
    </row>
    <row r="676" spans="8:9">
      <c r="H676" s="1358"/>
      <c r="I676" s="1358"/>
    </row>
    <row r="677" spans="8:9">
      <c r="H677" s="1358"/>
      <c r="I677" s="1358"/>
    </row>
    <row r="678" spans="8:9">
      <c r="H678" s="1358"/>
      <c r="I678" s="1358"/>
    </row>
    <row r="679" spans="8:9">
      <c r="H679" s="1358"/>
      <c r="I679" s="1358"/>
    </row>
    <row r="680" spans="8:9">
      <c r="H680" s="1358"/>
      <c r="I680" s="1358"/>
    </row>
    <row r="681" spans="8:9">
      <c r="H681" s="1358"/>
      <c r="I681" s="1358"/>
    </row>
    <row r="682" spans="8:9">
      <c r="H682" s="1358"/>
      <c r="I682" s="1358"/>
    </row>
    <row r="683" spans="8:9">
      <c r="H683" s="1358"/>
      <c r="I683" s="1358"/>
    </row>
    <row r="684" spans="8:9">
      <c r="H684" s="1358"/>
      <c r="I684" s="1358"/>
    </row>
    <row r="685" spans="8:9">
      <c r="H685" s="1358"/>
      <c r="I685" s="1358"/>
    </row>
    <row r="686" spans="8:9">
      <c r="H686" s="1358"/>
      <c r="I686" s="1358"/>
    </row>
    <row r="687" spans="8:9">
      <c r="H687" s="1358"/>
      <c r="I687" s="1358"/>
    </row>
    <row r="688" spans="8:9">
      <c r="H688" s="1358"/>
      <c r="I688" s="1358"/>
    </row>
    <row r="689" spans="8:9">
      <c r="H689" s="1358"/>
      <c r="I689" s="1358"/>
    </row>
    <row r="690" spans="8:9">
      <c r="H690" s="1358"/>
      <c r="I690" s="1358"/>
    </row>
    <row r="691" spans="8:9">
      <c r="H691" s="1358"/>
      <c r="I691" s="1358"/>
    </row>
    <row r="692" spans="8:9">
      <c r="H692" s="1358"/>
      <c r="I692" s="1358"/>
    </row>
    <row r="693" spans="8:9">
      <c r="H693" s="1358"/>
      <c r="I693" s="1358"/>
    </row>
    <row r="694" spans="8:9">
      <c r="H694" s="1358"/>
      <c r="I694" s="1358"/>
    </row>
    <row r="695" spans="8:9">
      <c r="H695" s="1358"/>
      <c r="I695" s="1358"/>
    </row>
    <row r="696" spans="8:9">
      <c r="H696" s="1358"/>
      <c r="I696" s="1358"/>
    </row>
    <row r="697" spans="8:9">
      <c r="H697" s="1358"/>
      <c r="I697" s="1358"/>
    </row>
    <row r="698" spans="8:9">
      <c r="H698" s="1358"/>
      <c r="I698" s="1358"/>
    </row>
    <row r="699" spans="8:9">
      <c r="H699" s="1358"/>
      <c r="I699" s="1358"/>
    </row>
    <row r="700" spans="8:9">
      <c r="H700" s="1358"/>
      <c r="I700" s="1358"/>
    </row>
    <row r="701" spans="8:9">
      <c r="H701" s="1358"/>
      <c r="I701" s="1358"/>
    </row>
    <row r="702" spans="8:9">
      <c r="H702" s="1358"/>
      <c r="I702" s="1358"/>
    </row>
    <row r="703" spans="8:9">
      <c r="H703" s="1358"/>
      <c r="I703" s="1358"/>
    </row>
    <row r="704" spans="8:9">
      <c r="H704" s="1358"/>
      <c r="I704" s="1358"/>
    </row>
    <row r="705" spans="8:9">
      <c r="H705" s="1358"/>
      <c r="I705" s="1358"/>
    </row>
    <row r="706" spans="8:9">
      <c r="H706" s="1358"/>
      <c r="I706" s="1358"/>
    </row>
    <row r="707" spans="8:9">
      <c r="H707" s="1358"/>
      <c r="I707" s="1358"/>
    </row>
    <row r="708" spans="8:9">
      <c r="H708" s="1358"/>
      <c r="I708" s="1358"/>
    </row>
    <row r="709" spans="8:9">
      <c r="H709" s="1358"/>
      <c r="I709" s="1358"/>
    </row>
    <row r="710" spans="8:9">
      <c r="H710" s="1358"/>
      <c r="I710" s="1358"/>
    </row>
    <row r="711" spans="8:9">
      <c r="H711" s="1358"/>
      <c r="I711" s="1358"/>
    </row>
    <row r="712" spans="8:9">
      <c r="H712" s="1358"/>
      <c r="I712" s="1358"/>
    </row>
    <row r="713" spans="8:9">
      <c r="H713" s="1358"/>
      <c r="I713" s="1358"/>
    </row>
    <row r="714" spans="8:9">
      <c r="H714" s="1358"/>
      <c r="I714" s="1358"/>
    </row>
    <row r="715" spans="8:9">
      <c r="H715" s="1358"/>
      <c r="I715" s="1358"/>
    </row>
    <row r="716" spans="8:9">
      <c r="H716" s="1358"/>
      <c r="I716" s="1358"/>
    </row>
    <row r="717" spans="8:9">
      <c r="H717" s="1358"/>
      <c r="I717" s="1358"/>
    </row>
    <row r="718" spans="8:9">
      <c r="H718" s="1358"/>
      <c r="I718" s="1358"/>
    </row>
    <row r="719" spans="8:9">
      <c r="H719" s="1358"/>
      <c r="I719" s="1358"/>
    </row>
    <row r="720" spans="8:9">
      <c r="H720" s="1358"/>
      <c r="I720" s="1358"/>
    </row>
    <row r="721" spans="8:9">
      <c r="H721" s="1358"/>
      <c r="I721" s="1358"/>
    </row>
    <row r="722" spans="8:9">
      <c r="H722" s="1358"/>
      <c r="I722" s="1358"/>
    </row>
    <row r="723" spans="8:9">
      <c r="H723" s="1358"/>
      <c r="I723" s="1358"/>
    </row>
    <row r="724" spans="8:9">
      <c r="H724" s="1358"/>
      <c r="I724" s="1358"/>
    </row>
    <row r="725" spans="8:9">
      <c r="H725" s="1358"/>
      <c r="I725" s="1358"/>
    </row>
    <row r="726" spans="8:9">
      <c r="H726" s="1358"/>
      <c r="I726" s="1358"/>
    </row>
    <row r="727" spans="8:9">
      <c r="H727" s="1358"/>
      <c r="I727" s="1358"/>
    </row>
    <row r="728" spans="8:9">
      <c r="H728" s="1358"/>
      <c r="I728" s="1358"/>
    </row>
    <row r="729" spans="8:9">
      <c r="H729" s="1358"/>
      <c r="I729" s="1358"/>
    </row>
    <row r="730" spans="8:9">
      <c r="H730" s="1358"/>
      <c r="I730" s="1358"/>
    </row>
    <row r="731" spans="8:9">
      <c r="H731" s="1358"/>
      <c r="I731" s="1358"/>
    </row>
    <row r="732" spans="8:9">
      <c r="H732" s="1358"/>
      <c r="I732" s="1358"/>
    </row>
    <row r="733" spans="8:9">
      <c r="H733" s="1358"/>
      <c r="I733" s="1358"/>
    </row>
    <row r="734" spans="8:9">
      <c r="H734" s="1358"/>
      <c r="I734" s="1358"/>
    </row>
    <row r="735" spans="8:9">
      <c r="H735" s="1358"/>
      <c r="I735" s="1358"/>
    </row>
    <row r="736" spans="8:9">
      <c r="H736" s="1358"/>
      <c r="I736" s="1358"/>
    </row>
    <row r="737" spans="8:9">
      <c r="H737" s="1358"/>
      <c r="I737" s="1358"/>
    </row>
    <row r="738" spans="8:9">
      <c r="H738" s="1358"/>
      <c r="I738" s="1358"/>
    </row>
    <row r="739" spans="8:9">
      <c r="H739" s="1358"/>
      <c r="I739" s="1358"/>
    </row>
    <row r="740" spans="8:9">
      <c r="H740" s="1358"/>
      <c r="I740" s="1358"/>
    </row>
    <row r="741" spans="8:9">
      <c r="H741" s="1358"/>
      <c r="I741" s="1358"/>
    </row>
    <row r="742" spans="8:9">
      <c r="H742" s="1358"/>
      <c r="I742" s="1358"/>
    </row>
    <row r="743" spans="8:9">
      <c r="H743" s="1358"/>
      <c r="I743" s="1358"/>
    </row>
    <row r="744" spans="8:9">
      <c r="H744" s="1358"/>
      <c r="I744" s="1358"/>
    </row>
    <row r="745" spans="8:9">
      <c r="H745" s="1358"/>
      <c r="I745" s="1358"/>
    </row>
    <row r="746" spans="8:9">
      <c r="H746" s="1358"/>
      <c r="I746" s="1358"/>
    </row>
    <row r="747" spans="8:9">
      <c r="H747" s="1358"/>
      <c r="I747" s="1358"/>
    </row>
    <row r="748" spans="8:9">
      <c r="H748" s="1358"/>
      <c r="I748" s="1358"/>
    </row>
    <row r="749" spans="8:9">
      <c r="H749" s="1358"/>
      <c r="I749" s="1358"/>
    </row>
    <row r="750" spans="8:9">
      <c r="H750" s="1358"/>
      <c r="I750" s="1358"/>
    </row>
    <row r="751" spans="8:9">
      <c r="H751" s="1358"/>
      <c r="I751" s="1358"/>
    </row>
    <row r="752" spans="8:9">
      <c r="H752" s="1358"/>
      <c r="I752" s="1358"/>
    </row>
    <row r="753" spans="8:9">
      <c r="H753" s="1358"/>
      <c r="I753" s="1358"/>
    </row>
    <row r="754" spans="8:9">
      <c r="H754" s="1358"/>
      <c r="I754" s="1358"/>
    </row>
    <row r="755" spans="8:9">
      <c r="H755" s="1358"/>
      <c r="I755" s="1358"/>
    </row>
    <row r="756" spans="8:9">
      <c r="H756" s="1358"/>
      <c r="I756" s="1358"/>
    </row>
    <row r="757" spans="8:9">
      <c r="H757" s="1358"/>
      <c r="I757" s="1358"/>
    </row>
    <row r="758" spans="8:9">
      <c r="H758" s="1358"/>
      <c r="I758" s="1358"/>
    </row>
    <row r="759" spans="8:9">
      <c r="H759" s="1358"/>
      <c r="I759" s="1358"/>
    </row>
    <row r="760" spans="8:9">
      <c r="H760" s="1358"/>
      <c r="I760" s="1358"/>
    </row>
    <row r="761" spans="8:9">
      <c r="H761" s="1358"/>
      <c r="I761" s="1358"/>
    </row>
    <row r="762" spans="8:9">
      <c r="H762" s="1358"/>
      <c r="I762" s="1358"/>
    </row>
    <row r="763" spans="8:9">
      <c r="H763" s="1358"/>
      <c r="I763" s="1358"/>
    </row>
    <row r="764" spans="8:9">
      <c r="H764" s="1358"/>
      <c r="I764" s="1358"/>
    </row>
    <row r="765" spans="8:9">
      <c r="H765" s="1358"/>
      <c r="I765" s="1358"/>
    </row>
    <row r="766" spans="8:9">
      <c r="H766" s="1358"/>
      <c r="I766" s="1358"/>
    </row>
    <row r="767" spans="8:9">
      <c r="H767" s="1358"/>
      <c r="I767" s="1358"/>
    </row>
    <row r="768" spans="8:9">
      <c r="H768" s="1358"/>
      <c r="I768" s="1358"/>
    </row>
    <row r="769" spans="8:9">
      <c r="H769" s="1358"/>
      <c r="I769" s="1358"/>
    </row>
    <row r="770" spans="8:9">
      <c r="H770" s="1358"/>
      <c r="I770" s="1358"/>
    </row>
    <row r="771" spans="8:9">
      <c r="H771" s="1358"/>
      <c r="I771" s="1358"/>
    </row>
    <row r="772" spans="8:9">
      <c r="H772" s="1358"/>
      <c r="I772" s="1358"/>
    </row>
    <row r="773" spans="8:9">
      <c r="H773" s="1358"/>
      <c r="I773" s="1358"/>
    </row>
    <row r="774" spans="8:9">
      <c r="H774" s="1358"/>
      <c r="I774" s="1358"/>
    </row>
    <row r="775" spans="8:9">
      <c r="H775" s="1358"/>
      <c r="I775" s="1358"/>
    </row>
    <row r="776" spans="8:9">
      <c r="H776" s="1358"/>
      <c r="I776" s="1358"/>
    </row>
    <row r="777" spans="8:9">
      <c r="H777" s="1358"/>
      <c r="I777" s="1358"/>
    </row>
    <row r="778" spans="8:9">
      <c r="H778" s="1358"/>
      <c r="I778" s="1358"/>
    </row>
    <row r="779" spans="8:9">
      <c r="H779" s="1358"/>
      <c r="I779" s="1358"/>
    </row>
    <row r="780" spans="8:9">
      <c r="H780" s="1358"/>
      <c r="I780" s="1358"/>
    </row>
    <row r="781" spans="8:9">
      <c r="H781" s="1358"/>
      <c r="I781" s="1358"/>
    </row>
    <row r="782" spans="8:9">
      <c r="H782" s="1358"/>
      <c r="I782" s="1358"/>
    </row>
    <row r="783" spans="8:9">
      <c r="H783" s="1358"/>
      <c r="I783" s="1358"/>
    </row>
    <row r="784" spans="8:9">
      <c r="H784" s="1358"/>
      <c r="I784" s="1358"/>
    </row>
    <row r="785" spans="8:9">
      <c r="H785" s="1358"/>
      <c r="I785" s="1358"/>
    </row>
    <row r="786" spans="8:9">
      <c r="H786" s="1358"/>
      <c r="I786" s="1358"/>
    </row>
    <row r="787" spans="8:9">
      <c r="H787" s="1358"/>
      <c r="I787" s="1358"/>
    </row>
    <row r="788" spans="8:9">
      <c r="H788" s="1358"/>
      <c r="I788" s="1358"/>
    </row>
    <row r="789" spans="8:9">
      <c r="H789" s="1358"/>
      <c r="I789" s="1358"/>
    </row>
    <row r="790" spans="8:9">
      <c r="H790" s="1358"/>
      <c r="I790" s="1358"/>
    </row>
    <row r="791" spans="8:9">
      <c r="H791" s="1358"/>
      <c r="I791" s="1358"/>
    </row>
    <row r="792" spans="8:9">
      <c r="H792" s="1358"/>
      <c r="I792" s="1358"/>
    </row>
    <row r="793" spans="8:9">
      <c r="H793" s="1358"/>
      <c r="I793" s="1358"/>
    </row>
    <row r="794" spans="8:9">
      <c r="H794" s="1358"/>
      <c r="I794" s="1358"/>
    </row>
    <row r="795" spans="8:9">
      <c r="H795" s="1358"/>
      <c r="I795" s="1358"/>
    </row>
    <row r="796" spans="8:9">
      <c r="H796" s="1358"/>
      <c r="I796" s="1358"/>
    </row>
    <row r="797" spans="8:9">
      <c r="H797" s="1358"/>
      <c r="I797" s="1358"/>
    </row>
    <row r="798" spans="8:9">
      <c r="H798" s="1358"/>
      <c r="I798" s="1358"/>
    </row>
    <row r="799" spans="8:9">
      <c r="H799" s="1358"/>
      <c r="I799" s="1358"/>
    </row>
    <row r="800" spans="8:9">
      <c r="H800" s="1358"/>
      <c r="I800" s="1358"/>
    </row>
    <row r="801" spans="8:9">
      <c r="H801" s="1358"/>
      <c r="I801" s="1358"/>
    </row>
    <row r="802" spans="8:9">
      <c r="H802" s="1358"/>
      <c r="I802" s="1358"/>
    </row>
    <row r="803" spans="8:9">
      <c r="H803" s="1358"/>
      <c r="I803" s="1358"/>
    </row>
    <row r="804" spans="8:9">
      <c r="H804" s="1358"/>
      <c r="I804" s="1358"/>
    </row>
    <row r="805" spans="8:9">
      <c r="H805" s="1358"/>
      <c r="I805" s="1358"/>
    </row>
    <row r="806" spans="8:9">
      <c r="H806" s="1358"/>
      <c r="I806" s="1358"/>
    </row>
    <row r="807" spans="8:9">
      <c r="H807" s="1358"/>
      <c r="I807" s="1358"/>
    </row>
    <row r="808" spans="8:9">
      <c r="H808" s="1358"/>
      <c r="I808" s="1358"/>
    </row>
    <row r="809" spans="8:9">
      <c r="H809" s="1358"/>
      <c r="I809" s="1358"/>
    </row>
    <row r="810" spans="8:9">
      <c r="H810" s="1358"/>
      <c r="I810" s="1358"/>
    </row>
    <row r="811" spans="8:9">
      <c r="H811" s="1358"/>
      <c r="I811" s="1358"/>
    </row>
    <row r="812" spans="8:9">
      <c r="H812" s="1358"/>
      <c r="I812" s="1358"/>
    </row>
    <row r="813" spans="8:9">
      <c r="H813" s="1358"/>
      <c r="I813" s="1358"/>
    </row>
    <row r="814" spans="8:9">
      <c r="H814" s="1358"/>
      <c r="I814" s="1358"/>
    </row>
    <row r="815" spans="8:9">
      <c r="H815" s="1358"/>
      <c r="I815" s="1358"/>
    </row>
    <row r="816" spans="8:9">
      <c r="H816" s="1358"/>
      <c r="I816" s="1358"/>
    </row>
    <row r="817" spans="8:9">
      <c r="H817" s="1358"/>
      <c r="I817" s="1358"/>
    </row>
    <row r="818" spans="8:9">
      <c r="H818" s="1358"/>
      <c r="I818" s="1358"/>
    </row>
    <row r="819" spans="8:9">
      <c r="H819" s="1358"/>
      <c r="I819" s="1358"/>
    </row>
    <row r="820" spans="8:9">
      <c r="H820" s="1358"/>
      <c r="I820" s="1358"/>
    </row>
    <row r="821" spans="8:9">
      <c r="H821" s="1358"/>
      <c r="I821" s="1358"/>
    </row>
    <row r="822" spans="8:9">
      <c r="H822" s="1358"/>
      <c r="I822" s="1358"/>
    </row>
    <row r="823" spans="8:9">
      <c r="H823" s="1358"/>
      <c r="I823" s="1358"/>
    </row>
    <row r="824" spans="8:9">
      <c r="H824" s="1358"/>
      <c r="I824" s="1358"/>
    </row>
    <row r="825" spans="8:9">
      <c r="H825" s="1358"/>
      <c r="I825" s="1358"/>
    </row>
    <row r="826" spans="8:9">
      <c r="H826" s="1358"/>
      <c r="I826" s="1358"/>
    </row>
    <row r="827" spans="8:9">
      <c r="H827" s="1358"/>
      <c r="I827" s="1358"/>
    </row>
    <row r="828" spans="8:9">
      <c r="H828" s="1358"/>
      <c r="I828" s="1358"/>
    </row>
    <row r="829" spans="8:9">
      <c r="H829" s="1358"/>
      <c r="I829" s="1358"/>
    </row>
    <row r="830" spans="8:9">
      <c r="H830" s="1358"/>
      <c r="I830" s="1358"/>
    </row>
    <row r="831" spans="8:9">
      <c r="H831" s="1358"/>
      <c r="I831" s="1358"/>
    </row>
    <row r="832" spans="8:9">
      <c r="H832" s="1358"/>
      <c r="I832" s="1358"/>
    </row>
    <row r="833" spans="8:9">
      <c r="H833" s="1358"/>
      <c r="I833" s="1358"/>
    </row>
    <row r="834" spans="8:9">
      <c r="H834" s="1358"/>
      <c r="I834" s="1358"/>
    </row>
    <row r="835" spans="8:9">
      <c r="H835" s="1358"/>
      <c r="I835" s="1358"/>
    </row>
    <row r="836" spans="8:9">
      <c r="H836" s="1358"/>
      <c r="I836" s="1358"/>
    </row>
    <row r="837" spans="8:9">
      <c r="H837" s="1358"/>
      <c r="I837" s="1358"/>
    </row>
    <row r="838" spans="8:9">
      <c r="H838" s="1358"/>
      <c r="I838" s="1358"/>
    </row>
    <row r="839" spans="8:9">
      <c r="H839" s="1358"/>
      <c r="I839" s="1358"/>
    </row>
    <row r="840" spans="8:9">
      <c r="H840" s="1358"/>
      <c r="I840" s="1358"/>
    </row>
    <row r="841" spans="8:9">
      <c r="H841" s="1358"/>
      <c r="I841" s="1358"/>
    </row>
    <row r="842" spans="8:9">
      <c r="H842" s="1358"/>
      <c r="I842" s="1358"/>
    </row>
    <row r="843" spans="8:9">
      <c r="H843" s="1358"/>
      <c r="I843" s="1358"/>
    </row>
    <row r="844" spans="8:9">
      <c r="H844" s="1358"/>
      <c r="I844" s="1358"/>
    </row>
    <row r="845" spans="8:9">
      <c r="H845" s="1358"/>
      <c r="I845" s="1358"/>
    </row>
    <row r="846" spans="8:9">
      <c r="H846" s="1358"/>
      <c r="I846" s="1358"/>
    </row>
    <row r="847" spans="8:9">
      <c r="H847" s="1358"/>
      <c r="I847" s="1358"/>
    </row>
    <row r="848" spans="8:9">
      <c r="H848" s="1358"/>
      <c r="I848" s="1358"/>
    </row>
    <row r="849" spans="8:9">
      <c r="H849" s="1358"/>
      <c r="I849" s="1358"/>
    </row>
    <row r="850" spans="8:9">
      <c r="H850" s="1358"/>
      <c r="I850" s="1358"/>
    </row>
    <row r="851" spans="8:9">
      <c r="H851" s="1358"/>
      <c r="I851" s="1358"/>
    </row>
    <row r="852" spans="8:9">
      <c r="H852" s="1358"/>
      <c r="I852" s="1358"/>
    </row>
    <row r="853" spans="8:9">
      <c r="H853" s="1358"/>
      <c r="I853" s="1358"/>
    </row>
    <row r="854" spans="8:9">
      <c r="H854" s="1358"/>
      <c r="I854" s="1358"/>
    </row>
    <row r="855" spans="8:9">
      <c r="H855" s="1358"/>
      <c r="I855" s="1358"/>
    </row>
    <row r="856" spans="8:9">
      <c r="H856" s="1358"/>
      <c r="I856" s="1358"/>
    </row>
    <row r="857" spans="8:9">
      <c r="H857" s="1358"/>
      <c r="I857" s="1358"/>
    </row>
    <row r="858" spans="8:9">
      <c r="H858" s="1358"/>
      <c r="I858" s="1358"/>
    </row>
    <row r="859" spans="8:9">
      <c r="H859" s="1358"/>
      <c r="I859" s="1358"/>
    </row>
    <row r="860" spans="8:9">
      <c r="H860" s="1358"/>
      <c r="I860" s="1358"/>
    </row>
    <row r="861" spans="8:9">
      <c r="H861" s="1358"/>
      <c r="I861" s="1358"/>
    </row>
    <row r="862" spans="8:9">
      <c r="H862" s="1358"/>
      <c r="I862" s="1358"/>
    </row>
    <row r="863" spans="8:9">
      <c r="H863" s="1358"/>
      <c r="I863" s="1358"/>
    </row>
    <row r="864" spans="8:9">
      <c r="H864" s="1358"/>
      <c r="I864" s="1358"/>
    </row>
    <row r="865" spans="8:9">
      <c r="H865" s="1358"/>
      <c r="I865" s="1358"/>
    </row>
    <row r="866" spans="8:9">
      <c r="H866" s="1358"/>
      <c r="I866" s="1358"/>
    </row>
    <row r="867" spans="8:9">
      <c r="H867" s="1358"/>
      <c r="I867" s="1358"/>
    </row>
    <row r="868" spans="8:9">
      <c r="H868" s="1358"/>
      <c r="I868" s="1358"/>
    </row>
    <row r="869" spans="8:9">
      <c r="H869" s="1358"/>
      <c r="I869" s="1358"/>
    </row>
    <row r="870" spans="8:9">
      <c r="H870" s="1358"/>
      <c r="I870" s="1358"/>
    </row>
    <row r="871" spans="8:9">
      <c r="H871" s="1358"/>
      <c r="I871" s="1358"/>
    </row>
    <row r="872" spans="8:9">
      <c r="H872" s="1358"/>
      <c r="I872" s="1358"/>
    </row>
    <row r="873" spans="8:9">
      <c r="H873" s="1358"/>
      <c r="I873" s="1358"/>
    </row>
    <row r="874" spans="8:9">
      <c r="H874" s="1358"/>
      <c r="I874" s="1358"/>
    </row>
    <row r="875" spans="8:9">
      <c r="H875" s="1358"/>
      <c r="I875" s="1358"/>
    </row>
    <row r="876" spans="8:9">
      <c r="H876" s="1358"/>
      <c r="I876" s="1358"/>
    </row>
    <row r="877" spans="8:9">
      <c r="H877" s="1358"/>
      <c r="I877" s="1358"/>
    </row>
    <row r="878" spans="8:9">
      <c r="H878" s="1358"/>
      <c r="I878" s="1358"/>
    </row>
    <row r="879" spans="8:9">
      <c r="H879" s="1358"/>
      <c r="I879" s="1358"/>
    </row>
    <row r="880" spans="8:9">
      <c r="H880" s="1358"/>
      <c r="I880" s="1358"/>
    </row>
    <row r="881" spans="8:9">
      <c r="H881" s="1358"/>
      <c r="I881" s="1358"/>
    </row>
    <row r="882" spans="8:9">
      <c r="H882" s="1358"/>
      <c r="I882" s="1358"/>
    </row>
    <row r="883" spans="8:9">
      <c r="H883" s="1358"/>
      <c r="I883" s="1358"/>
    </row>
    <row r="884" spans="8:9">
      <c r="H884" s="1358"/>
      <c r="I884" s="1358"/>
    </row>
    <row r="885" spans="8:9">
      <c r="H885" s="1358"/>
      <c r="I885" s="1358"/>
    </row>
    <row r="886" spans="8:9">
      <c r="H886" s="1358"/>
      <c r="I886" s="1358"/>
    </row>
    <row r="887" spans="8:9">
      <c r="H887" s="1358"/>
      <c r="I887" s="1358"/>
    </row>
    <row r="888" spans="8:9">
      <c r="H888" s="1358"/>
      <c r="I888" s="1358"/>
    </row>
    <row r="889" spans="8:9">
      <c r="H889" s="1358"/>
      <c r="I889" s="1358"/>
    </row>
    <row r="890" spans="8:9">
      <c r="H890" s="1358"/>
      <c r="I890" s="1358"/>
    </row>
    <row r="891" spans="8:9">
      <c r="H891" s="1358"/>
      <c r="I891" s="1358"/>
    </row>
    <row r="892" spans="8:9">
      <c r="H892" s="1358"/>
      <c r="I892" s="1358"/>
    </row>
    <row r="893" spans="8:9">
      <c r="H893" s="1358"/>
      <c r="I893" s="1358"/>
    </row>
    <row r="894" spans="8:9">
      <c r="H894" s="1358"/>
      <c r="I894" s="1358"/>
    </row>
    <row r="895" spans="8:9">
      <c r="H895" s="1358"/>
      <c r="I895" s="1358"/>
    </row>
    <row r="896" spans="8:9">
      <c r="H896" s="1358"/>
      <c r="I896" s="1358"/>
    </row>
    <row r="897" spans="8:9">
      <c r="H897" s="1358"/>
      <c r="I897" s="1358"/>
    </row>
    <row r="898" spans="8:9">
      <c r="H898" s="1358"/>
      <c r="I898" s="1358"/>
    </row>
    <row r="899" spans="8:9">
      <c r="H899" s="1358"/>
      <c r="I899" s="1358"/>
    </row>
    <row r="900" spans="8:9">
      <c r="H900" s="1358"/>
      <c r="I900" s="1358"/>
    </row>
    <row r="901" spans="8:9">
      <c r="H901" s="1358"/>
      <c r="I901" s="1358"/>
    </row>
    <row r="902" spans="8:9">
      <c r="H902" s="1358"/>
      <c r="I902" s="1358"/>
    </row>
    <row r="903" spans="8:9">
      <c r="H903" s="1358"/>
      <c r="I903" s="1358"/>
    </row>
    <row r="904" spans="8:9">
      <c r="H904" s="1358"/>
      <c r="I904" s="1358"/>
    </row>
    <row r="905" spans="8:9">
      <c r="H905" s="1358"/>
      <c r="I905" s="1358"/>
    </row>
    <row r="906" spans="8:9">
      <c r="H906" s="1358"/>
      <c r="I906" s="1358"/>
    </row>
    <row r="907" spans="8:9">
      <c r="H907" s="1358"/>
      <c r="I907" s="1358"/>
    </row>
    <row r="908" spans="8:9">
      <c r="H908" s="1358"/>
      <c r="I908" s="1358"/>
    </row>
    <row r="909" spans="8:9">
      <c r="H909" s="1358"/>
      <c r="I909" s="1358"/>
    </row>
    <row r="910" spans="8:9">
      <c r="H910" s="1358"/>
      <c r="I910" s="1358"/>
    </row>
    <row r="911" spans="8:9">
      <c r="H911" s="1358"/>
      <c r="I911" s="1358"/>
    </row>
    <row r="912" spans="8:9">
      <c r="H912" s="1358"/>
      <c r="I912" s="1358"/>
    </row>
    <row r="913" spans="8:9">
      <c r="H913" s="1358"/>
      <c r="I913" s="1358"/>
    </row>
    <row r="914" spans="8:9">
      <c r="H914" s="1358"/>
      <c r="I914" s="1358"/>
    </row>
    <row r="915" spans="8:9">
      <c r="H915" s="1358"/>
      <c r="I915" s="1358"/>
    </row>
    <row r="916" spans="8:9">
      <c r="H916" s="1358"/>
      <c r="I916" s="1358"/>
    </row>
    <row r="917" spans="8:9">
      <c r="H917" s="1358"/>
      <c r="I917" s="1358"/>
    </row>
    <row r="918" spans="8:9">
      <c r="H918" s="1358"/>
      <c r="I918" s="1358"/>
    </row>
    <row r="919" spans="8:9">
      <c r="H919" s="1358"/>
      <c r="I919" s="1358"/>
    </row>
    <row r="920" spans="8:9">
      <c r="H920" s="1358"/>
      <c r="I920" s="1358"/>
    </row>
    <row r="921" spans="8:9">
      <c r="H921" s="1358"/>
      <c r="I921" s="1358"/>
    </row>
    <row r="922" spans="8:9">
      <c r="H922" s="1358"/>
      <c r="I922" s="1358"/>
    </row>
    <row r="923" spans="8:9">
      <c r="H923" s="1358"/>
      <c r="I923" s="1358"/>
    </row>
    <row r="924" spans="8:9">
      <c r="H924" s="1358"/>
      <c r="I924" s="1358"/>
    </row>
    <row r="925" spans="8:9">
      <c r="H925" s="1358"/>
      <c r="I925" s="1358"/>
    </row>
    <row r="926" spans="8:9">
      <c r="H926" s="1358"/>
      <c r="I926" s="1358"/>
    </row>
    <row r="927" spans="8:9">
      <c r="H927" s="1358"/>
      <c r="I927" s="1358"/>
    </row>
    <row r="928" spans="8:9">
      <c r="H928" s="1358"/>
      <c r="I928" s="1358"/>
    </row>
    <row r="929" spans="8:9">
      <c r="H929" s="1358"/>
      <c r="I929" s="1358"/>
    </row>
    <row r="930" spans="8:9">
      <c r="H930" s="1358"/>
      <c r="I930" s="1358"/>
    </row>
    <row r="931" spans="8:9">
      <c r="H931" s="1358"/>
      <c r="I931" s="1358"/>
    </row>
    <row r="932" spans="8:9">
      <c r="H932" s="1358"/>
      <c r="I932" s="1358"/>
    </row>
    <row r="933" spans="8:9">
      <c r="H933" s="1358"/>
      <c r="I933" s="1358"/>
    </row>
    <row r="934" spans="8:9">
      <c r="H934" s="1358"/>
      <c r="I934" s="1358"/>
    </row>
    <row r="935" spans="8:9">
      <c r="H935" s="1358"/>
      <c r="I935" s="1358"/>
    </row>
    <row r="936" spans="8:9">
      <c r="H936" s="1358"/>
      <c r="I936" s="1358"/>
    </row>
    <row r="937" spans="8:9">
      <c r="H937" s="1358"/>
      <c r="I937" s="1358"/>
    </row>
    <row r="938" spans="8:9">
      <c r="H938" s="1358"/>
      <c r="I938" s="1358"/>
    </row>
    <row r="939" spans="8:9">
      <c r="H939" s="1358"/>
      <c r="I939" s="1358"/>
    </row>
    <row r="940" spans="8:9">
      <c r="H940" s="1358"/>
      <c r="I940" s="1358"/>
    </row>
    <row r="941" spans="8:9">
      <c r="H941" s="1358"/>
      <c r="I941" s="1358"/>
    </row>
    <row r="942" spans="8:9">
      <c r="H942" s="1358"/>
      <c r="I942" s="1358"/>
    </row>
    <row r="943" spans="8:9">
      <c r="H943" s="1358"/>
      <c r="I943" s="1358"/>
    </row>
    <row r="944" spans="8:9">
      <c r="H944" s="1358"/>
      <c r="I944" s="1358"/>
    </row>
    <row r="945" spans="8:9">
      <c r="H945" s="1358"/>
      <c r="I945" s="1358"/>
    </row>
    <row r="946" spans="8:9">
      <c r="H946" s="1358"/>
      <c r="I946" s="1358"/>
    </row>
    <row r="947" spans="8:9">
      <c r="H947" s="1358"/>
      <c r="I947" s="1358"/>
    </row>
    <row r="948" spans="8:9">
      <c r="H948" s="1358"/>
      <c r="I948" s="1358"/>
    </row>
    <row r="949" spans="8:9">
      <c r="H949" s="1358"/>
      <c r="I949" s="1358"/>
    </row>
    <row r="950" spans="8:9">
      <c r="H950" s="1358"/>
      <c r="I950" s="1358"/>
    </row>
    <row r="951" spans="8:9">
      <c r="H951" s="1358"/>
      <c r="I951" s="1358"/>
    </row>
    <row r="952" spans="8:9">
      <c r="H952" s="1358"/>
      <c r="I952" s="1358"/>
    </row>
    <row r="953" spans="8:9">
      <c r="H953" s="1358"/>
      <c r="I953" s="1358"/>
    </row>
    <row r="954" spans="8:9">
      <c r="H954" s="1358"/>
      <c r="I954" s="1358"/>
    </row>
    <row r="955" spans="8:9">
      <c r="H955" s="1358"/>
      <c r="I955" s="1358"/>
    </row>
    <row r="956" spans="8:9">
      <c r="H956" s="1358"/>
      <c r="I956" s="1358"/>
    </row>
    <row r="957" spans="8:9">
      <c r="H957" s="1358"/>
      <c r="I957" s="1358"/>
    </row>
    <row r="958" spans="8:9">
      <c r="H958" s="1358"/>
      <c r="I958" s="1358"/>
    </row>
    <row r="959" spans="8:9">
      <c r="H959" s="1358"/>
      <c r="I959" s="1358"/>
    </row>
    <row r="960" spans="8:9">
      <c r="H960" s="1358"/>
      <c r="I960" s="1358"/>
    </row>
    <row r="961" spans="8:9">
      <c r="H961" s="1358"/>
      <c r="I961" s="1358"/>
    </row>
    <row r="962" spans="8:9">
      <c r="H962" s="1358"/>
      <c r="I962" s="1358"/>
    </row>
    <row r="963" spans="8:9">
      <c r="H963" s="1358"/>
      <c r="I963" s="1358"/>
    </row>
    <row r="964" spans="8:9">
      <c r="H964" s="1358"/>
      <c r="I964" s="1358"/>
    </row>
    <row r="965" spans="8:9">
      <c r="H965" s="1358"/>
      <c r="I965" s="1358"/>
    </row>
    <row r="966" spans="8:9">
      <c r="H966" s="1358"/>
      <c r="I966" s="1358"/>
    </row>
    <row r="967" spans="8:9">
      <c r="H967" s="1358"/>
      <c r="I967" s="1358"/>
    </row>
    <row r="968" spans="8:9">
      <c r="H968" s="1358"/>
      <c r="I968" s="1358"/>
    </row>
    <row r="969" spans="8:9">
      <c r="H969" s="1358"/>
      <c r="I969" s="1358"/>
    </row>
    <row r="970" spans="8:9">
      <c r="H970" s="1358"/>
      <c r="I970" s="1358"/>
    </row>
    <row r="971" spans="8:9">
      <c r="H971" s="1358"/>
      <c r="I971" s="1358"/>
    </row>
    <row r="972" spans="8:9">
      <c r="H972" s="1358"/>
      <c r="I972" s="1358"/>
    </row>
    <row r="973" spans="8:9">
      <c r="H973" s="1358"/>
      <c r="I973" s="1358"/>
    </row>
    <row r="974" spans="8:9">
      <c r="H974" s="1358"/>
      <c r="I974" s="1358"/>
    </row>
    <row r="975" spans="8:9">
      <c r="H975" s="1358"/>
      <c r="I975" s="1358"/>
    </row>
    <row r="976" spans="8:9">
      <c r="H976" s="1358"/>
      <c r="I976" s="1358"/>
    </row>
    <row r="977" spans="8:9">
      <c r="H977" s="1358"/>
      <c r="I977" s="1358"/>
    </row>
    <row r="978" spans="8:9">
      <c r="H978" s="1358"/>
      <c r="I978" s="1358"/>
    </row>
    <row r="979" spans="8:9">
      <c r="H979" s="1358"/>
      <c r="I979" s="1358"/>
    </row>
    <row r="980" spans="8:9">
      <c r="H980" s="1358"/>
      <c r="I980" s="1358"/>
    </row>
    <row r="981" spans="8:9">
      <c r="H981" s="1358"/>
      <c r="I981" s="1358"/>
    </row>
    <row r="982" spans="8:9">
      <c r="H982" s="1358"/>
      <c r="I982" s="1358"/>
    </row>
    <row r="983" spans="8:9">
      <c r="H983" s="1358"/>
      <c r="I983" s="1358"/>
    </row>
    <row r="984" spans="8:9">
      <c r="H984" s="1358"/>
      <c r="I984" s="1358"/>
    </row>
    <row r="985" spans="8:9">
      <c r="H985" s="1358"/>
      <c r="I985" s="1358"/>
    </row>
    <row r="986" spans="8:9">
      <c r="H986" s="1358"/>
      <c r="I986" s="1358"/>
    </row>
    <row r="987" spans="8:9">
      <c r="H987" s="1358"/>
      <c r="I987" s="1358"/>
    </row>
    <row r="988" spans="8:9">
      <c r="H988" s="1358"/>
      <c r="I988" s="1358"/>
    </row>
    <row r="989" spans="8:9">
      <c r="H989" s="1358"/>
      <c r="I989" s="1358"/>
    </row>
    <row r="990" spans="8:9">
      <c r="H990" s="1358"/>
      <c r="I990" s="1358"/>
    </row>
    <row r="991" spans="8:9">
      <c r="H991" s="1358"/>
      <c r="I991" s="1358"/>
    </row>
    <row r="992" spans="8:9">
      <c r="H992" s="1358"/>
      <c r="I992" s="1358"/>
    </row>
    <row r="993" spans="8:9">
      <c r="H993" s="1358"/>
      <c r="I993" s="1358"/>
    </row>
    <row r="994" spans="8:9">
      <c r="H994" s="1358"/>
      <c r="I994" s="1358"/>
    </row>
    <row r="995" spans="8:9">
      <c r="H995" s="1358"/>
      <c r="I995" s="1358"/>
    </row>
    <row r="996" spans="8:9">
      <c r="H996" s="1358"/>
      <c r="I996" s="1358"/>
    </row>
    <row r="997" spans="8:9">
      <c r="H997" s="1358"/>
      <c r="I997" s="1358"/>
    </row>
    <row r="998" spans="8:9">
      <c r="H998" s="1358"/>
      <c r="I998" s="1358"/>
    </row>
    <row r="999" spans="8:9">
      <c r="H999" s="1358"/>
      <c r="I999" s="1358"/>
    </row>
    <row r="1000" spans="8:9">
      <c r="H1000" s="1358"/>
      <c r="I1000" s="1358"/>
    </row>
    <row r="1001" spans="8:9">
      <c r="H1001" s="1358"/>
      <c r="I1001" s="1358"/>
    </row>
    <row r="1002" spans="8:9">
      <c r="H1002" s="1358"/>
      <c r="I1002" s="1358"/>
    </row>
    <row r="1003" spans="8:9">
      <c r="H1003" s="1358"/>
      <c r="I1003" s="1358"/>
    </row>
    <row r="1004" spans="8:9">
      <c r="H1004" s="1358"/>
      <c r="I1004" s="1358"/>
    </row>
    <row r="1005" spans="8:9">
      <c r="H1005" s="1358"/>
      <c r="I1005" s="1358"/>
    </row>
    <row r="1006" spans="8:9">
      <c r="H1006" s="1358"/>
      <c r="I1006" s="1358"/>
    </row>
    <row r="1007" spans="8:9">
      <c r="H1007" s="1358"/>
      <c r="I1007" s="1358"/>
    </row>
    <row r="1008" spans="8:9">
      <c r="H1008" s="1358"/>
      <c r="I1008" s="1358"/>
    </row>
    <row r="1009" spans="8:9">
      <c r="H1009" s="1358"/>
      <c r="I1009" s="1358"/>
    </row>
    <row r="1010" spans="8:9">
      <c r="H1010" s="1358"/>
      <c r="I1010" s="1358"/>
    </row>
    <row r="1011" spans="8:9">
      <c r="H1011" s="1358"/>
      <c r="I1011" s="1358"/>
    </row>
    <row r="1012" spans="8:9">
      <c r="H1012" s="1358"/>
      <c r="I1012" s="1358"/>
    </row>
    <row r="1013" spans="8:9">
      <c r="H1013" s="1358"/>
      <c r="I1013" s="1358"/>
    </row>
    <row r="1014" spans="8:9">
      <c r="H1014" s="1358"/>
      <c r="I1014" s="1358"/>
    </row>
    <row r="1015" spans="8:9">
      <c r="H1015" s="1358"/>
      <c r="I1015" s="1358"/>
    </row>
    <row r="1016" spans="8:9">
      <c r="H1016" s="1358"/>
      <c r="I1016" s="1358"/>
    </row>
    <row r="1017" spans="8:9">
      <c r="H1017" s="1358"/>
      <c r="I1017" s="1358"/>
    </row>
    <row r="1018" spans="8:9">
      <c r="H1018" s="1358"/>
      <c r="I1018" s="1358"/>
    </row>
    <row r="1019" spans="8:9">
      <c r="H1019" s="1358"/>
      <c r="I1019" s="1358"/>
    </row>
    <row r="1020" spans="8:9">
      <c r="H1020" s="1358"/>
      <c r="I1020" s="1358"/>
    </row>
    <row r="1021" spans="8:9">
      <c r="H1021" s="1358"/>
      <c r="I1021" s="1358"/>
    </row>
    <row r="1022" spans="8:9">
      <c r="H1022" s="1358"/>
      <c r="I1022" s="1358"/>
    </row>
    <row r="1023" spans="8:9">
      <c r="H1023" s="1358"/>
      <c r="I1023" s="1358"/>
    </row>
    <row r="1024" spans="8:9">
      <c r="H1024" s="1358"/>
      <c r="I1024" s="1358"/>
    </row>
    <row r="1025" spans="8:9">
      <c r="H1025" s="1358"/>
      <c r="I1025" s="1358"/>
    </row>
    <row r="1026" spans="8:9">
      <c r="H1026" s="1358"/>
      <c r="I1026" s="1358"/>
    </row>
    <row r="1027" spans="8:9">
      <c r="H1027" s="1358"/>
      <c r="I1027" s="1358"/>
    </row>
    <row r="1028" spans="8:9">
      <c r="H1028" s="1358"/>
      <c r="I1028" s="1358"/>
    </row>
    <row r="1029" spans="8:9">
      <c r="H1029" s="1358"/>
      <c r="I1029" s="1358"/>
    </row>
    <row r="1030" spans="8:9">
      <c r="H1030" s="1358"/>
      <c r="I1030" s="1358"/>
    </row>
    <row r="1031" spans="8:9">
      <c r="H1031" s="1358"/>
      <c r="I1031" s="1358"/>
    </row>
    <row r="1032" spans="8:9">
      <c r="H1032" s="1358"/>
      <c r="I1032" s="1358"/>
    </row>
    <row r="1033" spans="8:9">
      <c r="H1033" s="1358"/>
      <c r="I1033" s="1358"/>
    </row>
    <row r="1034" spans="8:9">
      <c r="H1034" s="1358"/>
      <c r="I1034" s="1358"/>
    </row>
    <row r="1035" spans="8:9">
      <c r="H1035" s="1358"/>
      <c r="I1035" s="1358"/>
    </row>
    <row r="1036" spans="8:9">
      <c r="H1036" s="1358"/>
      <c r="I1036" s="1358"/>
    </row>
    <row r="1037" spans="8:9">
      <c r="H1037" s="1358"/>
      <c r="I1037" s="1358"/>
    </row>
    <row r="1038" spans="8:9">
      <c r="H1038" s="1358"/>
      <c r="I1038" s="1358"/>
    </row>
    <row r="1039" spans="8:9">
      <c r="H1039" s="1358"/>
      <c r="I1039" s="1358"/>
    </row>
    <row r="1040" spans="8:9">
      <c r="H1040" s="1358"/>
      <c r="I1040" s="1358"/>
    </row>
    <row r="1041" spans="8:9">
      <c r="H1041" s="1358"/>
      <c r="I1041" s="1358"/>
    </row>
    <row r="1042" spans="8:9">
      <c r="H1042" s="1358"/>
      <c r="I1042" s="1358"/>
    </row>
    <row r="1043" spans="8:9">
      <c r="H1043" s="1358"/>
      <c r="I1043" s="1358"/>
    </row>
    <row r="1044" spans="8:9">
      <c r="H1044" s="1358"/>
      <c r="I1044" s="1358"/>
    </row>
    <row r="1045" spans="8:9">
      <c r="H1045" s="1358"/>
      <c r="I1045" s="1358"/>
    </row>
    <row r="1046" spans="8:9">
      <c r="H1046" s="1358"/>
      <c r="I1046" s="1358"/>
    </row>
    <row r="1047" spans="8:9">
      <c r="H1047" s="1358"/>
      <c r="I1047" s="1358"/>
    </row>
    <row r="1048" spans="8:9">
      <c r="H1048" s="1358"/>
      <c r="I1048" s="1358"/>
    </row>
    <row r="1049" spans="8:9">
      <c r="H1049" s="1358"/>
      <c r="I1049" s="1358"/>
    </row>
    <row r="1050" spans="8:9">
      <c r="H1050" s="1358"/>
      <c r="I1050" s="1358"/>
    </row>
    <row r="1051" spans="8:9">
      <c r="H1051" s="1358"/>
      <c r="I1051" s="1358"/>
    </row>
    <row r="1052" spans="8:9">
      <c r="H1052" s="1358"/>
      <c r="I1052" s="1358"/>
    </row>
    <row r="1053" spans="8:9">
      <c r="H1053" s="1358"/>
      <c r="I1053" s="1358"/>
    </row>
    <row r="1054" spans="8:9">
      <c r="H1054" s="1358"/>
      <c r="I1054" s="1358"/>
    </row>
    <row r="1055" spans="8:9">
      <c r="H1055" s="1358"/>
      <c r="I1055" s="1358"/>
    </row>
    <row r="1056" spans="8:9">
      <c r="H1056" s="1358"/>
      <c r="I1056" s="1358"/>
    </row>
    <row r="1057" spans="8:9">
      <c r="H1057" s="1358"/>
      <c r="I1057" s="1358"/>
    </row>
    <row r="1058" spans="8:9">
      <c r="H1058" s="1358"/>
      <c r="I1058" s="1358"/>
    </row>
    <row r="1059" spans="8:9">
      <c r="H1059" s="1358"/>
      <c r="I1059" s="1358"/>
    </row>
    <row r="1060" spans="8:9">
      <c r="H1060" s="1358"/>
      <c r="I1060" s="1358"/>
    </row>
    <row r="1061" spans="8:9">
      <c r="H1061" s="1358"/>
      <c r="I1061" s="1358"/>
    </row>
    <row r="1062" spans="8:9">
      <c r="H1062" s="1358"/>
      <c r="I1062" s="1358"/>
    </row>
    <row r="1063" spans="8:9">
      <c r="H1063" s="1358"/>
      <c r="I1063" s="1358"/>
    </row>
    <row r="1064" spans="8:9">
      <c r="H1064" s="1358"/>
      <c r="I1064" s="1358"/>
    </row>
    <row r="1065" spans="8:9">
      <c r="H1065" s="1358"/>
      <c r="I1065" s="1358"/>
    </row>
    <row r="1066" spans="8:9">
      <c r="H1066" s="1358"/>
      <c r="I1066" s="1358"/>
    </row>
    <row r="1067" spans="8:9">
      <c r="H1067" s="1358"/>
      <c r="I1067" s="1358"/>
    </row>
    <row r="1068" spans="8:9">
      <c r="H1068" s="1358"/>
      <c r="I1068" s="1358"/>
    </row>
    <row r="1069" spans="8:9">
      <c r="H1069" s="1358"/>
      <c r="I1069" s="1358"/>
    </row>
    <row r="1070" spans="8:9">
      <c r="H1070" s="1358"/>
      <c r="I1070" s="1358"/>
    </row>
    <row r="1071" spans="8:9">
      <c r="H1071" s="1358"/>
      <c r="I1071" s="1358"/>
    </row>
    <row r="1072" spans="8:9">
      <c r="H1072" s="1358"/>
      <c r="I1072" s="1358"/>
    </row>
    <row r="1073" spans="8:9">
      <c r="H1073" s="1358"/>
      <c r="I1073" s="1358"/>
    </row>
    <row r="1074" spans="8:9">
      <c r="H1074" s="1358"/>
      <c r="I1074" s="1358"/>
    </row>
    <row r="1075" spans="8:9">
      <c r="H1075" s="1358"/>
      <c r="I1075" s="1358"/>
    </row>
    <row r="1076" spans="8:9">
      <c r="H1076" s="1358"/>
      <c r="I1076" s="1358"/>
    </row>
    <row r="1077" spans="8:9">
      <c r="H1077" s="1358"/>
      <c r="I1077" s="1358"/>
    </row>
    <row r="1078" spans="8:9">
      <c r="H1078" s="1358"/>
      <c r="I1078" s="1358"/>
    </row>
    <row r="1079" spans="8:9">
      <c r="H1079" s="1358"/>
      <c r="I1079" s="1358"/>
    </row>
    <row r="1080" spans="8:9">
      <c r="H1080" s="1358"/>
      <c r="I1080" s="1358"/>
    </row>
    <row r="1081" spans="8:9">
      <c r="H1081" s="1358"/>
      <c r="I1081" s="1358"/>
    </row>
    <row r="1082" spans="8:9">
      <c r="H1082" s="1358"/>
      <c r="I1082" s="1358"/>
    </row>
    <row r="1083" spans="8:9">
      <c r="H1083" s="1358"/>
      <c r="I1083" s="1358"/>
    </row>
    <row r="1084" spans="8:9">
      <c r="H1084" s="1358"/>
      <c r="I1084" s="1358"/>
    </row>
    <row r="1085" spans="8:9">
      <c r="H1085" s="1358"/>
      <c r="I1085" s="1358"/>
    </row>
    <row r="1086" spans="8:9">
      <c r="H1086" s="1358"/>
      <c r="I1086" s="1358"/>
    </row>
    <row r="1087" spans="8:9">
      <c r="H1087" s="1358"/>
      <c r="I1087" s="1358"/>
    </row>
    <row r="1088" spans="8:9">
      <c r="H1088" s="1358"/>
      <c r="I1088" s="1358"/>
    </row>
    <row r="1089" spans="8:9">
      <c r="H1089" s="1358"/>
      <c r="I1089" s="1358"/>
    </row>
    <row r="1090" spans="8:9">
      <c r="H1090" s="1358"/>
      <c r="I1090" s="1358"/>
    </row>
    <row r="1091" spans="8:9">
      <c r="H1091" s="1358"/>
      <c r="I1091" s="1358"/>
    </row>
    <row r="1092" spans="8:9">
      <c r="H1092" s="1358"/>
      <c r="I1092" s="1358"/>
    </row>
    <row r="1093" spans="8:9">
      <c r="H1093" s="1358"/>
      <c r="I1093" s="1358"/>
    </row>
    <row r="1094" spans="8:9">
      <c r="H1094" s="1358"/>
      <c r="I1094" s="1358"/>
    </row>
    <row r="1095" spans="8:9">
      <c r="H1095" s="1358"/>
      <c r="I1095" s="1358"/>
    </row>
    <row r="1096" spans="8:9">
      <c r="H1096" s="1358"/>
      <c r="I1096" s="1358"/>
    </row>
    <row r="1097" spans="8:9">
      <c r="H1097" s="1358"/>
      <c r="I1097" s="1358"/>
    </row>
    <row r="1098" spans="8:9">
      <c r="H1098" s="1358"/>
      <c r="I1098" s="1358"/>
    </row>
    <row r="1099" spans="8:9">
      <c r="H1099" s="1358"/>
      <c r="I1099" s="1358"/>
    </row>
    <row r="1100" spans="8:9">
      <c r="H1100" s="1358"/>
      <c r="I1100" s="1358"/>
    </row>
    <row r="1101" spans="8:9">
      <c r="H1101" s="1358"/>
      <c r="I1101" s="1358"/>
    </row>
    <row r="1102" spans="8:9">
      <c r="H1102" s="1358"/>
      <c r="I1102" s="1358"/>
    </row>
    <row r="1103" spans="8:9">
      <c r="H1103" s="1358"/>
      <c r="I1103" s="1358"/>
    </row>
    <row r="1104" spans="8:9">
      <c r="H1104" s="1358"/>
      <c r="I1104" s="1358"/>
    </row>
    <row r="1105" spans="8:9">
      <c r="H1105" s="1358"/>
      <c r="I1105" s="1358"/>
    </row>
    <row r="1106" spans="8:9">
      <c r="H1106" s="1358"/>
      <c r="I1106" s="1358"/>
    </row>
    <row r="1107" spans="8:9">
      <c r="H1107" s="1358"/>
      <c r="I1107" s="1358"/>
    </row>
    <row r="1108" spans="8:9">
      <c r="H1108" s="1358"/>
      <c r="I1108" s="1358"/>
    </row>
    <row r="1109" spans="8:9">
      <c r="H1109" s="1358"/>
      <c r="I1109" s="1358"/>
    </row>
    <row r="1110" spans="8:9">
      <c r="H1110" s="1358"/>
      <c r="I1110" s="1358"/>
    </row>
    <row r="1111" spans="8:9">
      <c r="H1111" s="1358"/>
      <c r="I1111" s="1358"/>
    </row>
    <row r="1112" spans="8:9">
      <c r="H1112" s="1358"/>
      <c r="I1112" s="1358"/>
    </row>
    <row r="1113" spans="8:9">
      <c r="H1113" s="1358"/>
      <c r="I1113" s="1358"/>
    </row>
    <row r="1114" spans="8:9">
      <c r="H1114" s="1358"/>
      <c r="I1114" s="1358"/>
    </row>
    <row r="1115" spans="8:9">
      <c r="H1115" s="1358"/>
      <c r="I1115" s="1358"/>
    </row>
    <row r="1116" spans="8:9">
      <c r="H1116" s="1358"/>
      <c r="I1116" s="1358"/>
    </row>
    <row r="1117" spans="8:9">
      <c r="H1117" s="1358"/>
      <c r="I1117" s="1358"/>
    </row>
    <row r="1118" spans="8:9">
      <c r="H1118" s="1358"/>
      <c r="I1118" s="1358"/>
    </row>
    <row r="1119" spans="8:9">
      <c r="H1119" s="1358"/>
      <c r="I1119" s="1358"/>
    </row>
    <row r="1120" spans="8:9">
      <c r="H1120" s="1358"/>
      <c r="I1120" s="1358"/>
    </row>
    <row r="1121" spans="8:9">
      <c r="H1121" s="1358"/>
      <c r="I1121" s="1358"/>
    </row>
    <row r="1122" spans="8:9">
      <c r="H1122" s="1358"/>
      <c r="I1122" s="1358"/>
    </row>
    <row r="1123" spans="8:9">
      <c r="H1123" s="1358"/>
      <c r="I1123" s="1358"/>
    </row>
    <row r="1124" spans="8:9">
      <c r="H1124" s="1358"/>
      <c r="I1124" s="1358"/>
    </row>
    <row r="1125" spans="8:9">
      <c r="H1125" s="1358"/>
      <c r="I1125" s="1358"/>
    </row>
    <row r="1126" spans="8:9">
      <c r="H1126" s="1358"/>
      <c r="I1126" s="1358"/>
    </row>
    <row r="1127" spans="8:9">
      <c r="H1127" s="1358"/>
      <c r="I1127" s="1358"/>
    </row>
    <row r="1128" spans="8:9">
      <c r="H1128" s="1358"/>
      <c r="I1128" s="1358"/>
    </row>
    <row r="1129" spans="8:9">
      <c r="H1129" s="1358"/>
      <c r="I1129" s="1358"/>
    </row>
    <row r="1130" spans="8:9">
      <c r="H1130" s="1358"/>
      <c r="I1130" s="1358"/>
    </row>
    <row r="1131" spans="8:9">
      <c r="H1131" s="1358"/>
      <c r="I1131" s="1358"/>
    </row>
    <row r="1132" spans="8:9">
      <c r="H1132" s="1358"/>
      <c r="I1132" s="1358"/>
    </row>
    <row r="1133" spans="8:9">
      <c r="H1133" s="1358"/>
      <c r="I1133" s="1358"/>
    </row>
    <row r="1134" spans="8:9">
      <c r="H1134" s="1358"/>
      <c r="I1134" s="1358"/>
    </row>
    <row r="1135" spans="8:9">
      <c r="H1135" s="1358"/>
      <c r="I1135" s="1358"/>
    </row>
    <row r="1136" spans="8:9">
      <c r="H1136" s="1358"/>
      <c r="I1136" s="1358"/>
    </row>
    <row r="1137" spans="8:9">
      <c r="H1137" s="1358"/>
      <c r="I1137" s="1358"/>
    </row>
    <row r="1138" spans="8:9">
      <c r="H1138" s="1358"/>
      <c r="I1138" s="1358"/>
    </row>
    <row r="1139" spans="8:9">
      <c r="H1139" s="1358"/>
      <c r="I1139" s="1358"/>
    </row>
    <row r="1140" spans="8:9">
      <c r="H1140" s="1358"/>
      <c r="I1140" s="1358"/>
    </row>
    <row r="1141" spans="8:9">
      <c r="H1141" s="1358"/>
      <c r="I1141" s="1358"/>
    </row>
    <row r="1142" spans="8:9">
      <c r="H1142" s="1358"/>
      <c r="I1142" s="1358"/>
    </row>
    <row r="1143" spans="8:9">
      <c r="H1143" s="1358"/>
      <c r="I1143" s="1358"/>
    </row>
    <row r="1144" spans="8:9">
      <c r="H1144" s="1358"/>
      <c r="I1144" s="1358"/>
    </row>
    <row r="1145" spans="8:9">
      <c r="H1145" s="1358"/>
      <c r="I1145" s="1358"/>
    </row>
    <row r="1146" spans="8:9">
      <c r="H1146" s="1358"/>
      <c r="I1146" s="1358"/>
    </row>
    <row r="1147" spans="8:9">
      <c r="H1147" s="1358"/>
      <c r="I1147" s="1358"/>
    </row>
    <row r="1148" spans="8:9">
      <c r="H1148" s="1358"/>
      <c r="I1148" s="1358"/>
    </row>
    <row r="1149" spans="8:9">
      <c r="H1149" s="1358"/>
      <c r="I1149" s="1358"/>
    </row>
    <row r="1150" spans="8:9">
      <c r="H1150" s="1358"/>
      <c r="I1150" s="1358"/>
    </row>
    <row r="1151" spans="8:9">
      <c r="H1151" s="1358"/>
      <c r="I1151" s="1358"/>
    </row>
    <row r="1152" spans="8:9">
      <c r="H1152" s="1358"/>
      <c r="I1152" s="1358"/>
    </row>
    <row r="1153" spans="8:9">
      <c r="H1153" s="1358"/>
      <c r="I1153" s="1358"/>
    </row>
    <row r="1154" spans="8:9">
      <c r="H1154" s="1358"/>
      <c r="I1154" s="1358"/>
    </row>
    <row r="1155" spans="8:9">
      <c r="H1155" s="1358"/>
      <c r="I1155" s="1358"/>
    </row>
    <row r="1156" spans="8:9">
      <c r="H1156" s="1358"/>
      <c r="I1156" s="1358"/>
    </row>
    <row r="1157" spans="8:9">
      <c r="H1157" s="1358"/>
      <c r="I1157" s="1358"/>
    </row>
    <row r="1158" spans="8:9">
      <c r="H1158" s="1358"/>
      <c r="I1158" s="1358"/>
    </row>
    <row r="1159" spans="8:9">
      <c r="H1159" s="1358"/>
      <c r="I1159" s="1358"/>
    </row>
    <row r="1160" spans="8:9">
      <c r="H1160" s="1358"/>
      <c r="I1160" s="1358"/>
    </row>
    <row r="1161" spans="8:9">
      <c r="H1161" s="1358"/>
      <c r="I1161" s="1358"/>
    </row>
    <row r="1162" spans="8:9">
      <c r="H1162" s="1358"/>
      <c r="I1162" s="1358"/>
    </row>
    <row r="1163" spans="8:9">
      <c r="H1163" s="1358"/>
      <c r="I1163" s="1358"/>
    </row>
    <row r="1164" spans="8:9">
      <c r="H1164" s="1358"/>
      <c r="I1164" s="1358"/>
    </row>
    <row r="1165" spans="8:9">
      <c r="H1165" s="1358"/>
      <c r="I1165" s="1358"/>
    </row>
    <row r="1166" spans="8:9">
      <c r="H1166" s="1358"/>
      <c r="I1166" s="1358"/>
    </row>
    <row r="1167" spans="8:9">
      <c r="H1167" s="1358"/>
      <c r="I1167" s="1358"/>
    </row>
    <row r="1168" spans="8:9">
      <c r="H1168" s="1358"/>
      <c r="I1168" s="1358"/>
    </row>
    <row r="1169" spans="8:9">
      <c r="H1169" s="1358"/>
      <c r="I1169" s="1358"/>
    </row>
    <row r="1170" spans="8:9">
      <c r="H1170" s="1358"/>
      <c r="I1170" s="1358"/>
    </row>
    <row r="1171" spans="8:9">
      <c r="H1171" s="1358"/>
      <c r="I1171" s="1358"/>
    </row>
    <row r="1172" spans="8:9">
      <c r="H1172" s="1358"/>
      <c r="I1172" s="1358"/>
    </row>
    <row r="1173" spans="8:9">
      <c r="H1173" s="1358"/>
      <c r="I1173" s="1358"/>
    </row>
    <row r="1174" spans="8:9">
      <c r="H1174" s="1358"/>
      <c r="I1174" s="1358"/>
    </row>
    <row r="1175" spans="8:9">
      <c r="H1175" s="1358"/>
      <c r="I1175" s="1358"/>
    </row>
    <row r="1176" spans="8:9">
      <c r="H1176" s="1358"/>
      <c r="I1176" s="1358"/>
    </row>
    <row r="1177" spans="8:9">
      <c r="H1177" s="1358"/>
      <c r="I1177" s="1358"/>
    </row>
    <row r="1178" spans="8:9">
      <c r="H1178" s="1358"/>
      <c r="I1178" s="1358"/>
    </row>
    <row r="1179" spans="8:9">
      <c r="H1179" s="1358"/>
      <c r="I1179" s="1358"/>
    </row>
    <row r="1180" spans="8:9">
      <c r="H1180" s="1358"/>
      <c r="I1180" s="1358"/>
    </row>
    <row r="1181" spans="8:9">
      <c r="H1181" s="1358"/>
      <c r="I1181" s="1358"/>
    </row>
    <row r="1182" spans="8:9">
      <c r="H1182" s="1358"/>
      <c r="I1182" s="1358"/>
    </row>
    <row r="1183" spans="8:9">
      <c r="H1183" s="1358"/>
      <c r="I1183" s="1358"/>
    </row>
    <row r="1184" spans="8:9">
      <c r="H1184" s="1358"/>
      <c r="I1184" s="1358"/>
    </row>
    <row r="1185" spans="8:9">
      <c r="H1185" s="1358"/>
      <c r="I1185" s="1358"/>
    </row>
    <row r="1186" spans="8:9">
      <c r="H1186" s="1358"/>
      <c r="I1186" s="1358"/>
    </row>
    <row r="1187" spans="8:9">
      <c r="H1187" s="1358"/>
      <c r="I1187" s="1358"/>
    </row>
    <row r="1188" spans="8:9">
      <c r="H1188" s="1358"/>
      <c r="I1188" s="1358"/>
    </row>
    <row r="1189" spans="8:9">
      <c r="H1189" s="1358"/>
      <c r="I1189" s="1358"/>
    </row>
    <row r="1190" spans="8:9">
      <c r="H1190" s="1358"/>
      <c r="I1190" s="1358"/>
    </row>
    <row r="1191" spans="8:9">
      <c r="H1191" s="1358"/>
      <c r="I1191" s="1358"/>
    </row>
    <row r="1192" spans="8:9">
      <c r="H1192" s="1358"/>
      <c r="I1192" s="1358"/>
    </row>
    <row r="1193" spans="8:9">
      <c r="H1193" s="1358"/>
      <c r="I1193" s="1358"/>
    </row>
    <row r="1194" spans="8:9">
      <c r="H1194" s="1358"/>
      <c r="I1194" s="1358"/>
    </row>
    <row r="1195" spans="8:9">
      <c r="H1195" s="1358"/>
      <c r="I1195" s="1358"/>
    </row>
    <row r="1196" spans="8:9">
      <c r="H1196" s="1358"/>
      <c r="I1196" s="1358"/>
    </row>
    <row r="1197" spans="8:9">
      <c r="H1197" s="1358"/>
      <c r="I1197" s="1358"/>
    </row>
    <row r="1198" spans="8:9">
      <c r="H1198" s="1358"/>
      <c r="I1198" s="1358"/>
    </row>
    <row r="1199" spans="8:9">
      <c r="H1199" s="1358"/>
      <c r="I1199" s="1358"/>
    </row>
    <row r="1200" spans="8:9">
      <c r="H1200" s="1358"/>
      <c r="I1200" s="1358"/>
    </row>
    <row r="1201" spans="8:9">
      <c r="H1201" s="1358"/>
      <c r="I1201" s="1358"/>
    </row>
    <row r="1202" spans="8:9">
      <c r="H1202" s="1358"/>
      <c r="I1202" s="1358"/>
    </row>
    <row r="1203" spans="8:9">
      <c r="H1203" s="1358"/>
      <c r="I1203" s="1358"/>
    </row>
    <row r="1204" spans="8:9">
      <c r="H1204" s="1358"/>
      <c r="I1204" s="1358"/>
    </row>
    <row r="1205" spans="8:9">
      <c r="H1205" s="1358"/>
      <c r="I1205" s="1358"/>
    </row>
    <row r="1206" spans="8:9">
      <c r="H1206" s="1358"/>
      <c r="I1206" s="1358"/>
    </row>
    <row r="1207" spans="8:9">
      <c r="H1207" s="1358"/>
      <c r="I1207" s="1358"/>
    </row>
    <row r="1208" spans="8:9">
      <c r="H1208" s="1358"/>
      <c r="I1208" s="1358"/>
    </row>
    <row r="1209" spans="8:9">
      <c r="H1209" s="1358"/>
      <c r="I1209" s="1358"/>
    </row>
    <row r="1210" spans="8:9">
      <c r="H1210" s="1358"/>
      <c r="I1210" s="1358"/>
    </row>
    <row r="1211" spans="8:9">
      <c r="H1211" s="1358"/>
      <c r="I1211" s="1358"/>
    </row>
    <row r="1212" spans="8:9">
      <c r="H1212" s="1358"/>
      <c r="I1212" s="1358"/>
    </row>
    <row r="1213" spans="8:9">
      <c r="H1213" s="1358"/>
      <c r="I1213" s="1358"/>
    </row>
    <row r="1214" spans="8:9">
      <c r="H1214" s="1358"/>
      <c r="I1214" s="1358"/>
    </row>
    <row r="1215" spans="8:9">
      <c r="H1215" s="1358"/>
      <c r="I1215" s="1358"/>
    </row>
    <row r="1216" spans="8:9">
      <c r="H1216" s="1358"/>
      <c r="I1216" s="1358"/>
    </row>
    <row r="1217" spans="8:9">
      <c r="H1217" s="1358"/>
      <c r="I1217" s="1358"/>
    </row>
    <row r="1218" spans="8:9">
      <c r="H1218" s="1358"/>
      <c r="I1218" s="1358"/>
    </row>
    <row r="1219" spans="8:9">
      <c r="H1219" s="1358"/>
      <c r="I1219" s="1358"/>
    </row>
    <row r="1220" spans="8:9">
      <c r="H1220" s="1358"/>
      <c r="I1220" s="1358"/>
    </row>
    <row r="1221" spans="8:9">
      <c r="H1221" s="1358"/>
      <c r="I1221" s="1358"/>
    </row>
    <row r="1222" spans="8:9">
      <c r="H1222" s="1358"/>
      <c r="I1222" s="1358"/>
    </row>
    <row r="1223" spans="8:9">
      <c r="H1223" s="1358"/>
      <c r="I1223" s="1358"/>
    </row>
    <row r="1224" spans="8:9">
      <c r="H1224" s="1358"/>
      <c r="I1224" s="1358"/>
    </row>
    <row r="1225" spans="8:9">
      <c r="H1225" s="1358"/>
      <c r="I1225" s="1358"/>
    </row>
    <row r="1226" spans="8:9">
      <c r="H1226" s="1358"/>
      <c r="I1226" s="1358"/>
    </row>
    <row r="1227" spans="8:9">
      <c r="H1227" s="1358"/>
      <c r="I1227" s="1358"/>
    </row>
    <row r="1228" spans="8:9">
      <c r="H1228" s="1358"/>
      <c r="I1228" s="1358"/>
    </row>
    <row r="1229" spans="8:9">
      <c r="H1229" s="1358"/>
      <c r="I1229" s="1358"/>
    </row>
    <row r="1230" spans="8:9">
      <c r="H1230" s="1358"/>
      <c r="I1230" s="1358"/>
    </row>
    <row r="1231" spans="8:9">
      <c r="H1231" s="1358"/>
      <c r="I1231" s="1358"/>
    </row>
    <row r="1232" spans="8:9">
      <c r="H1232" s="1358"/>
      <c r="I1232" s="1358"/>
    </row>
    <row r="1233" spans="8:9">
      <c r="H1233" s="1358"/>
      <c r="I1233" s="1358"/>
    </row>
    <row r="1234" spans="8:9">
      <c r="H1234" s="1358"/>
      <c r="I1234" s="1358"/>
    </row>
    <row r="1235" spans="8:9">
      <c r="H1235" s="1358"/>
      <c r="I1235" s="1358"/>
    </row>
    <row r="1236" spans="8:9">
      <c r="H1236" s="1358"/>
      <c r="I1236" s="1358"/>
    </row>
    <row r="1237" spans="8:9">
      <c r="H1237" s="1358"/>
      <c r="I1237" s="1358"/>
    </row>
    <row r="1238" spans="8:9">
      <c r="H1238" s="1358"/>
      <c r="I1238" s="1358"/>
    </row>
    <row r="1239" spans="8:9">
      <c r="H1239" s="1358"/>
      <c r="I1239" s="1358"/>
    </row>
    <row r="1240" spans="8:9">
      <c r="H1240" s="1358"/>
      <c r="I1240" s="1358"/>
    </row>
    <row r="1241" spans="8:9">
      <c r="H1241" s="1358"/>
      <c r="I1241" s="1358"/>
    </row>
    <row r="1242" spans="8:9">
      <c r="H1242" s="1358"/>
      <c r="I1242" s="1358"/>
    </row>
    <row r="1243" spans="8:9">
      <c r="H1243" s="1358"/>
      <c r="I1243" s="1358"/>
    </row>
    <row r="1244" spans="8:9">
      <c r="H1244" s="1358"/>
      <c r="I1244" s="1358"/>
    </row>
    <row r="1245" spans="8:9">
      <c r="H1245" s="1358"/>
      <c r="I1245" s="1358"/>
    </row>
    <row r="1246" spans="8:9">
      <c r="H1246" s="1358"/>
      <c r="I1246" s="1358"/>
    </row>
    <row r="1247" spans="8:9">
      <c r="H1247" s="1358"/>
      <c r="I1247" s="1358"/>
    </row>
    <row r="1248" spans="8:9">
      <c r="H1248" s="1358"/>
      <c r="I1248" s="1358"/>
    </row>
    <row r="1249" spans="8:9">
      <c r="H1249" s="1358"/>
      <c r="I1249" s="1358"/>
    </row>
    <row r="1250" spans="8:9">
      <c r="H1250" s="1358"/>
      <c r="I1250" s="1358"/>
    </row>
    <row r="1251" spans="8:9">
      <c r="H1251" s="1358"/>
      <c r="I1251" s="1358"/>
    </row>
    <row r="1252" spans="8:9">
      <c r="H1252" s="1358"/>
      <c r="I1252" s="1358"/>
    </row>
    <row r="1253" spans="8:9">
      <c r="H1253" s="1358"/>
      <c r="I1253" s="1358"/>
    </row>
    <row r="1254" spans="8:9">
      <c r="H1254" s="1358"/>
      <c r="I1254" s="1358"/>
    </row>
    <row r="1255" spans="8:9">
      <c r="H1255" s="1358"/>
      <c r="I1255" s="1358"/>
    </row>
    <row r="1256" spans="8:9">
      <c r="H1256" s="1358"/>
      <c r="I1256" s="1358"/>
    </row>
    <row r="1257" spans="8:9">
      <c r="H1257" s="1358"/>
      <c r="I1257" s="1358"/>
    </row>
    <row r="1258" spans="8:9">
      <c r="H1258" s="1358"/>
      <c r="I1258" s="1358"/>
    </row>
    <row r="1259" spans="8:9">
      <c r="H1259" s="1358"/>
      <c r="I1259" s="1358"/>
    </row>
    <row r="1260" spans="8:9">
      <c r="H1260" s="1358"/>
      <c r="I1260" s="1358"/>
    </row>
    <row r="1261" spans="8:9">
      <c r="H1261" s="1358"/>
      <c r="I1261" s="1358"/>
    </row>
    <row r="1262" spans="8:9">
      <c r="H1262" s="1358"/>
      <c r="I1262" s="1358"/>
    </row>
    <row r="1263" spans="8:9">
      <c r="H1263" s="1358"/>
      <c r="I1263" s="1358"/>
    </row>
    <row r="1264" spans="8:9">
      <c r="H1264" s="1358"/>
      <c r="I1264" s="1358"/>
    </row>
    <row r="1265" spans="8:9">
      <c r="H1265" s="1358"/>
      <c r="I1265" s="1358"/>
    </row>
    <row r="1266" spans="8:9">
      <c r="H1266" s="1358"/>
      <c r="I1266" s="1358"/>
    </row>
    <row r="1267" spans="8:9">
      <c r="H1267" s="1358"/>
      <c r="I1267" s="1358"/>
    </row>
    <row r="1268" spans="8:9">
      <c r="H1268" s="1358"/>
      <c r="I1268" s="1358"/>
    </row>
    <row r="1269" spans="8:9">
      <c r="H1269" s="1358"/>
      <c r="I1269" s="1358"/>
    </row>
    <row r="1270" spans="8:9">
      <c r="H1270" s="1358"/>
      <c r="I1270" s="1358"/>
    </row>
    <row r="1271" spans="8:9">
      <c r="H1271" s="1358"/>
      <c r="I1271" s="1358"/>
    </row>
    <row r="1272" spans="8:9">
      <c r="H1272" s="1358"/>
      <c r="I1272" s="1358"/>
    </row>
    <row r="1273" spans="8:9">
      <c r="H1273" s="1358"/>
      <c r="I1273" s="1358"/>
    </row>
    <row r="1274" spans="8:9">
      <c r="H1274" s="1358"/>
      <c r="I1274" s="1358"/>
    </row>
    <row r="1275" spans="8:9">
      <c r="H1275" s="1358"/>
      <c r="I1275" s="1358"/>
    </row>
    <row r="1276" spans="8:9">
      <c r="H1276" s="1358"/>
      <c r="I1276" s="1358"/>
    </row>
    <row r="1277" spans="8:9">
      <c r="H1277" s="1358"/>
      <c r="I1277" s="1358"/>
    </row>
    <row r="1278" spans="8:9">
      <c r="H1278" s="1358"/>
      <c r="I1278" s="1358"/>
    </row>
    <row r="1279" spans="8:9">
      <c r="H1279" s="1358"/>
      <c r="I1279" s="1358"/>
    </row>
    <row r="1280" spans="8:9">
      <c r="H1280" s="1358"/>
      <c r="I1280" s="1358"/>
    </row>
    <row r="1281" spans="8:9">
      <c r="H1281" s="1358"/>
      <c r="I1281" s="1358"/>
    </row>
    <row r="1282" spans="8:9">
      <c r="H1282" s="1358"/>
      <c r="I1282" s="1358"/>
    </row>
    <row r="1283" spans="8:9">
      <c r="H1283" s="1358"/>
      <c r="I1283" s="1358"/>
    </row>
    <row r="1284" spans="8:9">
      <c r="H1284" s="1358"/>
      <c r="I1284" s="1358"/>
    </row>
    <row r="1285" spans="8:9">
      <c r="H1285" s="1358"/>
      <c r="I1285" s="1358"/>
    </row>
    <row r="1286" spans="8:9">
      <c r="H1286" s="1358"/>
      <c r="I1286" s="1358"/>
    </row>
    <row r="1287" spans="8:9">
      <c r="H1287" s="1358"/>
      <c r="I1287" s="1358"/>
    </row>
    <row r="1288" spans="8:9">
      <c r="H1288" s="1358"/>
      <c r="I1288" s="1358"/>
    </row>
    <row r="1289" spans="8:9">
      <c r="H1289" s="1358"/>
      <c r="I1289" s="1358"/>
    </row>
    <row r="1290" spans="8:9">
      <c r="H1290" s="1358"/>
      <c r="I1290" s="1358"/>
    </row>
    <row r="1291" spans="8:9">
      <c r="H1291" s="1358"/>
      <c r="I1291" s="1358"/>
    </row>
    <row r="1292" spans="8:9">
      <c r="H1292" s="1358"/>
      <c r="I1292" s="1358"/>
    </row>
    <row r="1293" spans="8:9">
      <c r="H1293" s="1358"/>
      <c r="I1293" s="1358"/>
    </row>
    <row r="1294" spans="8:9">
      <c r="H1294" s="1358"/>
      <c r="I1294" s="1358"/>
    </row>
    <row r="1295" spans="8:9">
      <c r="H1295" s="1358"/>
      <c r="I1295" s="1358"/>
    </row>
    <row r="1296" spans="8:9">
      <c r="H1296" s="1358"/>
      <c r="I1296" s="1358"/>
    </row>
    <row r="1297" spans="8:9">
      <c r="H1297" s="1358"/>
      <c r="I1297" s="1358"/>
    </row>
    <row r="1298" spans="8:9">
      <c r="H1298" s="1358"/>
      <c r="I1298" s="1358"/>
    </row>
    <row r="1299" spans="8:9">
      <c r="H1299" s="1358"/>
      <c r="I1299" s="1358"/>
    </row>
    <row r="1300" spans="8:9">
      <c r="H1300" s="1358"/>
      <c r="I1300" s="1358"/>
    </row>
    <row r="1301" spans="8:9">
      <c r="H1301" s="1358"/>
      <c r="I1301" s="1358"/>
    </row>
    <row r="1302" spans="8:9">
      <c r="H1302" s="1358"/>
      <c r="I1302" s="1358"/>
    </row>
    <row r="1303" spans="8:9">
      <c r="H1303" s="1358"/>
      <c r="I1303" s="1358"/>
    </row>
    <row r="1304" spans="8:9">
      <c r="H1304" s="1358"/>
      <c r="I1304" s="1358"/>
    </row>
    <row r="1305" spans="8:9">
      <c r="H1305" s="1358"/>
      <c r="I1305" s="1358"/>
    </row>
    <row r="1306" spans="8:9">
      <c r="H1306" s="1358"/>
      <c r="I1306" s="1358"/>
    </row>
    <row r="1307" spans="8:9">
      <c r="H1307" s="1358"/>
      <c r="I1307" s="1358"/>
    </row>
    <row r="1308" spans="8:9">
      <c r="H1308" s="1358"/>
      <c r="I1308" s="1358"/>
    </row>
    <row r="1309" spans="8:9">
      <c r="H1309" s="1358"/>
      <c r="I1309" s="1358"/>
    </row>
    <row r="1310" spans="8:9">
      <c r="H1310" s="1358"/>
      <c r="I1310" s="1358"/>
    </row>
    <row r="1311" spans="8:9">
      <c r="H1311" s="1358"/>
      <c r="I1311" s="1358"/>
    </row>
    <row r="1312" spans="8:9">
      <c r="H1312" s="1358"/>
      <c r="I1312" s="1358"/>
    </row>
    <row r="1313" spans="8:9">
      <c r="H1313" s="1358"/>
      <c r="I1313" s="1358"/>
    </row>
    <row r="1314" spans="8:9">
      <c r="H1314" s="1358"/>
      <c r="I1314" s="1358"/>
    </row>
    <row r="1315" spans="8:9">
      <c r="H1315" s="1358"/>
      <c r="I1315" s="1358"/>
    </row>
    <row r="1316" spans="8:9">
      <c r="H1316" s="1358"/>
      <c r="I1316" s="1358"/>
    </row>
    <row r="1317" spans="8:9">
      <c r="H1317" s="1358"/>
      <c r="I1317" s="1358"/>
    </row>
    <row r="1318" spans="8:9">
      <c r="H1318" s="1358"/>
      <c r="I1318" s="1358"/>
    </row>
    <row r="1319" spans="8:9">
      <c r="H1319" s="1358"/>
      <c r="I1319" s="1358"/>
    </row>
    <row r="1320" spans="8:9">
      <c r="H1320" s="1358"/>
      <c r="I1320" s="1358"/>
    </row>
    <row r="1321" spans="8:9">
      <c r="H1321" s="1358"/>
      <c r="I1321" s="1358"/>
    </row>
    <row r="1322" spans="8:9">
      <c r="H1322" s="1358"/>
      <c r="I1322" s="1358"/>
    </row>
    <row r="1323" spans="8:9">
      <c r="H1323" s="1358"/>
      <c r="I1323" s="1358"/>
    </row>
    <row r="1324" spans="8:9">
      <c r="H1324" s="1358"/>
      <c r="I1324" s="1358"/>
    </row>
    <row r="1325" spans="8:9">
      <c r="H1325" s="1358"/>
      <c r="I1325" s="1358"/>
    </row>
    <row r="1326" spans="8:9">
      <c r="H1326" s="1358"/>
      <c r="I1326" s="1358"/>
    </row>
    <row r="1327" spans="8:9">
      <c r="H1327" s="1358"/>
      <c r="I1327" s="1358"/>
    </row>
    <row r="1328" spans="8:9">
      <c r="H1328" s="1358"/>
      <c r="I1328" s="1358"/>
    </row>
    <row r="1329" spans="8:9">
      <c r="H1329" s="1358"/>
      <c r="I1329" s="1358"/>
    </row>
    <row r="1330" spans="8:9">
      <c r="H1330" s="1358"/>
      <c r="I1330" s="1358"/>
    </row>
    <row r="1331" spans="8:9">
      <c r="H1331" s="1358"/>
      <c r="I1331" s="1358"/>
    </row>
    <row r="1332" spans="8:9">
      <c r="H1332" s="1358"/>
      <c r="I1332" s="1358"/>
    </row>
    <row r="1333" spans="8:9">
      <c r="H1333" s="1358"/>
      <c r="I1333" s="1358"/>
    </row>
    <row r="1334" spans="8:9">
      <c r="H1334" s="1358"/>
      <c r="I1334" s="1358"/>
    </row>
    <row r="1335" spans="8:9">
      <c r="H1335" s="1358"/>
      <c r="I1335" s="1358"/>
    </row>
    <row r="1336" spans="8:9">
      <c r="H1336" s="1358"/>
      <c r="I1336" s="1358"/>
    </row>
    <row r="1337" spans="8:9">
      <c r="H1337" s="1358"/>
      <c r="I1337" s="1358"/>
    </row>
    <row r="1338" spans="8:9">
      <c r="H1338" s="1358"/>
      <c r="I1338" s="1358"/>
    </row>
    <row r="1339" spans="8:9">
      <c r="H1339" s="1358"/>
      <c r="I1339" s="1358"/>
    </row>
    <row r="1340" spans="8:9">
      <c r="H1340" s="1358"/>
      <c r="I1340" s="1358"/>
    </row>
    <row r="1341" spans="8:9">
      <c r="H1341" s="1358"/>
      <c r="I1341" s="1358"/>
    </row>
    <row r="1342" spans="8:9">
      <c r="H1342" s="1358"/>
      <c r="I1342" s="1358"/>
    </row>
    <row r="1343" spans="8:9">
      <c r="H1343" s="1358"/>
      <c r="I1343" s="1358"/>
    </row>
    <row r="1344" spans="8:9">
      <c r="H1344" s="1358"/>
      <c r="I1344" s="1358"/>
    </row>
    <row r="1345" spans="8:9">
      <c r="H1345" s="1358"/>
      <c r="I1345" s="1358"/>
    </row>
    <row r="1346" spans="8:9">
      <c r="H1346" s="1358"/>
      <c r="I1346" s="1358"/>
    </row>
    <row r="1347" spans="8:9">
      <c r="H1347" s="1358"/>
      <c r="I1347" s="1358"/>
    </row>
    <row r="1348" spans="8:9">
      <c r="H1348" s="1358"/>
      <c r="I1348" s="1358"/>
    </row>
    <row r="1349" spans="8:9">
      <c r="H1349" s="1358"/>
      <c r="I1349" s="1358"/>
    </row>
    <row r="1350" spans="8:9">
      <c r="H1350" s="1358"/>
      <c r="I1350" s="1358"/>
    </row>
    <row r="1351" spans="8:9">
      <c r="H1351" s="1358"/>
      <c r="I1351" s="1358"/>
    </row>
    <row r="1352" spans="8:9">
      <c r="H1352" s="1358"/>
      <c r="I1352" s="1358"/>
    </row>
    <row r="1353" spans="8:9">
      <c r="H1353" s="1358"/>
      <c r="I1353" s="1358"/>
    </row>
    <row r="1354" spans="8:9">
      <c r="H1354" s="1358"/>
      <c r="I1354" s="1358"/>
    </row>
    <row r="1355" spans="8:9">
      <c r="H1355" s="1358"/>
      <c r="I1355" s="1358"/>
    </row>
    <row r="1356" spans="8:9">
      <c r="H1356" s="1358"/>
      <c r="I1356" s="1358"/>
    </row>
    <row r="1357" spans="8:9">
      <c r="H1357" s="1358"/>
      <c r="I1357" s="1358"/>
    </row>
    <row r="1358" spans="8:9">
      <c r="H1358" s="1358"/>
      <c r="I1358" s="1358"/>
    </row>
    <row r="1359" spans="8:9">
      <c r="H1359" s="1358"/>
      <c r="I1359" s="1358"/>
    </row>
    <row r="1360" spans="8:9">
      <c r="H1360" s="1358"/>
      <c r="I1360" s="1358"/>
    </row>
    <row r="1361" spans="8:9">
      <c r="H1361" s="1358"/>
      <c r="I1361" s="1358"/>
    </row>
    <row r="1362" spans="8:9">
      <c r="H1362" s="1358"/>
      <c r="I1362" s="1358"/>
    </row>
    <row r="1363" spans="8:9">
      <c r="H1363" s="1358"/>
      <c r="I1363" s="1358"/>
    </row>
    <row r="1364" spans="8:9">
      <c r="H1364" s="1358"/>
      <c r="I1364" s="1358"/>
    </row>
    <row r="1365" spans="8:9">
      <c r="H1365" s="1358"/>
      <c r="I1365" s="1358"/>
    </row>
    <row r="1366" spans="8:9">
      <c r="H1366" s="1358"/>
      <c r="I1366" s="1358"/>
    </row>
    <row r="1367" spans="8:9">
      <c r="H1367" s="1358"/>
      <c r="I1367" s="1358"/>
    </row>
    <row r="1368" spans="8:9">
      <c r="H1368" s="1358"/>
      <c r="I1368" s="1358"/>
    </row>
    <row r="1369" spans="8:9">
      <c r="H1369" s="1358"/>
      <c r="I1369" s="1358"/>
    </row>
    <row r="1370" spans="8:9">
      <c r="H1370" s="1358"/>
      <c r="I1370" s="1358"/>
    </row>
    <row r="1371" spans="8:9">
      <c r="H1371" s="1358"/>
      <c r="I1371" s="1358"/>
    </row>
    <row r="1372" spans="8:9">
      <c r="H1372" s="1358"/>
      <c r="I1372" s="1358"/>
    </row>
    <row r="1373" spans="8:9">
      <c r="H1373" s="1358"/>
      <c r="I1373" s="1358"/>
    </row>
    <row r="1374" spans="8:9">
      <c r="H1374" s="1358"/>
      <c r="I1374" s="1358"/>
    </row>
    <row r="1375" spans="8:9">
      <c r="H1375" s="1358"/>
      <c r="I1375" s="1358"/>
    </row>
    <row r="1376" spans="8:9">
      <c r="H1376" s="1358"/>
      <c r="I1376" s="1358"/>
    </row>
    <row r="1377" spans="8:9">
      <c r="H1377" s="1358"/>
      <c r="I1377" s="1358"/>
    </row>
    <row r="1378" spans="8:9">
      <c r="H1378" s="1358"/>
      <c r="I1378" s="1358"/>
    </row>
    <row r="1379" spans="8:9">
      <c r="H1379" s="1358"/>
      <c r="I1379" s="1358"/>
    </row>
    <row r="1380" spans="8:9">
      <c r="H1380" s="1358"/>
      <c r="I1380" s="1358"/>
    </row>
    <row r="1381" spans="8:9">
      <c r="H1381" s="1358"/>
      <c r="I1381" s="1358"/>
    </row>
    <row r="1382" spans="8:9">
      <c r="H1382" s="1358"/>
      <c r="I1382" s="1358"/>
    </row>
    <row r="1383" spans="8:9">
      <c r="H1383" s="1358"/>
      <c r="I1383" s="1358"/>
    </row>
    <row r="1384" spans="8:9">
      <c r="H1384" s="1358"/>
      <c r="I1384" s="1358"/>
    </row>
    <row r="1385" spans="8:9">
      <c r="H1385" s="1358"/>
      <c r="I1385" s="1358"/>
    </row>
    <row r="1386" spans="8:9">
      <c r="H1386" s="1358"/>
      <c r="I1386" s="1358"/>
    </row>
    <row r="1387" spans="8:9">
      <c r="H1387" s="1358"/>
      <c r="I1387" s="1358"/>
    </row>
    <row r="1388" spans="8:9">
      <c r="H1388" s="1358"/>
      <c r="I1388" s="1358"/>
    </row>
    <row r="1389" spans="8:9">
      <c r="H1389" s="1358"/>
      <c r="I1389" s="1358"/>
    </row>
    <row r="1390" spans="8:9">
      <c r="H1390" s="1358"/>
      <c r="I1390" s="1358"/>
    </row>
    <row r="1391" spans="8:9">
      <c r="H1391" s="1358"/>
      <c r="I1391" s="1358"/>
    </row>
    <row r="1392" spans="8:9">
      <c r="H1392" s="1358"/>
      <c r="I1392" s="1358"/>
    </row>
    <row r="1393" spans="8:9">
      <c r="H1393" s="1358"/>
      <c r="I1393" s="1358"/>
    </row>
    <row r="1394" spans="8:9">
      <c r="H1394" s="1358"/>
      <c r="I1394" s="1358"/>
    </row>
    <row r="1395" spans="8:9">
      <c r="H1395" s="1358"/>
      <c r="I1395" s="1358"/>
    </row>
    <row r="1396" spans="8:9">
      <c r="H1396" s="1358"/>
      <c r="I1396" s="1358"/>
    </row>
    <row r="1397" spans="8:9">
      <c r="H1397" s="1358"/>
      <c r="I1397" s="1358"/>
    </row>
    <row r="1398" spans="8:9">
      <c r="H1398" s="1358"/>
      <c r="I1398" s="1358"/>
    </row>
    <row r="1399" spans="8:9">
      <c r="H1399" s="1358"/>
      <c r="I1399" s="1358"/>
    </row>
    <row r="1400" spans="8:9">
      <c r="H1400" s="1358"/>
      <c r="I1400" s="1358"/>
    </row>
    <row r="1401" spans="8:9">
      <c r="H1401" s="1358"/>
      <c r="I1401" s="1358"/>
    </row>
    <row r="1402" spans="8:9">
      <c r="H1402" s="1358"/>
      <c r="I1402" s="1358"/>
    </row>
    <row r="1403" spans="8:9">
      <c r="H1403" s="1358"/>
      <c r="I1403" s="1358"/>
    </row>
    <row r="1404" spans="8:9">
      <c r="H1404" s="1358"/>
      <c r="I1404" s="1358"/>
    </row>
    <row r="1405" spans="8:9">
      <c r="H1405" s="1358"/>
      <c r="I1405" s="1358"/>
    </row>
    <row r="1406" spans="8:9">
      <c r="H1406" s="1358"/>
      <c r="I1406" s="1358"/>
    </row>
    <row r="1407" spans="8:9">
      <c r="H1407" s="1358"/>
      <c r="I1407" s="1358"/>
    </row>
    <row r="1408" spans="8:9">
      <c r="H1408" s="1358"/>
      <c r="I1408" s="1358"/>
    </row>
    <row r="1409" spans="8:9">
      <c r="H1409" s="1358"/>
      <c r="I1409" s="1358"/>
    </row>
    <row r="1410" spans="8:9">
      <c r="H1410" s="1358"/>
      <c r="I1410" s="1358"/>
    </row>
    <row r="1411" spans="8:9">
      <c r="H1411" s="1358"/>
      <c r="I1411" s="1358"/>
    </row>
    <row r="1412" spans="8:9">
      <c r="H1412" s="1358"/>
      <c r="I1412" s="1358"/>
    </row>
    <row r="1413" spans="8:9">
      <c r="H1413" s="1358"/>
      <c r="I1413" s="1358"/>
    </row>
    <row r="1414" spans="8:9">
      <c r="H1414" s="1358"/>
      <c r="I1414" s="1358"/>
    </row>
    <row r="1415" spans="8:9">
      <c r="H1415" s="1358"/>
      <c r="I1415" s="1358"/>
    </row>
    <row r="1416" spans="8:9">
      <c r="H1416" s="1358"/>
      <c r="I1416" s="1358"/>
    </row>
    <row r="1417" spans="8:9">
      <c r="H1417" s="1358"/>
      <c r="I1417" s="1358"/>
    </row>
    <row r="1418" spans="8:9">
      <c r="H1418" s="1358"/>
      <c r="I1418" s="1358"/>
    </row>
    <row r="1419" spans="8:9">
      <c r="H1419" s="1358"/>
      <c r="I1419" s="1358"/>
    </row>
    <row r="1420" spans="8:9">
      <c r="H1420" s="1358"/>
      <c r="I1420" s="1358"/>
    </row>
    <row r="1421" spans="8:9">
      <c r="H1421" s="1358"/>
      <c r="I1421" s="1358"/>
    </row>
    <row r="1422" spans="8:9">
      <c r="H1422" s="1358"/>
      <c r="I1422" s="1358"/>
    </row>
    <row r="1423" spans="8:9">
      <c r="H1423" s="1358"/>
      <c r="I1423" s="1358"/>
    </row>
    <row r="1424" spans="8:9">
      <c r="H1424" s="1358"/>
      <c r="I1424" s="1358"/>
    </row>
    <row r="1425" spans="8:9">
      <c r="H1425" s="1358"/>
      <c r="I1425" s="1358"/>
    </row>
    <row r="1426" spans="8:9">
      <c r="H1426" s="1358"/>
      <c r="I1426" s="1358"/>
    </row>
    <row r="1427" spans="8:9">
      <c r="H1427" s="1358"/>
      <c r="I1427" s="1358"/>
    </row>
    <row r="1428" spans="8:9">
      <c r="H1428" s="1358"/>
      <c r="I1428" s="1358"/>
    </row>
    <row r="1429" spans="8:9">
      <c r="H1429" s="1358"/>
      <c r="I1429" s="1358"/>
    </row>
    <row r="1430" spans="8:9">
      <c r="H1430" s="1358"/>
      <c r="I1430" s="1358"/>
    </row>
    <row r="1431" spans="8:9">
      <c r="H1431" s="1358"/>
      <c r="I1431" s="1358"/>
    </row>
    <row r="1432" spans="8:9">
      <c r="H1432" s="1358"/>
      <c r="I1432" s="1358"/>
    </row>
    <row r="1433" spans="8:9">
      <c r="H1433" s="1358"/>
      <c r="I1433" s="1358"/>
    </row>
    <row r="1434" spans="8:9">
      <c r="H1434" s="1358"/>
      <c r="I1434" s="1358"/>
    </row>
    <row r="1435" spans="8:9">
      <c r="H1435" s="1358"/>
      <c r="I1435" s="1358"/>
    </row>
    <row r="1436" spans="8:9">
      <c r="H1436" s="1358"/>
      <c r="I1436" s="1358"/>
    </row>
    <row r="1437" spans="8:9">
      <c r="H1437" s="1358"/>
      <c r="I1437" s="1358"/>
    </row>
    <row r="1438" spans="8:9">
      <c r="H1438" s="1358"/>
      <c r="I1438" s="1358"/>
    </row>
    <row r="1439" spans="8:9">
      <c r="H1439" s="1358"/>
      <c r="I1439" s="1358"/>
    </row>
    <row r="1440" spans="8:9">
      <c r="H1440" s="1358"/>
      <c r="I1440" s="1358"/>
    </row>
    <row r="1441" spans="8:9">
      <c r="H1441" s="1358"/>
      <c r="I1441" s="1358"/>
    </row>
    <row r="1442" spans="8:9">
      <c r="H1442" s="1358"/>
      <c r="I1442" s="1358"/>
    </row>
    <row r="1443" spans="8:9">
      <c r="H1443" s="1358"/>
      <c r="I1443" s="1358"/>
    </row>
    <row r="1444" spans="8:9">
      <c r="H1444" s="1358"/>
      <c r="I1444" s="1358"/>
    </row>
    <row r="1445" spans="8:9">
      <c r="H1445" s="1358"/>
      <c r="I1445" s="1358"/>
    </row>
    <row r="1446" spans="8:9">
      <c r="H1446" s="1358"/>
      <c r="I1446" s="1358"/>
    </row>
    <row r="1447" spans="8:9">
      <c r="H1447" s="1358"/>
      <c r="I1447" s="1358"/>
    </row>
    <row r="1448" spans="8:9">
      <c r="H1448" s="1358"/>
      <c r="I1448" s="1358"/>
    </row>
    <row r="1449" spans="8:9">
      <c r="H1449" s="1358"/>
      <c r="I1449" s="1358"/>
    </row>
    <row r="1450" spans="8:9">
      <c r="H1450" s="1358"/>
      <c r="I1450" s="1358"/>
    </row>
    <row r="1451" spans="8:9">
      <c r="H1451" s="1358"/>
      <c r="I1451" s="1358"/>
    </row>
    <row r="1452" spans="8:9">
      <c r="H1452" s="1358"/>
      <c r="I1452" s="1358"/>
    </row>
    <row r="1453" spans="8:9">
      <c r="H1453" s="1358"/>
      <c r="I1453" s="1358"/>
    </row>
    <row r="1454" spans="8:9">
      <c r="H1454" s="1358"/>
      <c r="I1454" s="1358"/>
    </row>
    <row r="1455" spans="8:9">
      <c r="H1455" s="1358"/>
      <c r="I1455" s="1358"/>
    </row>
    <row r="1456" spans="8:9">
      <c r="H1456" s="1358"/>
      <c r="I1456" s="1358"/>
    </row>
    <row r="1457" spans="8:9">
      <c r="H1457" s="1358"/>
      <c r="I1457" s="1358"/>
    </row>
    <row r="1458" spans="8:9">
      <c r="H1458" s="1358"/>
      <c r="I1458" s="1358"/>
    </row>
    <row r="1459" spans="8:9">
      <c r="H1459" s="1358"/>
      <c r="I1459" s="1358"/>
    </row>
    <row r="1460" spans="8:9">
      <c r="H1460" s="1358"/>
      <c r="I1460" s="1358"/>
    </row>
    <row r="1461" spans="8:9">
      <c r="H1461" s="1358"/>
      <c r="I1461" s="1358"/>
    </row>
    <row r="1462" spans="8:9">
      <c r="H1462" s="1358"/>
      <c r="I1462" s="1358"/>
    </row>
    <row r="1463" spans="8:9">
      <c r="H1463" s="1358"/>
      <c r="I1463" s="1358"/>
    </row>
    <row r="1464" spans="8:9">
      <c r="H1464" s="1358"/>
      <c r="I1464" s="1358"/>
    </row>
    <row r="1465" spans="8:9">
      <c r="H1465" s="1358"/>
      <c r="I1465" s="1358"/>
    </row>
    <row r="1466" spans="8:9">
      <c r="H1466" s="1358"/>
      <c r="I1466" s="1358"/>
    </row>
    <row r="1467" spans="8:9">
      <c r="H1467" s="1358"/>
      <c r="I1467" s="1358"/>
    </row>
    <row r="1468" spans="8:9">
      <c r="H1468" s="1358"/>
      <c r="I1468" s="1358"/>
    </row>
    <row r="1469" spans="8:9">
      <c r="H1469" s="1358"/>
      <c r="I1469" s="1358"/>
    </row>
    <row r="1470" spans="8:9">
      <c r="H1470" s="1358"/>
      <c r="I1470" s="1358"/>
    </row>
    <row r="1471" spans="8:9">
      <c r="H1471" s="1358"/>
      <c r="I1471" s="1358"/>
    </row>
    <row r="1472" spans="8:9">
      <c r="H1472" s="1358"/>
      <c r="I1472" s="1358"/>
    </row>
    <row r="1473" spans="8:9">
      <c r="H1473" s="1358"/>
      <c r="I1473" s="1358"/>
    </row>
    <row r="1474" spans="8:9">
      <c r="H1474" s="1358"/>
      <c r="I1474" s="1358"/>
    </row>
    <row r="1475" spans="8:9">
      <c r="H1475" s="1358"/>
      <c r="I1475" s="1358"/>
    </row>
    <row r="1476" spans="8:9">
      <c r="H1476" s="1358"/>
      <c r="I1476" s="1358"/>
    </row>
    <row r="1477" spans="8:9">
      <c r="H1477" s="1358"/>
      <c r="I1477" s="1358"/>
    </row>
    <row r="1478" spans="8:9">
      <c r="H1478" s="1358"/>
      <c r="I1478" s="1358"/>
    </row>
    <row r="1479" spans="8:9">
      <c r="H1479" s="1358"/>
      <c r="I1479" s="1358"/>
    </row>
    <row r="1480" spans="8:9">
      <c r="H1480" s="1358"/>
      <c r="I1480" s="1358"/>
    </row>
    <row r="1481" spans="8:9">
      <c r="H1481" s="1358"/>
      <c r="I1481" s="1358"/>
    </row>
    <row r="1482" spans="8:9">
      <c r="H1482" s="1358"/>
      <c r="I1482" s="1358"/>
    </row>
    <row r="1483" spans="8:9">
      <c r="H1483" s="1358"/>
      <c r="I1483" s="1358"/>
    </row>
    <row r="1484" spans="8:9">
      <c r="H1484" s="1358"/>
      <c r="I1484" s="1358"/>
    </row>
    <row r="1485" spans="8:9">
      <c r="H1485" s="1358"/>
      <c r="I1485" s="1358"/>
    </row>
    <row r="1486" spans="8:9">
      <c r="H1486" s="1358"/>
      <c r="I1486" s="1358"/>
    </row>
    <row r="1487" spans="8:9">
      <c r="H1487" s="1358"/>
      <c r="I1487" s="1358"/>
    </row>
    <row r="1488" spans="8:9">
      <c r="H1488" s="1358"/>
      <c r="I1488" s="1358"/>
    </row>
    <row r="1489" spans="8:9">
      <c r="H1489" s="1358"/>
      <c r="I1489" s="1358"/>
    </row>
    <row r="1490" spans="8:9">
      <c r="H1490" s="1358"/>
      <c r="I1490" s="1358"/>
    </row>
    <row r="1491" spans="8:9">
      <c r="H1491" s="1358"/>
      <c r="I1491" s="1358"/>
    </row>
    <row r="1492" spans="8:9">
      <c r="H1492" s="1358"/>
      <c r="I1492" s="1358"/>
    </row>
    <row r="1493" spans="8:9">
      <c r="H1493" s="1358"/>
      <c r="I1493" s="1358"/>
    </row>
    <row r="1494" spans="8:9">
      <c r="H1494" s="1358"/>
      <c r="I1494" s="1358"/>
    </row>
    <row r="1495" spans="8:9">
      <c r="H1495" s="1358"/>
      <c r="I1495" s="1358"/>
    </row>
    <row r="1496" spans="8:9">
      <c r="H1496" s="1358"/>
      <c r="I1496" s="1358"/>
    </row>
    <row r="1497" spans="8:9">
      <c r="H1497" s="1358"/>
      <c r="I1497" s="1358"/>
    </row>
    <row r="1498" spans="8:9">
      <c r="H1498" s="1358"/>
      <c r="I1498" s="1358"/>
    </row>
    <row r="1499" spans="8:9">
      <c r="H1499" s="1358"/>
      <c r="I1499" s="1358"/>
    </row>
    <row r="1500" spans="8:9">
      <c r="H1500" s="1358"/>
      <c r="I1500" s="1358"/>
    </row>
    <row r="1501" spans="8:9">
      <c r="H1501" s="1358"/>
      <c r="I1501" s="1358"/>
    </row>
    <row r="1502" spans="8:9">
      <c r="H1502" s="1358"/>
      <c r="I1502" s="1358"/>
    </row>
    <row r="1503" spans="8:9">
      <c r="H1503" s="1358"/>
      <c r="I1503" s="1358"/>
    </row>
    <row r="1504" spans="8:9">
      <c r="H1504" s="1358"/>
      <c r="I1504" s="1358"/>
    </row>
    <row r="1505" spans="8:9">
      <c r="H1505" s="1358"/>
      <c r="I1505" s="1358"/>
    </row>
    <row r="1506" spans="8:9">
      <c r="H1506" s="1358"/>
      <c r="I1506" s="1358"/>
    </row>
    <row r="1507" spans="8:9">
      <c r="H1507" s="1358"/>
      <c r="I1507" s="1358"/>
    </row>
    <row r="1508" spans="8:9">
      <c r="H1508" s="1358"/>
      <c r="I1508" s="1358"/>
    </row>
    <row r="1509" spans="8:9">
      <c r="H1509" s="1358"/>
      <c r="I1509" s="1358"/>
    </row>
    <row r="1510" spans="8:9">
      <c r="H1510" s="1358"/>
      <c r="I1510" s="1358"/>
    </row>
    <row r="1511" spans="8:9">
      <c r="H1511" s="1358"/>
      <c r="I1511" s="1358"/>
    </row>
    <row r="1512" spans="8:9">
      <c r="H1512" s="1358"/>
      <c r="I1512" s="1358"/>
    </row>
    <row r="1513" spans="8:9">
      <c r="H1513" s="1358"/>
      <c r="I1513" s="1358"/>
    </row>
    <row r="1514" spans="8:9">
      <c r="H1514" s="1358"/>
      <c r="I1514" s="1358"/>
    </row>
    <row r="1515" spans="8:9">
      <c r="H1515" s="1358"/>
      <c r="I1515" s="1358"/>
    </row>
    <row r="1516" spans="8:9">
      <c r="H1516" s="1358"/>
      <c r="I1516" s="1358"/>
    </row>
    <row r="1517" spans="8:9">
      <c r="H1517" s="1358"/>
      <c r="I1517" s="1358"/>
    </row>
    <row r="1518" spans="8:9">
      <c r="H1518" s="1358"/>
      <c r="I1518" s="1358"/>
    </row>
    <row r="1519" spans="8:9">
      <c r="H1519" s="1358"/>
      <c r="I1519" s="1358"/>
    </row>
    <row r="1520" spans="8:9">
      <c r="H1520" s="1358"/>
      <c r="I1520" s="1358"/>
    </row>
    <row r="1521" spans="8:9">
      <c r="H1521" s="1358"/>
      <c r="I1521" s="1358"/>
    </row>
    <row r="1522" spans="8:9">
      <c r="H1522" s="1358"/>
      <c r="I1522" s="1358"/>
    </row>
    <row r="1523" spans="8:9">
      <c r="H1523" s="1358"/>
      <c r="I1523" s="1358"/>
    </row>
    <row r="1524" spans="8:9">
      <c r="H1524" s="1358"/>
      <c r="I1524" s="1358"/>
    </row>
    <row r="1525" spans="8:9">
      <c r="H1525" s="1358"/>
      <c r="I1525" s="1358"/>
    </row>
    <row r="1526" spans="8:9">
      <c r="H1526" s="1358"/>
      <c r="I1526" s="1358"/>
    </row>
    <row r="1527" spans="8:9">
      <c r="H1527" s="1358"/>
      <c r="I1527" s="1358"/>
    </row>
    <row r="1528" spans="8:9">
      <c r="H1528" s="1358"/>
      <c r="I1528" s="1358"/>
    </row>
    <row r="1529" spans="8:9">
      <c r="H1529" s="1358"/>
      <c r="I1529" s="1358"/>
    </row>
    <row r="1530" spans="8:9">
      <c r="H1530" s="1358"/>
      <c r="I1530" s="1358"/>
    </row>
    <row r="1531" spans="8:9">
      <c r="H1531" s="1358"/>
      <c r="I1531" s="1358"/>
    </row>
    <row r="1532" spans="8:9">
      <c r="H1532" s="1358"/>
      <c r="I1532" s="1358"/>
    </row>
    <row r="1533" spans="8:9">
      <c r="H1533" s="1358"/>
      <c r="I1533" s="1358"/>
    </row>
    <row r="1534" spans="8:9">
      <c r="H1534" s="1358"/>
      <c r="I1534" s="1358"/>
    </row>
    <row r="1535" spans="8:9">
      <c r="H1535" s="1358"/>
      <c r="I1535" s="1358"/>
    </row>
    <row r="1536" spans="8:9">
      <c r="H1536" s="1358"/>
      <c r="I1536" s="1358"/>
    </row>
    <row r="1537" spans="8:9">
      <c r="H1537" s="1358"/>
      <c r="I1537" s="1358"/>
    </row>
    <row r="1538" spans="8:9">
      <c r="H1538" s="1358"/>
      <c r="I1538" s="1358"/>
    </row>
    <row r="1539" spans="8:9">
      <c r="H1539" s="1358"/>
      <c r="I1539" s="1358"/>
    </row>
    <row r="1540" spans="8:9">
      <c r="H1540" s="1358"/>
      <c r="I1540" s="1358"/>
    </row>
    <row r="1541" spans="8:9">
      <c r="H1541" s="1358"/>
      <c r="I1541" s="1358"/>
    </row>
    <row r="1542" spans="8:9">
      <c r="H1542" s="1358"/>
      <c r="I1542" s="1358"/>
    </row>
    <row r="1543" spans="8:9">
      <c r="H1543" s="1358"/>
      <c r="I1543" s="1358"/>
    </row>
    <row r="1544" spans="8:9">
      <c r="H1544" s="1358"/>
      <c r="I1544" s="1358"/>
    </row>
    <row r="1545" spans="8:9">
      <c r="H1545" s="1358"/>
      <c r="I1545" s="1358"/>
    </row>
    <row r="1546" spans="8:9">
      <c r="H1546" s="1358"/>
      <c r="I1546" s="1358"/>
    </row>
    <row r="1547" spans="8:9">
      <c r="H1547" s="1358"/>
      <c r="I1547" s="1358"/>
    </row>
    <row r="1548" spans="8:9">
      <c r="H1548" s="1358"/>
      <c r="I1548" s="1358"/>
    </row>
    <row r="1549" spans="8:9">
      <c r="H1549" s="1358"/>
      <c r="I1549" s="1358"/>
    </row>
    <row r="1550" spans="8:9">
      <c r="H1550" s="1358"/>
      <c r="I1550" s="1358"/>
    </row>
    <row r="1551" spans="8:9">
      <c r="H1551" s="1358"/>
      <c r="I1551" s="1358"/>
    </row>
    <row r="1552" spans="8:9">
      <c r="H1552" s="1358"/>
      <c r="I1552" s="1358"/>
    </row>
    <row r="1553" spans="8:9">
      <c r="H1553" s="1358"/>
      <c r="I1553" s="1358"/>
    </row>
    <row r="1554" spans="8:9">
      <c r="H1554" s="1358"/>
      <c r="I1554" s="1358"/>
    </row>
    <row r="1555" spans="8:9">
      <c r="H1555" s="1358"/>
      <c r="I1555" s="1358"/>
    </row>
    <row r="1556" spans="8:9">
      <c r="H1556" s="1358"/>
      <c r="I1556" s="1358"/>
    </row>
    <row r="1557" spans="8:9">
      <c r="H1557" s="1358"/>
      <c r="I1557" s="1358"/>
    </row>
    <row r="1558" spans="8:9">
      <c r="H1558" s="1358"/>
      <c r="I1558" s="1358"/>
    </row>
    <row r="1559" spans="8:9">
      <c r="H1559" s="1358"/>
      <c r="I1559" s="1358"/>
    </row>
    <row r="1560" spans="8:9">
      <c r="H1560" s="1358"/>
      <c r="I1560" s="1358"/>
    </row>
    <row r="1561" spans="8:9">
      <c r="H1561" s="1358"/>
      <c r="I1561" s="1358"/>
    </row>
    <row r="1562" spans="8:9">
      <c r="H1562" s="1358"/>
      <c r="I1562" s="1358"/>
    </row>
    <row r="1563" spans="8:9">
      <c r="H1563" s="1358"/>
      <c r="I1563" s="1358"/>
    </row>
    <row r="1564" spans="8:9">
      <c r="H1564" s="1358"/>
      <c r="I1564" s="1358"/>
    </row>
    <row r="1565" spans="8:9">
      <c r="H1565" s="1358"/>
      <c r="I1565" s="1358"/>
    </row>
    <row r="1566" spans="8:9">
      <c r="H1566" s="1358"/>
      <c r="I1566" s="1358"/>
    </row>
    <row r="1567" spans="8:9">
      <c r="H1567" s="1358"/>
      <c r="I1567" s="1358"/>
    </row>
    <row r="1568" spans="8:9">
      <c r="H1568" s="1358"/>
      <c r="I1568" s="1358"/>
    </row>
    <row r="1569" spans="8:9">
      <c r="H1569" s="1358"/>
      <c r="I1569" s="1358"/>
    </row>
    <row r="1570" spans="8:9">
      <c r="H1570" s="1358"/>
      <c r="I1570" s="1358"/>
    </row>
    <row r="1571" spans="8:9">
      <c r="H1571" s="1358"/>
      <c r="I1571" s="1358"/>
    </row>
    <row r="1572" spans="8:9">
      <c r="H1572" s="1358"/>
      <c r="I1572" s="1358"/>
    </row>
    <row r="1573" spans="8:9">
      <c r="H1573" s="1358"/>
      <c r="I1573" s="1358"/>
    </row>
    <row r="1574" spans="8:9">
      <c r="H1574" s="1358"/>
      <c r="I1574" s="1358"/>
    </row>
    <row r="1575" spans="8:9">
      <c r="H1575" s="1358"/>
      <c r="I1575" s="1358"/>
    </row>
    <row r="1576" spans="8:9">
      <c r="H1576" s="1358"/>
      <c r="I1576" s="1358"/>
    </row>
    <row r="1577" spans="8:9">
      <c r="H1577" s="1358"/>
      <c r="I1577" s="1358"/>
    </row>
    <row r="1578" spans="8:9">
      <c r="H1578" s="1358"/>
      <c r="I1578" s="1358"/>
    </row>
    <row r="1579" spans="8:9">
      <c r="H1579" s="1358"/>
      <c r="I1579" s="1358"/>
    </row>
    <row r="1580" spans="8:9">
      <c r="H1580" s="1358"/>
      <c r="I1580" s="1358"/>
    </row>
    <row r="1581" spans="8:9">
      <c r="H1581" s="1358"/>
      <c r="I1581" s="1358"/>
    </row>
    <row r="1582" spans="8:9">
      <c r="H1582" s="1358"/>
      <c r="I1582" s="1358"/>
    </row>
    <row r="1583" spans="8:9">
      <c r="H1583" s="1358"/>
      <c r="I1583" s="1358"/>
    </row>
    <row r="1584" spans="8:9">
      <c r="H1584" s="1358"/>
      <c r="I1584" s="1358"/>
    </row>
    <row r="1585" spans="8:9">
      <c r="H1585" s="1358"/>
      <c r="I1585" s="1358"/>
    </row>
    <row r="1586" spans="8:9">
      <c r="H1586" s="1358"/>
      <c r="I1586" s="1358"/>
    </row>
    <row r="1587" spans="8:9">
      <c r="H1587" s="1358"/>
      <c r="I1587" s="1358"/>
    </row>
    <row r="1588" spans="8:9">
      <c r="H1588" s="1358"/>
      <c r="I1588" s="1358"/>
    </row>
    <row r="1589" spans="8:9">
      <c r="H1589" s="1358"/>
      <c r="I1589" s="1358"/>
    </row>
    <row r="1590" spans="8:9">
      <c r="H1590" s="1358"/>
      <c r="I1590" s="1358"/>
    </row>
    <row r="1591" spans="8:9">
      <c r="H1591" s="1358"/>
      <c r="I1591" s="1358"/>
    </row>
    <row r="1592" spans="8:9">
      <c r="H1592" s="1358"/>
      <c r="I1592" s="1358"/>
    </row>
    <row r="1593" spans="8:9">
      <c r="H1593" s="1358"/>
      <c r="I1593" s="1358"/>
    </row>
    <row r="1594" spans="8:9">
      <c r="H1594" s="1358"/>
      <c r="I1594" s="1358"/>
    </row>
    <row r="1595" spans="8:9">
      <c r="H1595" s="1358"/>
      <c r="I1595" s="1358"/>
    </row>
    <row r="1596" spans="8:9">
      <c r="H1596" s="1358"/>
      <c r="I1596" s="1358"/>
    </row>
    <row r="1597" spans="8:9">
      <c r="H1597" s="1358"/>
      <c r="I1597" s="1358"/>
    </row>
    <row r="1598" spans="8:9">
      <c r="H1598" s="1358"/>
      <c r="I1598" s="1358"/>
    </row>
    <row r="1599" spans="8:9">
      <c r="H1599" s="1358"/>
      <c r="I1599" s="1358"/>
    </row>
    <row r="1600" spans="8:9">
      <c r="H1600" s="1358"/>
      <c r="I1600" s="1358"/>
    </row>
    <row r="1601" spans="8:9">
      <c r="H1601" s="1358"/>
      <c r="I1601" s="1358"/>
    </row>
    <row r="1602" spans="8:9">
      <c r="H1602" s="1358"/>
      <c r="I1602" s="1358"/>
    </row>
    <row r="1603" spans="8:9">
      <c r="H1603" s="1358"/>
      <c r="I1603" s="1358"/>
    </row>
    <row r="1604" spans="8:9">
      <c r="H1604" s="1358"/>
      <c r="I1604" s="1358"/>
    </row>
    <row r="1605" spans="8:9">
      <c r="H1605" s="1358"/>
      <c r="I1605" s="1358"/>
    </row>
    <row r="1606" spans="8:9">
      <c r="H1606" s="1358"/>
      <c r="I1606" s="1358"/>
    </row>
    <row r="1607" spans="8:9">
      <c r="H1607" s="1358"/>
      <c r="I1607" s="1358"/>
    </row>
    <row r="1608" spans="8:9">
      <c r="H1608" s="1358"/>
      <c r="I1608" s="1358"/>
    </row>
    <row r="1609" spans="8:9">
      <c r="H1609" s="1358"/>
      <c r="I1609" s="1358"/>
    </row>
    <row r="1610" spans="8:9">
      <c r="H1610" s="1358"/>
      <c r="I1610" s="1358"/>
    </row>
    <row r="1611" spans="8:9">
      <c r="H1611" s="1358"/>
      <c r="I1611" s="1358"/>
    </row>
    <row r="1612" spans="8:9">
      <c r="H1612" s="1358"/>
      <c r="I1612" s="1358"/>
    </row>
    <row r="1613" spans="8:9">
      <c r="H1613" s="1358"/>
      <c r="I1613" s="1358"/>
    </row>
    <row r="1614" spans="8:9">
      <c r="H1614" s="1358"/>
      <c r="I1614" s="1358"/>
    </row>
    <row r="1615" spans="8:9">
      <c r="H1615" s="1358"/>
      <c r="I1615" s="1358"/>
    </row>
    <row r="1616" spans="8:9">
      <c r="H1616" s="1358"/>
      <c r="I1616" s="1358"/>
    </row>
    <row r="1617" spans="8:9">
      <c r="H1617" s="1358"/>
      <c r="I1617" s="1358"/>
    </row>
    <row r="1618" spans="8:9">
      <c r="H1618" s="1358"/>
      <c r="I1618" s="1358"/>
    </row>
    <row r="1619" spans="8:9">
      <c r="H1619" s="1358"/>
      <c r="I1619" s="1358"/>
    </row>
    <row r="1620" spans="8:9">
      <c r="H1620" s="1358"/>
      <c r="I1620" s="1358"/>
    </row>
    <row r="1621" spans="8:9">
      <c r="H1621" s="1358"/>
      <c r="I1621" s="1358"/>
    </row>
    <row r="1622" spans="8:9">
      <c r="H1622" s="1358"/>
      <c r="I1622" s="1358"/>
    </row>
    <row r="1623" spans="8:9">
      <c r="H1623" s="1358"/>
      <c r="I1623" s="1358"/>
    </row>
    <row r="1624" spans="8:9">
      <c r="H1624" s="1358"/>
      <c r="I1624" s="1358"/>
    </row>
    <row r="1625" spans="8:9">
      <c r="H1625" s="1358"/>
      <c r="I1625" s="1358"/>
    </row>
    <row r="1626" spans="8:9">
      <c r="H1626" s="1358"/>
      <c r="I1626" s="1358"/>
    </row>
    <row r="1627" spans="8:9">
      <c r="H1627" s="1358"/>
      <c r="I1627" s="1358"/>
    </row>
    <row r="1628" spans="8:9">
      <c r="H1628" s="1358"/>
      <c r="I1628" s="1358"/>
    </row>
    <row r="1629" spans="8:9">
      <c r="H1629" s="1358"/>
      <c r="I1629" s="1358"/>
    </row>
    <row r="1630" spans="8:9">
      <c r="H1630" s="1358"/>
      <c r="I1630" s="1358"/>
    </row>
    <row r="1631" spans="8:9">
      <c r="H1631" s="1358"/>
      <c r="I1631" s="1358"/>
    </row>
    <row r="1632" spans="8:9">
      <c r="H1632" s="1358"/>
      <c r="I1632" s="1358"/>
    </row>
    <row r="1633" spans="8:9">
      <c r="H1633" s="1358"/>
      <c r="I1633" s="1358"/>
    </row>
    <row r="1634" spans="8:9">
      <c r="H1634" s="1358"/>
      <c r="I1634" s="1358"/>
    </row>
    <row r="1635" spans="8:9">
      <c r="H1635" s="1358"/>
      <c r="I1635" s="1358"/>
    </row>
    <row r="1636" spans="8:9">
      <c r="H1636" s="1358"/>
      <c r="I1636" s="1358"/>
    </row>
    <row r="1637" spans="8:9">
      <c r="H1637" s="1358"/>
      <c r="I1637" s="1358"/>
    </row>
    <row r="1638" spans="8:9">
      <c r="H1638" s="1358"/>
      <c r="I1638" s="1358"/>
    </row>
    <row r="1639" spans="8:9">
      <c r="H1639" s="1358"/>
      <c r="I1639" s="1358"/>
    </row>
    <row r="1640" spans="8:9">
      <c r="H1640" s="1358"/>
      <c r="I1640" s="1358"/>
    </row>
    <row r="1641" spans="8:9">
      <c r="H1641" s="1358"/>
      <c r="I1641" s="1358"/>
    </row>
    <row r="1642" spans="8:9">
      <c r="H1642" s="1358"/>
      <c r="I1642" s="1358"/>
    </row>
    <row r="1643" spans="8:9">
      <c r="H1643" s="1358"/>
      <c r="I1643" s="1358"/>
    </row>
    <row r="1644" spans="8:9">
      <c r="H1644" s="1358"/>
      <c r="I1644" s="1358"/>
    </row>
    <row r="1645" spans="8:9">
      <c r="H1645" s="1358"/>
      <c r="I1645" s="1358"/>
    </row>
    <row r="1646" spans="8:9">
      <c r="H1646" s="1358"/>
      <c r="I1646" s="1358"/>
    </row>
    <row r="1647" spans="8:9">
      <c r="H1647" s="1358"/>
      <c r="I1647" s="1358"/>
    </row>
    <row r="1648" spans="8:9">
      <c r="H1648" s="1358"/>
      <c r="I1648" s="1358"/>
    </row>
    <row r="1649" spans="8:9">
      <c r="H1649" s="1358"/>
      <c r="I1649" s="1358"/>
    </row>
    <row r="1650" spans="8:9">
      <c r="H1650" s="1358"/>
      <c r="I1650" s="1358"/>
    </row>
    <row r="1651" spans="8:9">
      <c r="H1651" s="1358"/>
      <c r="I1651" s="1358"/>
    </row>
    <row r="1652" spans="8:9">
      <c r="H1652" s="1358"/>
      <c r="I1652" s="1358"/>
    </row>
    <row r="1653" spans="8:9">
      <c r="H1653" s="1358"/>
      <c r="I1653" s="1358"/>
    </row>
    <row r="1654" spans="8:9">
      <c r="H1654" s="1358"/>
      <c r="I1654" s="1358"/>
    </row>
    <row r="1655" spans="8:9">
      <c r="H1655" s="1358"/>
      <c r="I1655" s="1358"/>
    </row>
    <row r="1656" spans="8:9">
      <c r="H1656" s="1358"/>
      <c r="I1656" s="1358"/>
    </row>
    <row r="1657" spans="8:9">
      <c r="H1657" s="1358"/>
      <c r="I1657" s="1358"/>
    </row>
    <row r="1658" spans="8:9">
      <c r="H1658" s="1358"/>
      <c r="I1658" s="1358"/>
    </row>
    <row r="1659" spans="8:9">
      <c r="H1659" s="1358"/>
      <c r="I1659" s="1358"/>
    </row>
    <row r="1660" spans="8:9">
      <c r="H1660" s="1358"/>
      <c r="I1660" s="1358"/>
    </row>
    <row r="1661" spans="8:9">
      <c r="H1661" s="1358"/>
      <c r="I1661" s="1358"/>
    </row>
    <row r="1662" spans="8:9">
      <c r="H1662" s="1358"/>
      <c r="I1662" s="1358"/>
    </row>
    <row r="1663" spans="8:9">
      <c r="H1663" s="1358"/>
      <c r="I1663" s="1358"/>
    </row>
    <row r="1664" spans="8:9">
      <c r="H1664" s="1358"/>
      <c r="I1664" s="1358"/>
    </row>
    <row r="1665" spans="8:9">
      <c r="H1665" s="1358"/>
      <c r="I1665" s="1358"/>
    </row>
    <row r="1666" spans="8:9">
      <c r="H1666" s="1358"/>
      <c r="I1666" s="1358"/>
    </row>
    <row r="1667" spans="8:9">
      <c r="H1667" s="1358"/>
      <c r="I1667" s="1358"/>
    </row>
    <row r="1668" spans="8:9">
      <c r="H1668" s="1358"/>
      <c r="I1668" s="1358"/>
    </row>
    <row r="1669" spans="8:9">
      <c r="H1669" s="1358"/>
      <c r="I1669" s="1358"/>
    </row>
    <row r="1670" spans="8:9">
      <c r="H1670" s="1358"/>
      <c r="I1670" s="1358"/>
    </row>
    <row r="1671" spans="8:9">
      <c r="H1671" s="1358"/>
      <c r="I1671" s="1358"/>
    </row>
    <row r="1672" spans="8:9">
      <c r="H1672" s="1358"/>
      <c r="I1672" s="1358"/>
    </row>
    <row r="1673" spans="8:9">
      <c r="H1673" s="1358"/>
      <c r="I1673" s="1358"/>
    </row>
    <row r="1674" spans="8:9">
      <c r="H1674" s="1358"/>
      <c r="I1674" s="1358"/>
    </row>
    <row r="1675" spans="8:9">
      <c r="H1675" s="1358"/>
      <c r="I1675" s="1358"/>
    </row>
    <row r="1676" spans="8:9">
      <c r="H1676" s="1358"/>
      <c r="I1676" s="1358"/>
    </row>
    <row r="1677" spans="8:9">
      <c r="H1677" s="1358"/>
      <c r="I1677" s="1358"/>
    </row>
    <row r="1678" spans="8:9">
      <c r="H1678" s="1358"/>
      <c r="I1678" s="1358"/>
    </row>
    <row r="1679" spans="8:9">
      <c r="H1679" s="1358"/>
      <c r="I1679" s="1358"/>
    </row>
    <row r="1680" spans="8:9">
      <c r="H1680" s="1358"/>
      <c r="I1680" s="1358"/>
    </row>
    <row r="1681" spans="8:9">
      <c r="H1681" s="1358"/>
      <c r="I1681" s="1358"/>
    </row>
    <row r="1682" spans="8:9">
      <c r="H1682" s="1358"/>
      <c r="I1682" s="1358"/>
    </row>
    <row r="1683" spans="8:9">
      <c r="H1683" s="1358"/>
      <c r="I1683" s="1358"/>
    </row>
    <row r="1684" spans="8:9">
      <c r="H1684" s="1358"/>
      <c r="I1684" s="1358"/>
    </row>
    <row r="1685" spans="8:9">
      <c r="H1685" s="1358"/>
      <c r="I1685" s="1358"/>
    </row>
    <row r="1686" spans="8:9">
      <c r="H1686" s="1358"/>
      <c r="I1686" s="1358"/>
    </row>
    <row r="1687" spans="8:9">
      <c r="H1687" s="1358"/>
      <c r="I1687" s="1358"/>
    </row>
    <row r="1688" spans="8:9">
      <c r="H1688" s="1358"/>
      <c r="I1688" s="1358"/>
    </row>
    <row r="1689" spans="8:9">
      <c r="H1689" s="1358"/>
      <c r="I1689" s="1358"/>
    </row>
    <row r="1690" spans="8:9">
      <c r="H1690" s="1358"/>
      <c r="I1690" s="1358"/>
    </row>
    <row r="1691" spans="8:9">
      <c r="H1691" s="1358"/>
      <c r="I1691" s="1358"/>
    </row>
    <row r="1692" spans="8:9">
      <c r="H1692" s="1358"/>
      <c r="I1692" s="1358"/>
    </row>
    <row r="1693" spans="8:9">
      <c r="H1693" s="1358"/>
      <c r="I1693" s="1358"/>
    </row>
    <row r="1694" spans="8:9">
      <c r="H1694" s="1358"/>
      <c r="I1694" s="1358"/>
    </row>
    <row r="1695" spans="8:9">
      <c r="H1695" s="1358"/>
      <c r="I1695" s="1358"/>
    </row>
    <row r="1696" spans="8:9">
      <c r="H1696" s="1358"/>
      <c r="I1696" s="1358"/>
    </row>
    <row r="1697" spans="8:9">
      <c r="H1697" s="1358"/>
      <c r="I1697" s="1358"/>
    </row>
    <row r="1698" spans="8:9">
      <c r="H1698" s="1358"/>
      <c r="I1698" s="1358"/>
    </row>
    <row r="1699" spans="8:9">
      <c r="H1699" s="1358"/>
      <c r="I1699" s="1358"/>
    </row>
    <row r="1700" spans="8:9">
      <c r="H1700" s="1358"/>
      <c r="I1700" s="1358"/>
    </row>
    <row r="1701" spans="8:9">
      <c r="H1701" s="1358"/>
      <c r="I1701" s="1358"/>
    </row>
    <row r="1702" spans="8:9">
      <c r="H1702" s="1358"/>
      <c r="I1702" s="1358"/>
    </row>
    <row r="1703" spans="8:9">
      <c r="H1703" s="1358"/>
      <c r="I1703" s="1358"/>
    </row>
    <row r="1704" spans="8:9">
      <c r="H1704" s="1358"/>
      <c r="I1704" s="1358"/>
    </row>
    <row r="1705" spans="8:9">
      <c r="H1705" s="1358"/>
      <c r="I1705" s="1358"/>
    </row>
    <row r="1706" spans="8:9">
      <c r="H1706" s="1358"/>
      <c r="I1706" s="1358"/>
    </row>
    <row r="1707" spans="8:9">
      <c r="H1707" s="1358"/>
      <c r="I1707" s="1358"/>
    </row>
    <row r="1708" spans="8:9">
      <c r="H1708" s="1358"/>
      <c r="I1708" s="1358"/>
    </row>
    <row r="1709" spans="8:9">
      <c r="H1709" s="1358"/>
      <c r="I1709" s="1358"/>
    </row>
    <row r="1710" spans="8:9">
      <c r="H1710" s="1358"/>
      <c r="I1710" s="1358"/>
    </row>
    <row r="1711" spans="8:9">
      <c r="H1711" s="1358"/>
      <c r="I1711" s="1358"/>
    </row>
    <row r="1712" spans="8:9">
      <c r="H1712" s="1358"/>
      <c r="I1712" s="1358"/>
    </row>
    <row r="1713" spans="8:9">
      <c r="H1713" s="1358"/>
      <c r="I1713" s="1358"/>
    </row>
    <row r="1714" spans="8:9">
      <c r="H1714" s="1358"/>
      <c r="I1714" s="1358"/>
    </row>
    <row r="1715" spans="8:9">
      <c r="H1715" s="1358"/>
      <c r="I1715" s="1358"/>
    </row>
    <row r="1716" spans="8:9">
      <c r="H1716" s="1358"/>
      <c r="I1716" s="1358"/>
    </row>
    <row r="1717" spans="8:9">
      <c r="H1717" s="1358"/>
      <c r="I1717" s="1358"/>
    </row>
    <row r="1718" spans="8:9">
      <c r="H1718" s="1358"/>
      <c r="I1718" s="1358"/>
    </row>
    <row r="1719" spans="8:9">
      <c r="H1719" s="1358"/>
      <c r="I1719" s="1358"/>
    </row>
    <row r="1720" spans="8:9">
      <c r="H1720" s="1358"/>
      <c r="I1720" s="1358"/>
    </row>
    <row r="1721" spans="8:9">
      <c r="H1721" s="1358"/>
      <c r="I1721" s="1358"/>
    </row>
    <row r="1722" spans="8:9">
      <c r="H1722" s="1358"/>
      <c r="I1722" s="1358"/>
    </row>
    <row r="1723" spans="8:9">
      <c r="H1723" s="1358"/>
      <c r="I1723" s="1358"/>
    </row>
    <row r="1724" spans="8:9">
      <c r="H1724" s="1358"/>
      <c r="I1724" s="1358"/>
    </row>
    <row r="1725" spans="8:9">
      <c r="H1725" s="1358"/>
      <c r="I1725" s="1358"/>
    </row>
    <row r="1726" spans="8:9">
      <c r="H1726" s="1358"/>
      <c r="I1726" s="1358"/>
    </row>
    <row r="1727" spans="8:9">
      <c r="H1727" s="1358"/>
      <c r="I1727" s="1358"/>
    </row>
    <row r="1728" spans="8:9">
      <c r="H1728" s="1358"/>
      <c r="I1728" s="1358"/>
    </row>
    <row r="1729" spans="8:9">
      <c r="H1729" s="1358"/>
      <c r="I1729" s="1358"/>
    </row>
    <row r="1730" spans="8:9">
      <c r="H1730" s="1358"/>
      <c r="I1730" s="1358"/>
    </row>
    <row r="1731" spans="8:9">
      <c r="H1731" s="1358"/>
      <c r="I1731" s="1358"/>
    </row>
    <row r="1732" spans="8:9">
      <c r="H1732" s="1358"/>
      <c r="I1732" s="1358"/>
    </row>
    <row r="1733" spans="8:9">
      <c r="H1733" s="1358"/>
      <c r="I1733" s="1358"/>
    </row>
    <row r="1734" spans="8:9">
      <c r="H1734" s="1358"/>
      <c r="I1734" s="1358"/>
    </row>
    <row r="1735" spans="8:9">
      <c r="H1735" s="1358"/>
      <c r="I1735" s="1358"/>
    </row>
    <row r="1736" spans="8:9">
      <c r="H1736" s="1358"/>
      <c r="I1736" s="1358"/>
    </row>
    <row r="1737" spans="8:9">
      <c r="H1737" s="1358"/>
      <c r="I1737" s="1358"/>
    </row>
    <row r="1738" spans="8:9">
      <c r="H1738" s="1358"/>
      <c r="I1738" s="1358"/>
    </row>
    <row r="1739" spans="8:9">
      <c r="H1739" s="1358"/>
      <c r="I1739" s="1358"/>
    </row>
    <row r="1740" spans="8:9">
      <c r="H1740" s="1358"/>
      <c r="I1740" s="1358"/>
    </row>
    <row r="1741" spans="8:9">
      <c r="H1741" s="1358"/>
      <c r="I1741" s="1358"/>
    </row>
    <row r="1742" spans="8:9">
      <c r="H1742" s="1358"/>
      <c r="I1742" s="1358"/>
    </row>
    <row r="1743" spans="8:9">
      <c r="H1743" s="1358"/>
      <c r="I1743" s="1358"/>
    </row>
    <row r="1744" spans="8:9">
      <c r="H1744" s="1358"/>
      <c r="I1744" s="1358"/>
    </row>
    <row r="1745" spans="8:9">
      <c r="H1745" s="1358"/>
      <c r="I1745" s="1358"/>
    </row>
    <row r="1746" spans="8:9">
      <c r="H1746" s="1358"/>
      <c r="I1746" s="1358"/>
    </row>
    <row r="1747" spans="8:9">
      <c r="H1747" s="1358"/>
      <c r="I1747" s="1358"/>
    </row>
    <row r="1748" spans="8:9">
      <c r="H1748" s="1358"/>
      <c r="I1748" s="1358"/>
    </row>
    <row r="1749" spans="8:9">
      <c r="H1749" s="1358"/>
      <c r="I1749" s="1358"/>
    </row>
    <row r="1750" spans="8:9">
      <c r="H1750" s="1358"/>
      <c r="I1750" s="1358"/>
    </row>
    <row r="1751" spans="8:9">
      <c r="H1751" s="1358"/>
      <c r="I1751" s="1358"/>
    </row>
    <row r="1752" spans="8:9">
      <c r="H1752" s="1358"/>
      <c r="I1752" s="1358"/>
    </row>
    <row r="1753" spans="8:9">
      <c r="H1753" s="1358"/>
      <c r="I1753" s="1358"/>
    </row>
    <row r="1754" spans="8:9">
      <c r="H1754" s="1358"/>
      <c r="I1754" s="1358"/>
    </row>
    <row r="1755" spans="8:9">
      <c r="H1755" s="1358"/>
      <c r="I1755" s="1358"/>
    </row>
    <row r="1756" spans="8:9">
      <c r="H1756" s="1358"/>
      <c r="I1756" s="1358"/>
    </row>
    <row r="1757" spans="8:9">
      <c r="H1757" s="1358"/>
      <c r="I1757" s="1358"/>
    </row>
    <row r="1758" spans="8:9">
      <c r="H1758" s="1358"/>
      <c r="I1758" s="1358"/>
    </row>
    <row r="1759" spans="8:9">
      <c r="H1759" s="1358"/>
      <c r="I1759" s="1358"/>
    </row>
    <row r="1760" spans="8:9">
      <c r="H1760" s="1358"/>
      <c r="I1760" s="1358"/>
    </row>
    <row r="1761" spans="8:9">
      <c r="H1761" s="1358"/>
      <c r="I1761" s="1358"/>
    </row>
    <row r="1762" spans="8:9">
      <c r="H1762" s="1358"/>
      <c r="I1762" s="1358"/>
    </row>
    <row r="1763" spans="8:9">
      <c r="H1763" s="1358"/>
      <c r="I1763" s="1358"/>
    </row>
    <row r="1764" spans="8:9">
      <c r="H1764" s="1358"/>
      <c r="I1764" s="1358"/>
    </row>
    <row r="1765" spans="8:9">
      <c r="H1765" s="1358"/>
      <c r="I1765" s="1358"/>
    </row>
    <row r="1766" spans="8:9">
      <c r="H1766" s="1358"/>
      <c r="I1766" s="1358"/>
    </row>
    <row r="1767" spans="8:9">
      <c r="H1767" s="1358"/>
      <c r="I1767" s="1358"/>
    </row>
    <row r="1768" spans="8:9">
      <c r="H1768" s="1358"/>
      <c r="I1768" s="1358"/>
    </row>
    <row r="1769" spans="8:9">
      <c r="H1769" s="1358"/>
      <c r="I1769" s="1358"/>
    </row>
    <row r="1770" spans="8:9">
      <c r="H1770" s="1358"/>
      <c r="I1770" s="1358"/>
    </row>
    <row r="1771" spans="8:9">
      <c r="H1771" s="1358"/>
      <c r="I1771" s="1358"/>
    </row>
    <row r="1772" spans="8:9">
      <c r="H1772" s="1358"/>
      <c r="I1772" s="1358"/>
    </row>
    <row r="1773" spans="8:9">
      <c r="H1773" s="1358"/>
      <c r="I1773" s="1358"/>
    </row>
    <row r="1774" spans="8:9">
      <c r="H1774" s="1358"/>
      <c r="I1774" s="1358"/>
    </row>
    <row r="1775" spans="8:9">
      <c r="H1775" s="1358"/>
      <c r="I1775" s="1358"/>
    </row>
    <row r="1776" spans="8:9">
      <c r="H1776" s="1358"/>
      <c r="I1776" s="1358"/>
    </row>
    <row r="1777" spans="8:9">
      <c r="H1777" s="1358"/>
      <c r="I1777" s="1358"/>
    </row>
    <row r="1778" spans="8:9">
      <c r="H1778" s="1358"/>
      <c r="I1778" s="1358"/>
    </row>
    <row r="1779" spans="8:9">
      <c r="H1779" s="1358"/>
      <c r="I1779" s="1358"/>
    </row>
    <row r="1780" spans="8:9">
      <c r="H1780" s="1358"/>
      <c r="I1780" s="1358"/>
    </row>
    <row r="1781" spans="8:9">
      <c r="H1781" s="1358"/>
      <c r="I1781" s="1358"/>
    </row>
    <row r="1782" spans="8:9">
      <c r="H1782" s="1358"/>
      <c r="I1782" s="1358"/>
    </row>
    <row r="1783" spans="8:9">
      <c r="H1783" s="1358"/>
      <c r="I1783" s="1358"/>
    </row>
    <row r="1784" spans="8:9">
      <c r="H1784" s="1358"/>
      <c r="I1784" s="1358"/>
    </row>
    <row r="1785" spans="8:9">
      <c r="H1785" s="1358"/>
      <c r="I1785" s="1358"/>
    </row>
    <row r="1786" spans="8:9">
      <c r="H1786" s="1358"/>
      <c r="I1786" s="1358"/>
    </row>
    <row r="1787" spans="8:9">
      <c r="H1787" s="1358"/>
      <c r="I1787" s="1358"/>
    </row>
    <row r="1788" spans="8:9">
      <c r="H1788" s="1358"/>
      <c r="I1788" s="1358"/>
    </row>
    <row r="1789" spans="8:9">
      <c r="H1789" s="1358"/>
      <c r="I1789" s="1358"/>
    </row>
    <row r="1790" spans="8:9">
      <c r="H1790" s="1358"/>
      <c r="I1790" s="1358"/>
    </row>
    <row r="1791" spans="8:9">
      <c r="H1791" s="1358"/>
      <c r="I1791" s="1358"/>
    </row>
    <row r="1792" spans="8:9">
      <c r="H1792" s="1358"/>
      <c r="I1792" s="1358"/>
    </row>
    <row r="1793" spans="8:9">
      <c r="H1793" s="1358"/>
      <c r="I1793" s="1358"/>
    </row>
    <row r="1794" spans="8:9">
      <c r="H1794" s="1358"/>
      <c r="I1794" s="1358"/>
    </row>
    <row r="1795" spans="8:9">
      <c r="H1795" s="1358"/>
      <c r="I1795" s="1358"/>
    </row>
    <row r="1796" spans="8:9">
      <c r="H1796" s="1358"/>
      <c r="I1796" s="1358"/>
    </row>
    <row r="1797" spans="8:9">
      <c r="H1797" s="1358"/>
      <c r="I1797" s="1358"/>
    </row>
    <row r="1798" spans="8:9">
      <c r="H1798" s="1358"/>
      <c r="I1798" s="1358"/>
    </row>
    <row r="1799" spans="8:9">
      <c r="H1799" s="1358"/>
      <c r="I1799" s="1358"/>
    </row>
    <row r="1800" spans="8:9">
      <c r="H1800" s="1358"/>
      <c r="I1800" s="1358"/>
    </row>
    <row r="1801" spans="8:9">
      <c r="H1801" s="1358"/>
      <c r="I1801" s="1358"/>
    </row>
    <row r="1802" spans="8:9">
      <c r="H1802" s="1358"/>
      <c r="I1802" s="1358"/>
    </row>
    <row r="1803" spans="8:9">
      <c r="H1803" s="1358"/>
      <c r="I1803" s="1358"/>
    </row>
    <row r="1804" spans="8:9">
      <c r="H1804" s="1358"/>
      <c r="I1804" s="1358"/>
    </row>
    <row r="1805" spans="8:9">
      <c r="H1805" s="1358"/>
      <c r="I1805" s="1358"/>
    </row>
    <row r="1806" spans="8:9">
      <c r="H1806" s="1358"/>
      <c r="I1806" s="1358"/>
    </row>
    <row r="1807" spans="8:9">
      <c r="H1807" s="1358"/>
      <c r="I1807" s="1358"/>
    </row>
    <row r="1808" spans="8:9">
      <c r="H1808" s="1358"/>
      <c r="I1808" s="1358"/>
    </row>
    <row r="1809" spans="8:9">
      <c r="H1809" s="1358"/>
      <c r="I1809" s="1358"/>
    </row>
    <row r="1810" spans="8:9">
      <c r="H1810" s="1358"/>
      <c r="I1810" s="1358"/>
    </row>
    <row r="1811" spans="8:9">
      <c r="H1811" s="1358"/>
      <c r="I1811" s="1358"/>
    </row>
    <row r="1812" spans="8:9">
      <c r="H1812" s="1358"/>
      <c r="I1812" s="1358"/>
    </row>
    <row r="1813" spans="8:9">
      <c r="H1813" s="1358"/>
      <c r="I1813" s="1358"/>
    </row>
    <row r="1814" spans="8:9">
      <c r="H1814" s="1358"/>
      <c r="I1814" s="1358"/>
    </row>
    <row r="1815" spans="8:9">
      <c r="H1815" s="1358"/>
      <c r="I1815" s="1358"/>
    </row>
    <row r="1816" spans="8:9">
      <c r="H1816" s="1358"/>
      <c r="I1816" s="1358"/>
    </row>
    <row r="1817" spans="8:9">
      <c r="H1817" s="1358"/>
      <c r="I1817" s="1358"/>
    </row>
    <row r="1818" spans="8:9">
      <c r="H1818" s="1358"/>
      <c r="I1818" s="1358"/>
    </row>
    <row r="1819" spans="8:9">
      <c r="H1819" s="1358"/>
      <c r="I1819" s="1358"/>
    </row>
    <row r="1820" spans="8:9">
      <c r="H1820" s="1358"/>
      <c r="I1820" s="1358"/>
    </row>
    <row r="1821" spans="8:9">
      <c r="H1821" s="1358"/>
      <c r="I1821" s="1358"/>
    </row>
    <row r="1822" spans="8:9">
      <c r="H1822" s="1358"/>
      <c r="I1822" s="1358"/>
    </row>
    <row r="1823" spans="8:9">
      <c r="H1823" s="1358"/>
      <c r="I1823" s="1358"/>
    </row>
    <row r="1824" spans="8:9">
      <c r="H1824" s="1358"/>
      <c r="I1824" s="1358"/>
    </row>
    <row r="1825" spans="8:9">
      <c r="H1825" s="1358"/>
      <c r="I1825" s="1358"/>
    </row>
    <row r="1826" spans="8:9">
      <c r="H1826" s="1358"/>
      <c r="I1826" s="1358"/>
    </row>
    <row r="1827" spans="8:9">
      <c r="H1827" s="1358"/>
      <c r="I1827" s="1358"/>
    </row>
    <row r="1828" spans="8:9">
      <c r="H1828" s="1358"/>
      <c r="I1828" s="1358"/>
    </row>
    <row r="1829" spans="8:9">
      <c r="H1829" s="1358"/>
      <c r="I1829" s="1358"/>
    </row>
    <row r="1830" spans="8:9">
      <c r="H1830" s="1358"/>
      <c r="I1830" s="1358"/>
    </row>
    <row r="1831" spans="8:9">
      <c r="H1831" s="1358"/>
      <c r="I1831" s="1358"/>
    </row>
    <row r="1832" spans="8:9">
      <c r="H1832" s="1358"/>
      <c r="I1832" s="1358"/>
    </row>
    <row r="1833" spans="8:9">
      <c r="H1833" s="1358"/>
      <c r="I1833" s="1358"/>
    </row>
    <row r="1834" spans="8:9">
      <c r="H1834" s="1358"/>
      <c r="I1834" s="1358"/>
    </row>
    <row r="1835" spans="8:9">
      <c r="H1835" s="1358"/>
      <c r="I1835" s="1358"/>
    </row>
    <row r="1836" spans="8:9">
      <c r="H1836" s="1358"/>
      <c r="I1836" s="1358"/>
    </row>
    <row r="1837" spans="8:9">
      <c r="H1837" s="1358"/>
      <c r="I1837" s="1358"/>
    </row>
    <row r="1838" spans="8:9">
      <c r="H1838" s="1358"/>
      <c r="I1838" s="1358"/>
    </row>
    <row r="1839" spans="8:9">
      <c r="H1839" s="1358"/>
      <c r="I1839" s="1358"/>
    </row>
    <row r="1840" spans="8:9">
      <c r="H1840" s="1358"/>
      <c r="I1840" s="1358"/>
    </row>
    <row r="1841" spans="8:9">
      <c r="H1841" s="1358"/>
      <c r="I1841" s="1358"/>
    </row>
    <row r="1842" spans="8:9">
      <c r="H1842" s="1358"/>
      <c r="I1842" s="1358"/>
    </row>
    <row r="1843" spans="8:9">
      <c r="H1843" s="1358"/>
      <c r="I1843" s="1358"/>
    </row>
    <row r="1844" spans="8:9">
      <c r="H1844" s="1358"/>
      <c r="I1844" s="1358"/>
    </row>
    <row r="1845" spans="8:9">
      <c r="H1845" s="1358"/>
      <c r="I1845" s="1358"/>
    </row>
    <row r="1846" spans="8:9">
      <c r="H1846" s="1358"/>
      <c r="I1846" s="1358"/>
    </row>
    <row r="1847" spans="8:9">
      <c r="H1847" s="1358"/>
      <c r="I1847" s="1358"/>
    </row>
    <row r="1848" spans="8:9">
      <c r="H1848" s="1358"/>
      <c r="I1848" s="1358"/>
    </row>
    <row r="1849" spans="8:9">
      <c r="H1849" s="1358"/>
      <c r="I1849" s="1358"/>
    </row>
    <row r="1850" spans="8:9">
      <c r="H1850" s="1358"/>
      <c r="I1850" s="1358"/>
    </row>
    <row r="1851" spans="8:9">
      <c r="H1851" s="1358"/>
      <c r="I1851" s="1358"/>
    </row>
    <row r="1852" spans="8:9">
      <c r="H1852" s="1358"/>
      <c r="I1852" s="1358"/>
    </row>
    <row r="1853" spans="8:9">
      <c r="H1853" s="1358"/>
      <c r="I1853" s="1358"/>
    </row>
    <row r="1854" spans="8:9">
      <c r="H1854" s="1358"/>
      <c r="I1854" s="1358"/>
    </row>
    <row r="1855" spans="8:9">
      <c r="H1855" s="1358"/>
      <c r="I1855" s="1358"/>
    </row>
    <row r="1856" spans="8:9">
      <c r="H1856" s="1358"/>
      <c r="I1856" s="1358"/>
    </row>
    <row r="1857" spans="8:9">
      <c r="H1857" s="1358"/>
      <c r="I1857" s="1358"/>
    </row>
    <row r="1858" spans="8:9">
      <c r="H1858" s="1358"/>
      <c r="I1858" s="1358"/>
    </row>
    <row r="1859" spans="8:9">
      <c r="H1859" s="1358"/>
      <c r="I1859" s="1358"/>
    </row>
    <row r="1860" spans="8:9">
      <c r="H1860" s="1358"/>
      <c r="I1860" s="1358"/>
    </row>
    <row r="1861" spans="8:9">
      <c r="H1861" s="1358"/>
      <c r="I1861" s="1358"/>
    </row>
    <row r="1862" spans="8:9">
      <c r="H1862" s="1358"/>
      <c r="I1862" s="1358"/>
    </row>
    <row r="1863" spans="8:9">
      <c r="H1863" s="1358"/>
      <c r="I1863" s="1358"/>
    </row>
    <row r="1864" spans="8:9">
      <c r="H1864" s="1358"/>
      <c r="I1864" s="1358"/>
    </row>
    <row r="1865" spans="8:9">
      <c r="H1865" s="1358"/>
      <c r="I1865" s="1358"/>
    </row>
    <row r="1866" spans="8:9">
      <c r="H1866" s="1358"/>
      <c r="I1866" s="1358"/>
    </row>
    <row r="1867" spans="8:9">
      <c r="H1867" s="1358"/>
      <c r="I1867" s="1358"/>
    </row>
    <row r="1868" spans="8:9">
      <c r="H1868" s="1358"/>
      <c r="I1868" s="1358"/>
    </row>
    <row r="1869" spans="8:9">
      <c r="H1869" s="1358"/>
      <c r="I1869" s="1358"/>
    </row>
    <row r="1870" spans="8:9">
      <c r="H1870" s="1358"/>
      <c r="I1870" s="1358"/>
    </row>
    <row r="1871" spans="8:9">
      <c r="H1871" s="1358"/>
      <c r="I1871" s="1358"/>
    </row>
    <row r="1872" spans="8:9">
      <c r="H1872" s="1358"/>
      <c r="I1872" s="1358"/>
    </row>
    <row r="1873" spans="8:9">
      <c r="H1873" s="1358"/>
      <c r="I1873" s="1358"/>
    </row>
    <row r="1874" spans="8:9">
      <c r="H1874" s="1358"/>
      <c r="I1874" s="1358"/>
    </row>
    <row r="1875" spans="8:9">
      <c r="H1875" s="1358"/>
      <c r="I1875" s="1358"/>
    </row>
    <row r="1876" spans="8:9">
      <c r="H1876" s="1358"/>
      <c r="I1876" s="1358"/>
    </row>
    <row r="1877" spans="8:9">
      <c r="H1877" s="1358"/>
      <c r="I1877" s="1358"/>
    </row>
    <row r="1878" spans="8:9">
      <c r="H1878" s="1358"/>
      <c r="I1878" s="1358"/>
    </row>
    <row r="1879" spans="8:9">
      <c r="H1879" s="1358"/>
      <c r="I1879" s="1358"/>
    </row>
    <row r="1880" spans="8:9">
      <c r="H1880" s="1358"/>
      <c r="I1880" s="1358"/>
    </row>
    <row r="1881" spans="8:9">
      <c r="H1881" s="1358"/>
      <c r="I1881" s="1358"/>
    </row>
    <row r="1882" spans="8:9">
      <c r="H1882" s="1358"/>
      <c r="I1882" s="1358"/>
    </row>
    <row r="1883" spans="8:9">
      <c r="H1883" s="1358"/>
      <c r="I1883" s="1358"/>
    </row>
    <row r="1884" spans="8:9">
      <c r="H1884" s="1358"/>
      <c r="I1884" s="1358"/>
    </row>
    <row r="1885" spans="8:9">
      <c r="H1885" s="1358"/>
      <c r="I1885" s="1358"/>
    </row>
    <row r="1886" spans="8:9">
      <c r="H1886" s="1358"/>
      <c r="I1886" s="1358"/>
    </row>
    <row r="1887" spans="8:9">
      <c r="H1887" s="1358"/>
      <c r="I1887" s="1358"/>
    </row>
    <row r="1888" spans="8:9">
      <c r="H1888" s="1358"/>
      <c r="I1888" s="1358"/>
    </row>
    <row r="1889" spans="8:9">
      <c r="H1889" s="1358"/>
      <c r="I1889" s="1358"/>
    </row>
    <row r="1890" spans="8:9">
      <c r="H1890" s="1358"/>
      <c r="I1890" s="1358"/>
    </row>
    <row r="1891" spans="8:9">
      <c r="H1891" s="1358"/>
      <c r="I1891" s="1358"/>
    </row>
    <row r="1892" spans="8:9">
      <c r="H1892" s="1358"/>
      <c r="I1892" s="1358"/>
    </row>
    <row r="1893" spans="8:9">
      <c r="H1893" s="1358"/>
      <c r="I1893" s="1358"/>
    </row>
    <row r="1894" spans="8:9">
      <c r="H1894" s="1358"/>
      <c r="I1894" s="1358"/>
    </row>
    <row r="1895" spans="8:9">
      <c r="H1895" s="1358"/>
      <c r="I1895" s="1358"/>
    </row>
    <row r="1896" spans="8:9">
      <c r="H1896" s="1358"/>
      <c r="I1896" s="1358"/>
    </row>
    <row r="1897" spans="8:9">
      <c r="H1897" s="1358"/>
      <c r="I1897" s="1358"/>
    </row>
    <row r="1898" spans="8:9">
      <c r="H1898" s="1358"/>
      <c r="I1898" s="1358"/>
    </row>
    <row r="1899" spans="8:9">
      <c r="H1899" s="1358"/>
      <c r="I1899" s="1358"/>
    </row>
    <row r="1900" spans="8:9">
      <c r="H1900" s="1358"/>
      <c r="I1900" s="1358"/>
    </row>
    <row r="1901" spans="8:9">
      <c r="H1901" s="1358"/>
      <c r="I1901" s="1358"/>
    </row>
    <row r="1902" spans="8:9">
      <c r="H1902" s="1358"/>
      <c r="I1902" s="1358"/>
    </row>
    <row r="1903" spans="8:9">
      <c r="H1903" s="1358"/>
      <c r="I1903" s="1358"/>
    </row>
    <row r="1904" spans="8:9">
      <c r="H1904" s="1358"/>
      <c r="I1904" s="1358"/>
    </row>
    <row r="1905" spans="8:9">
      <c r="H1905" s="1358"/>
      <c r="I1905" s="1358"/>
    </row>
    <row r="1906" spans="8:9">
      <c r="H1906" s="1358"/>
      <c r="I1906" s="1358"/>
    </row>
    <row r="1907" spans="8:9">
      <c r="H1907" s="1358"/>
      <c r="I1907" s="1358"/>
    </row>
    <row r="1908" spans="8:9">
      <c r="H1908" s="1358"/>
      <c r="I1908" s="1358"/>
    </row>
    <row r="1909" spans="8:9">
      <c r="H1909" s="1358"/>
      <c r="I1909" s="1358"/>
    </row>
    <row r="1910" spans="8:9">
      <c r="H1910" s="1358"/>
      <c r="I1910" s="1358"/>
    </row>
    <row r="1911" spans="8:9">
      <c r="H1911" s="1358"/>
      <c r="I1911" s="1358"/>
    </row>
    <row r="1912" spans="8:9">
      <c r="H1912" s="1358"/>
      <c r="I1912" s="1358"/>
    </row>
    <row r="1913" spans="8:9">
      <c r="H1913" s="1358"/>
      <c r="I1913" s="1358"/>
    </row>
    <row r="1914" spans="8:9">
      <c r="H1914" s="1358"/>
      <c r="I1914" s="1358"/>
    </row>
    <row r="1915" spans="8:9">
      <c r="H1915" s="1358"/>
      <c r="I1915" s="1358"/>
    </row>
    <row r="1916" spans="8:9">
      <c r="H1916" s="1358"/>
      <c r="I1916" s="1358"/>
    </row>
    <row r="1917" spans="8:9">
      <c r="H1917" s="1358"/>
      <c r="I1917" s="1358"/>
    </row>
    <row r="1918" spans="8:9">
      <c r="H1918" s="1358"/>
      <c r="I1918" s="1358"/>
    </row>
    <row r="1919" spans="8:9">
      <c r="H1919" s="1358"/>
      <c r="I1919" s="1358"/>
    </row>
    <row r="1920" spans="8:9">
      <c r="H1920" s="1358"/>
      <c r="I1920" s="1358"/>
    </row>
    <row r="1921" spans="8:9">
      <c r="H1921" s="1358"/>
      <c r="I1921" s="1358"/>
    </row>
    <row r="1922" spans="8:9">
      <c r="H1922" s="1358"/>
      <c r="I1922" s="1358"/>
    </row>
    <row r="1923" spans="8:9">
      <c r="H1923" s="1358"/>
      <c r="I1923" s="1358"/>
    </row>
    <row r="1924" spans="8:9">
      <c r="H1924" s="1358"/>
      <c r="I1924" s="1358"/>
    </row>
    <row r="1925" spans="8:9">
      <c r="H1925" s="1358"/>
      <c r="I1925" s="1358"/>
    </row>
    <row r="1926" spans="8:9">
      <c r="H1926" s="1358"/>
      <c r="I1926" s="1358"/>
    </row>
    <row r="1927" spans="8:9">
      <c r="H1927" s="1358"/>
      <c r="I1927" s="1358"/>
    </row>
    <row r="1928" spans="8:9">
      <c r="H1928" s="1358"/>
      <c r="I1928" s="1358"/>
    </row>
    <row r="1929" spans="8:9">
      <c r="H1929" s="1358"/>
      <c r="I1929" s="1358"/>
    </row>
    <row r="1930" spans="8:9">
      <c r="H1930" s="1358"/>
      <c r="I1930" s="1358"/>
    </row>
    <row r="1931" spans="8:9">
      <c r="H1931" s="1358"/>
      <c r="I1931" s="1358"/>
    </row>
    <row r="1932" spans="8:9">
      <c r="H1932" s="1358"/>
      <c r="I1932" s="1358"/>
    </row>
    <row r="1933" spans="8:9">
      <c r="H1933" s="1358"/>
      <c r="I1933" s="1358"/>
    </row>
    <row r="1934" spans="8:9">
      <c r="H1934" s="1358"/>
      <c r="I1934" s="1358"/>
    </row>
    <row r="1935" spans="8:9">
      <c r="H1935" s="1358"/>
      <c r="I1935" s="1358"/>
    </row>
    <row r="1936" spans="8:9">
      <c r="H1936" s="1358"/>
      <c r="I1936" s="1358"/>
    </row>
    <row r="1937" spans="8:9">
      <c r="H1937" s="1358"/>
      <c r="I1937" s="1358"/>
    </row>
    <row r="1938" spans="8:9">
      <c r="H1938" s="1358"/>
      <c r="I1938" s="1358"/>
    </row>
    <row r="1939" spans="8:9">
      <c r="H1939" s="1358"/>
      <c r="I1939" s="1358"/>
    </row>
    <row r="1940" spans="8:9">
      <c r="H1940" s="1358"/>
      <c r="I1940" s="1358"/>
    </row>
    <row r="1941" spans="8:9">
      <c r="H1941" s="1358"/>
      <c r="I1941" s="1358"/>
    </row>
    <row r="1942" spans="8:9">
      <c r="H1942" s="1358"/>
      <c r="I1942" s="1358"/>
    </row>
    <row r="1943" spans="8:9">
      <c r="H1943" s="1358"/>
      <c r="I1943" s="1358"/>
    </row>
    <row r="1944" spans="8:9">
      <c r="H1944" s="1358"/>
      <c r="I1944" s="1358"/>
    </row>
    <row r="1945" spans="8:9">
      <c r="H1945" s="1358"/>
      <c r="I1945" s="1358"/>
    </row>
    <row r="1946" spans="8:9">
      <c r="H1946" s="1358"/>
      <c r="I1946" s="1358"/>
    </row>
    <row r="1947" spans="8:9">
      <c r="H1947" s="1358"/>
      <c r="I1947" s="1358"/>
    </row>
    <row r="1948" spans="8:9">
      <c r="H1948" s="1358"/>
      <c r="I1948" s="1358"/>
    </row>
    <row r="1949" spans="8:9">
      <c r="H1949" s="1358"/>
      <c r="I1949" s="1358"/>
    </row>
    <row r="1950" spans="8:9">
      <c r="H1950" s="1358"/>
      <c r="I1950" s="1358"/>
    </row>
    <row r="1951" spans="8:9">
      <c r="H1951" s="1358"/>
      <c r="I1951" s="1358"/>
    </row>
    <row r="1952" spans="8:9">
      <c r="H1952" s="1358"/>
      <c r="I1952" s="1358"/>
    </row>
    <row r="1953" spans="8:9">
      <c r="H1953" s="1358"/>
      <c r="I1953" s="1358"/>
    </row>
    <row r="1954" spans="8:9">
      <c r="H1954" s="1358"/>
      <c r="I1954" s="1358"/>
    </row>
    <row r="1955" spans="8:9">
      <c r="H1955" s="1358"/>
      <c r="I1955" s="1358"/>
    </row>
    <row r="1956" spans="8:9">
      <c r="H1956" s="1358"/>
      <c r="I1956" s="1358"/>
    </row>
    <row r="1957" spans="8:9">
      <c r="H1957" s="1358"/>
      <c r="I1957" s="1358"/>
    </row>
    <row r="1958" spans="8:9">
      <c r="H1958" s="1358"/>
      <c r="I1958" s="1358"/>
    </row>
    <row r="1959" spans="8:9">
      <c r="H1959" s="1358"/>
      <c r="I1959" s="1358"/>
    </row>
    <row r="1960" spans="8:9">
      <c r="H1960" s="1358"/>
      <c r="I1960" s="1358"/>
    </row>
    <row r="1961" spans="8:9">
      <c r="H1961" s="1358"/>
      <c r="I1961" s="1358"/>
    </row>
    <row r="1962" spans="8:9">
      <c r="H1962" s="1358"/>
      <c r="I1962" s="1358"/>
    </row>
    <row r="1963" spans="8:9">
      <c r="H1963" s="1358"/>
      <c r="I1963" s="1358"/>
    </row>
    <row r="1964" spans="8:9">
      <c r="H1964" s="1358"/>
      <c r="I1964" s="1358"/>
    </row>
    <row r="1965" spans="8:9">
      <c r="H1965" s="1358"/>
      <c r="I1965" s="1358"/>
    </row>
    <row r="1966" spans="8:9">
      <c r="H1966" s="1358"/>
      <c r="I1966" s="1358"/>
    </row>
    <row r="1967" spans="8:9">
      <c r="H1967" s="1358"/>
      <c r="I1967" s="1358"/>
    </row>
    <row r="1968" spans="8:9">
      <c r="H1968" s="1358"/>
      <c r="I1968" s="1358"/>
    </row>
    <row r="1969" spans="8:9">
      <c r="H1969" s="1358"/>
      <c r="I1969" s="1358"/>
    </row>
    <row r="1970" spans="8:9">
      <c r="H1970" s="1358"/>
      <c r="I1970" s="1358"/>
    </row>
    <row r="1971" spans="8:9">
      <c r="H1971" s="1358"/>
      <c r="I1971" s="1358"/>
    </row>
    <row r="1972" spans="8:9">
      <c r="H1972" s="1358"/>
      <c r="I1972" s="1358"/>
    </row>
    <row r="1973" spans="8:9">
      <c r="H1973" s="1358"/>
      <c r="I1973" s="1358"/>
    </row>
    <row r="1974" spans="8:9">
      <c r="H1974" s="1358"/>
      <c r="I1974" s="1358"/>
    </row>
    <row r="1975" spans="8:9">
      <c r="H1975" s="1358"/>
      <c r="I1975" s="1358"/>
    </row>
    <row r="1976" spans="8:9">
      <c r="H1976" s="1358"/>
      <c r="I1976" s="1358"/>
    </row>
    <row r="1977" spans="8:9">
      <c r="H1977" s="1358"/>
      <c r="I1977" s="1358"/>
    </row>
    <row r="1978" spans="8:9">
      <c r="H1978" s="1358"/>
      <c r="I1978" s="1358"/>
    </row>
    <row r="1979" spans="8:9">
      <c r="H1979" s="1358"/>
      <c r="I1979" s="1358"/>
    </row>
    <row r="1980" spans="8:9">
      <c r="H1980" s="1358"/>
      <c r="I1980" s="1358"/>
    </row>
    <row r="1981" spans="8:9">
      <c r="H1981" s="1358"/>
      <c r="I1981" s="1358"/>
    </row>
    <row r="1982" spans="8:9">
      <c r="H1982" s="1358"/>
      <c r="I1982" s="1358"/>
    </row>
    <row r="1983" spans="8:9">
      <c r="H1983" s="1358"/>
      <c r="I1983" s="1358"/>
    </row>
    <row r="1984" spans="8:9">
      <c r="H1984" s="1358"/>
      <c r="I1984" s="1358"/>
    </row>
    <row r="1985" spans="8:9">
      <c r="H1985" s="1358"/>
      <c r="I1985" s="1358"/>
    </row>
    <row r="1986" spans="8:9">
      <c r="H1986" s="1358"/>
      <c r="I1986" s="1358"/>
    </row>
    <row r="1987" spans="8:9">
      <c r="H1987" s="1358"/>
      <c r="I1987" s="1358"/>
    </row>
    <row r="1988" spans="8:9">
      <c r="H1988" s="1358"/>
      <c r="I1988" s="1358"/>
    </row>
    <row r="1989" spans="8:9">
      <c r="H1989" s="1358"/>
      <c r="I1989" s="1358"/>
    </row>
    <row r="1990" spans="8:9">
      <c r="H1990" s="1358"/>
      <c r="I1990" s="1358"/>
    </row>
    <row r="1991" spans="8:9">
      <c r="H1991" s="1358"/>
      <c r="I1991" s="1358"/>
    </row>
    <row r="1992" spans="8:9">
      <c r="H1992" s="1358"/>
      <c r="I1992" s="1358"/>
    </row>
    <row r="1993" spans="8:9">
      <c r="H1993" s="1358"/>
      <c r="I1993" s="1358"/>
    </row>
    <row r="1994" spans="8:9">
      <c r="H1994" s="1358"/>
      <c r="I1994" s="1358"/>
    </row>
    <row r="1995" spans="8:9">
      <c r="H1995" s="1358"/>
      <c r="I1995" s="1358"/>
    </row>
    <row r="1996" spans="8:9">
      <c r="H1996" s="1358"/>
      <c r="I1996" s="1358"/>
    </row>
    <row r="1997" spans="8:9">
      <c r="H1997" s="1358"/>
      <c r="I1997" s="1358"/>
    </row>
    <row r="1998" spans="8:9">
      <c r="H1998" s="1358"/>
      <c r="I1998" s="1358"/>
    </row>
    <row r="1999" spans="8:9">
      <c r="H1999" s="1358"/>
      <c r="I1999" s="1358"/>
    </row>
    <row r="2000" spans="8:9">
      <c r="H2000" s="1358"/>
      <c r="I2000" s="1358"/>
    </row>
    <row r="2001" spans="8:9">
      <c r="H2001" s="1358"/>
      <c r="I2001" s="1358"/>
    </row>
    <row r="2002" spans="8:9">
      <c r="H2002" s="1358"/>
      <c r="I2002" s="1358"/>
    </row>
    <row r="2003" spans="8:9">
      <c r="H2003" s="1358"/>
      <c r="I2003" s="1358"/>
    </row>
    <row r="2004" spans="8:9">
      <c r="H2004" s="1358"/>
      <c r="I2004" s="1358"/>
    </row>
    <row r="2005" spans="8:9">
      <c r="H2005" s="1358"/>
      <c r="I2005" s="1358"/>
    </row>
    <row r="2006" spans="8:9">
      <c r="H2006" s="1358"/>
      <c r="I2006" s="1358"/>
    </row>
    <row r="2007" spans="8:9">
      <c r="H2007" s="1358"/>
      <c r="I2007" s="1358"/>
    </row>
    <row r="2008" spans="8:9">
      <c r="H2008" s="1358"/>
      <c r="I2008" s="1358"/>
    </row>
    <row r="2009" spans="8:9">
      <c r="H2009" s="1358"/>
      <c r="I2009" s="1358"/>
    </row>
    <row r="2010" spans="8:9">
      <c r="H2010" s="1358"/>
      <c r="I2010" s="1358"/>
    </row>
    <row r="2011" spans="8:9">
      <c r="H2011" s="1358"/>
      <c r="I2011" s="1358"/>
    </row>
    <row r="2012" spans="8:9">
      <c r="H2012" s="1358"/>
      <c r="I2012" s="1358"/>
    </row>
    <row r="2013" spans="8:9">
      <c r="H2013" s="1358"/>
      <c r="I2013" s="1358"/>
    </row>
    <row r="2014" spans="8:9">
      <c r="H2014" s="1358"/>
      <c r="I2014" s="1358"/>
    </row>
    <row r="2015" spans="8:9">
      <c r="H2015" s="1358"/>
      <c r="I2015" s="1358"/>
    </row>
    <row r="2016" spans="8:9">
      <c r="H2016" s="1358"/>
      <c r="I2016" s="1358"/>
    </row>
    <row r="2017" spans="8:9">
      <c r="H2017" s="1358"/>
      <c r="I2017" s="1358"/>
    </row>
    <row r="2018" spans="8:9">
      <c r="H2018" s="1358"/>
      <c r="I2018" s="1358"/>
    </row>
    <row r="2019" spans="8:9">
      <c r="H2019" s="1358"/>
      <c r="I2019" s="1358"/>
    </row>
    <row r="2020" spans="8:9">
      <c r="H2020" s="1358"/>
      <c r="I2020" s="1358"/>
    </row>
    <row r="2021" spans="8:9">
      <c r="H2021" s="1358"/>
      <c r="I2021" s="1358"/>
    </row>
    <row r="2022" spans="8:9">
      <c r="H2022" s="1358"/>
      <c r="I2022" s="1358"/>
    </row>
    <row r="2023" spans="8:9">
      <c r="H2023" s="1358"/>
      <c r="I2023" s="1358"/>
    </row>
    <row r="2024" spans="8:9">
      <c r="H2024" s="1358"/>
      <c r="I2024" s="1358"/>
    </row>
    <row r="2025" spans="8:9">
      <c r="H2025" s="1358"/>
      <c r="I2025" s="1358"/>
    </row>
    <row r="2026" spans="8:9">
      <c r="H2026" s="1358"/>
      <c r="I2026" s="1358"/>
    </row>
    <row r="2027" spans="8:9">
      <c r="H2027" s="1358"/>
      <c r="I2027" s="1358"/>
    </row>
    <row r="2028" spans="8:9">
      <c r="H2028" s="1358"/>
      <c r="I2028" s="1358"/>
    </row>
    <row r="2029" spans="8:9">
      <c r="H2029" s="1358"/>
      <c r="I2029" s="1358"/>
    </row>
    <row r="2030" spans="8:9">
      <c r="H2030" s="1358"/>
      <c r="I2030" s="1358"/>
    </row>
    <row r="2031" spans="8:9">
      <c r="H2031" s="1358"/>
      <c r="I2031" s="1358"/>
    </row>
    <row r="2032" spans="8:9">
      <c r="H2032" s="1358"/>
      <c r="I2032" s="1358"/>
    </row>
    <row r="2033" spans="8:9">
      <c r="H2033" s="1358"/>
      <c r="I2033" s="1358"/>
    </row>
    <row r="2034" spans="8:9">
      <c r="H2034" s="1358"/>
      <c r="I2034" s="1358"/>
    </row>
    <row r="2035" spans="8:9">
      <c r="H2035" s="1358"/>
      <c r="I2035" s="1358"/>
    </row>
    <row r="2036" spans="8:9">
      <c r="H2036" s="1358"/>
      <c r="I2036" s="1358"/>
    </row>
    <row r="2037" spans="8:9">
      <c r="H2037" s="1358"/>
      <c r="I2037" s="1358"/>
    </row>
    <row r="2038" spans="8:9">
      <c r="H2038" s="1358"/>
      <c r="I2038" s="1358"/>
    </row>
    <row r="2039" spans="8:9">
      <c r="H2039" s="1358"/>
      <c r="I2039" s="1358"/>
    </row>
    <row r="2040" spans="8:9">
      <c r="H2040" s="1358"/>
      <c r="I2040" s="1358"/>
    </row>
    <row r="2041" spans="8:9">
      <c r="H2041" s="1358"/>
      <c r="I2041" s="1358"/>
    </row>
    <row r="2042" spans="8:9">
      <c r="H2042" s="1358"/>
      <c r="I2042" s="1358"/>
    </row>
    <row r="2043" spans="8:9">
      <c r="H2043" s="1358"/>
      <c r="I2043" s="1358"/>
    </row>
    <row r="2044" spans="8:9">
      <c r="H2044" s="1358"/>
      <c r="I2044" s="1358"/>
    </row>
    <row r="2045" spans="8:9">
      <c r="H2045" s="1358"/>
      <c r="I2045" s="1358"/>
    </row>
    <row r="2046" spans="8:9">
      <c r="H2046" s="1358"/>
      <c r="I2046" s="1358"/>
    </row>
    <row r="2047" spans="8:9">
      <c r="H2047" s="1358"/>
      <c r="I2047" s="1358"/>
    </row>
    <row r="2048" spans="8:9">
      <c r="H2048" s="1358"/>
      <c r="I2048" s="1358"/>
    </row>
    <row r="2049" spans="8:9">
      <c r="H2049" s="1358"/>
      <c r="I2049" s="1358"/>
    </row>
    <row r="2050" spans="8:9">
      <c r="H2050" s="1358"/>
      <c r="I2050" s="1358"/>
    </row>
    <row r="2051" spans="8:9">
      <c r="H2051" s="1358"/>
      <c r="I2051" s="1358"/>
    </row>
    <row r="2052" spans="8:9">
      <c r="H2052" s="1358"/>
      <c r="I2052" s="1358"/>
    </row>
    <row r="2053" spans="8:9">
      <c r="H2053" s="1358"/>
      <c r="I2053" s="1358"/>
    </row>
    <row r="2054" spans="8:9">
      <c r="H2054" s="1358"/>
      <c r="I2054" s="1358"/>
    </row>
    <row r="2055" spans="8:9">
      <c r="H2055" s="1358"/>
      <c r="I2055" s="1358"/>
    </row>
    <row r="2056" spans="8:9">
      <c r="H2056" s="1358"/>
      <c r="I2056" s="1358"/>
    </row>
    <row r="2057" spans="8:9">
      <c r="H2057" s="1358"/>
      <c r="I2057" s="1358"/>
    </row>
    <row r="2058" spans="8:9">
      <c r="H2058" s="1358"/>
      <c r="I2058" s="1358"/>
    </row>
    <row r="2059" spans="8:9">
      <c r="H2059" s="1358"/>
      <c r="I2059" s="1358"/>
    </row>
    <row r="2060" spans="8:9">
      <c r="H2060" s="1358"/>
      <c r="I2060" s="1358"/>
    </row>
    <row r="2061" spans="8:9">
      <c r="H2061" s="1358"/>
      <c r="I2061" s="1358"/>
    </row>
    <row r="2062" spans="8:9">
      <c r="H2062" s="1358"/>
      <c r="I2062" s="1358"/>
    </row>
    <row r="2063" spans="8:9">
      <c r="H2063" s="1358"/>
      <c r="I2063" s="1358"/>
    </row>
    <row r="2064" spans="8:9">
      <c r="H2064" s="1358"/>
      <c r="I2064" s="1358"/>
    </row>
    <row r="2065" spans="8:9">
      <c r="H2065" s="1358"/>
      <c r="I2065" s="1358"/>
    </row>
    <row r="2066" spans="8:9">
      <c r="H2066" s="1358"/>
      <c r="I2066" s="1358"/>
    </row>
    <row r="2067" spans="8:9">
      <c r="H2067" s="1358"/>
      <c r="I2067" s="1358"/>
    </row>
    <row r="2068" spans="8:9">
      <c r="H2068" s="1358"/>
      <c r="I2068" s="1358"/>
    </row>
    <row r="2069" spans="8:9">
      <c r="H2069" s="1358"/>
      <c r="I2069" s="1358"/>
    </row>
    <row r="2070" spans="8:9">
      <c r="H2070" s="1358"/>
      <c r="I2070" s="1358"/>
    </row>
    <row r="2071" spans="8:9">
      <c r="H2071" s="1358"/>
      <c r="I2071" s="1358"/>
    </row>
    <row r="2072" spans="8:9">
      <c r="H2072" s="1358"/>
      <c r="I2072" s="1358"/>
    </row>
    <row r="2073" spans="8:9">
      <c r="H2073" s="1358"/>
      <c r="I2073" s="1358"/>
    </row>
    <row r="2074" spans="8:9">
      <c r="H2074" s="1358"/>
      <c r="I2074" s="1358"/>
    </row>
    <row r="2075" spans="8:9">
      <c r="H2075" s="1358"/>
      <c r="I2075" s="1358"/>
    </row>
    <row r="2076" spans="8:9">
      <c r="H2076" s="1358"/>
      <c r="I2076" s="1358"/>
    </row>
    <row r="2077" spans="8:9">
      <c r="H2077" s="1358"/>
      <c r="I2077" s="1358"/>
    </row>
    <row r="2078" spans="8:9">
      <c r="H2078" s="1358"/>
      <c r="I2078" s="1358"/>
    </row>
    <row r="2079" spans="8:9">
      <c r="H2079" s="1358"/>
      <c r="I2079" s="1358"/>
    </row>
    <row r="2080" spans="8:9">
      <c r="H2080" s="1358"/>
      <c r="I2080" s="1358"/>
    </row>
    <row r="2081" spans="8:9">
      <c r="H2081" s="1358"/>
      <c r="I2081" s="1358"/>
    </row>
    <row r="2082" spans="8:9">
      <c r="H2082" s="1358"/>
      <c r="I2082" s="1358"/>
    </row>
    <row r="2083" spans="8:9">
      <c r="H2083" s="1358"/>
      <c r="I2083" s="1358"/>
    </row>
    <row r="2084" spans="8:9">
      <c r="H2084" s="1358"/>
      <c r="I2084" s="1358"/>
    </row>
    <row r="2085" spans="8:9">
      <c r="H2085" s="1358"/>
      <c r="I2085" s="1358"/>
    </row>
    <row r="2086" spans="8:9">
      <c r="H2086" s="1358"/>
      <c r="I2086" s="1358"/>
    </row>
    <row r="2087" spans="8:9">
      <c r="H2087" s="1358"/>
      <c r="I2087" s="1358"/>
    </row>
    <row r="2088" spans="8:9">
      <c r="H2088" s="1358"/>
      <c r="I2088" s="1358"/>
    </row>
    <row r="2089" spans="8:9">
      <c r="H2089" s="1358"/>
      <c r="I2089" s="1358"/>
    </row>
    <row r="2090" spans="8:9">
      <c r="H2090" s="1358"/>
      <c r="I2090" s="1358"/>
    </row>
    <row r="2091" spans="8:9">
      <c r="H2091" s="1358"/>
      <c r="I2091" s="1358"/>
    </row>
    <row r="2092" spans="8:9">
      <c r="H2092" s="1358"/>
      <c r="I2092" s="1358"/>
    </row>
    <row r="2093" spans="8:9">
      <c r="H2093" s="1358"/>
      <c r="I2093" s="1358"/>
    </row>
    <row r="2094" spans="8:9">
      <c r="H2094" s="1358"/>
      <c r="I2094" s="1358"/>
    </row>
    <row r="2095" spans="8:9">
      <c r="H2095" s="1358"/>
      <c r="I2095" s="1358"/>
    </row>
    <row r="2096" spans="8:9">
      <c r="H2096" s="1358"/>
      <c r="I2096" s="1358"/>
    </row>
    <row r="2097" spans="8:9">
      <c r="H2097" s="1358"/>
      <c r="I2097" s="1358"/>
    </row>
    <row r="2098" spans="8:9">
      <c r="H2098" s="1358"/>
      <c r="I2098" s="1358"/>
    </row>
    <row r="2099" spans="8:9">
      <c r="H2099" s="1358"/>
      <c r="I2099" s="1358"/>
    </row>
    <row r="2100" spans="8:9">
      <c r="H2100" s="1358"/>
      <c r="I2100" s="1358"/>
    </row>
    <row r="2101" spans="8:9">
      <c r="H2101" s="1358"/>
      <c r="I2101" s="1358"/>
    </row>
    <row r="2102" spans="8:9">
      <c r="H2102" s="1358"/>
      <c r="I2102" s="1358"/>
    </row>
    <row r="2103" spans="8:9">
      <c r="H2103" s="1358"/>
      <c r="I2103" s="1358"/>
    </row>
    <row r="2104" spans="8:9">
      <c r="H2104" s="1358"/>
      <c r="I2104" s="1358"/>
    </row>
    <row r="2105" spans="8:9">
      <c r="H2105" s="1358"/>
      <c r="I2105" s="1358"/>
    </row>
    <row r="2106" spans="8:9">
      <c r="H2106" s="1358"/>
      <c r="I2106" s="1358"/>
    </row>
    <row r="2107" spans="8:9">
      <c r="H2107" s="1358"/>
      <c r="I2107" s="1358"/>
    </row>
    <row r="2108" spans="8:9">
      <c r="H2108" s="1358"/>
      <c r="I2108" s="1358"/>
    </row>
    <row r="2109" spans="8:9">
      <c r="H2109" s="1358"/>
      <c r="I2109" s="1358"/>
    </row>
    <row r="2110" spans="8:9">
      <c r="H2110" s="1358"/>
      <c r="I2110" s="1358"/>
    </row>
    <row r="2111" spans="8:9">
      <c r="H2111" s="1358"/>
      <c r="I2111" s="1358"/>
    </row>
    <row r="2112" spans="8:9">
      <c r="H2112" s="1358"/>
      <c r="I2112" s="1358"/>
    </row>
    <row r="2113" spans="8:9">
      <c r="H2113" s="1358"/>
      <c r="I2113" s="1358"/>
    </row>
    <row r="2114" spans="8:9">
      <c r="H2114" s="1358"/>
      <c r="I2114" s="1358"/>
    </row>
    <row r="2115" spans="8:9">
      <c r="H2115" s="1358"/>
      <c r="I2115" s="1358"/>
    </row>
    <row r="2116" spans="8:9">
      <c r="H2116" s="1358"/>
      <c r="I2116" s="1358"/>
    </row>
    <row r="2117" spans="8:9">
      <c r="H2117" s="1358"/>
      <c r="I2117" s="1358"/>
    </row>
    <row r="2118" spans="8:9">
      <c r="H2118" s="1358"/>
      <c r="I2118" s="1358"/>
    </row>
    <row r="2119" spans="8:9">
      <c r="H2119" s="1358"/>
      <c r="I2119" s="1358"/>
    </row>
    <row r="2120" spans="8:9">
      <c r="H2120" s="1358"/>
      <c r="I2120" s="1358"/>
    </row>
    <row r="2121" spans="8:9">
      <c r="H2121" s="1358"/>
      <c r="I2121" s="1358"/>
    </row>
    <row r="2122" spans="8:9">
      <c r="H2122" s="1358"/>
      <c r="I2122" s="1358"/>
    </row>
    <row r="2123" spans="8:9">
      <c r="H2123" s="1358"/>
      <c r="I2123" s="1358"/>
    </row>
    <row r="2124" spans="8:9">
      <c r="H2124" s="1358"/>
      <c r="I2124" s="1358"/>
    </row>
    <row r="2125" spans="8:9">
      <c r="H2125" s="1358"/>
      <c r="I2125" s="1358"/>
    </row>
    <row r="2126" spans="8:9">
      <c r="H2126" s="1358"/>
      <c r="I2126" s="1358"/>
    </row>
    <row r="2127" spans="8:9">
      <c r="H2127" s="1358"/>
      <c r="I2127" s="1358"/>
    </row>
    <row r="2128" spans="8:9">
      <c r="H2128" s="1358"/>
      <c r="I2128" s="1358"/>
    </row>
    <row r="2129" spans="8:9">
      <c r="H2129" s="1358"/>
      <c r="I2129" s="1358"/>
    </row>
    <row r="2130" spans="8:9">
      <c r="H2130" s="1358"/>
      <c r="I2130" s="1358"/>
    </row>
    <row r="2131" spans="8:9">
      <c r="H2131" s="1358"/>
      <c r="I2131" s="1358"/>
    </row>
    <row r="2132" spans="8:9">
      <c r="H2132" s="1358"/>
      <c r="I2132" s="1358"/>
    </row>
    <row r="2133" spans="8:9">
      <c r="H2133" s="1358"/>
      <c r="I2133" s="1358"/>
    </row>
    <row r="2134" spans="8:9">
      <c r="H2134" s="1358"/>
      <c r="I2134" s="1358"/>
    </row>
    <row r="2135" spans="8:9">
      <c r="H2135" s="1358"/>
      <c r="I2135" s="1358"/>
    </row>
    <row r="2136" spans="8:9">
      <c r="H2136" s="1358"/>
      <c r="I2136" s="1358"/>
    </row>
    <row r="2137" spans="8:9">
      <c r="H2137" s="1358"/>
      <c r="I2137" s="1358"/>
    </row>
    <row r="2138" spans="8:9">
      <c r="H2138" s="1358"/>
      <c r="I2138" s="1358"/>
    </row>
    <row r="2139" spans="8:9">
      <c r="H2139" s="1358"/>
      <c r="I2139" s="1358"/>
    </row>
    <row r="2140" spans="8:9">
      <c r="H2140" s="1358"/>
      <c r="I2140" s="1358"/>
    </row>
    <row r="2141" spans="8:9">
      <c r="H2141" s="1358"/>
      <c r="I2141" s="1358"/>
    </row>
    <row r="2142" spans="8:9">
      <c r="H2142" s="1358"/>
      <c r="I2142" s="1358"/>
    </row>
    <row r="2143" spans="8:9">
      <c r="H2143" s="1358"/>
      <c r="I2143" s="1358"/>
    </row>
    <row r="2144" spans="8:9">
      <c r="H2144" s="1358"/>
      <c r="I2144" s="1358"/>
    </row>
    <row r="2145" spans="8:9">
      <c r="H2145" s="1358"/>
      <c r="I2145" s="1358"/>
    </row>
    <row r="2146" spans="8:9">
      <c r="H2146" s="1358"/>
      <c r="I2146" s="1358"/>
    </row>
    <row r="2147" spans="8:9">
      <c r="H2147" s="1358"/>
      <c r="I2147" s="1358"/>
    </row>
    <row r="2148" spans="8:9">
      <c r="H2148" s="1358"/>
      <c r="I2148" s="1358"/>
    </row>
    <row r="2149" spans="8:9">
      <c r="H2149" s="1358"/>
      <c r="I2149" s="1358"/>
    </row>
    <row r="2150" spans="8:9">
      <c r="H2150" s="1358"/>
      <c r="I2150" s="1358"/>
    </row>
    <row r="2151" spans="8:9">
      <c r="H2151" s="1358"/>
      <c r="I2151" s="1358"/>
    </row>
    <row r="2152" spans="8:9">
      <c r="H2152" s="1358"/>
      <c r="I2152" s="1358"/>
    </row>
    <row r="2153" spans="8:9">
      <c r="H2153" s="1358"/>
      <c r="I2153" s="1358"/>
    </row>
    <row r="2154" spans="8:9">
      <c r="H2154" s="1358"/>
      <c r="I2154" s="1358"/>
    </row>
    <row r="2155" spans="8:9">
      <c r="H2155" s="1358"/>
      <c r="I2155" s="1358"/>
    </row>
    <row r="2156" spans="8:9">
      <c r="H2156" s="1358"/>
      <c r="I2156" s="1358"/>
    </row>
    <row r="2157" spans="8:9">
      <c r="H2157" s="1358"/>
      <c r="I2157" s="1358"/>
    </row>
    <row r="2158" spans="8:9">
      <c r="H2158" s="1358"/>
      <c r="I2158" s="1358"/>
    </row>
    <row r="2159" spans="8:9">
      <c r="H2159" s="1358"/>
      <c r="I2159" s="1358"/>
    </row>
    <row r="2160" spans="8:9">
      <c r="H2160" s="1358"/>
      <c r="I2160" s="1358"/>
    </row>
    <row r="2161" spans="8:9">
      <c r="H2161" s="1358"/>
      <c r="I2161" s="1358"/>
    </row>
    <row r="2162" spans="8:9">
      <c r="H2162" s="1358"/>
      <c r="I2162" s="1358"/>
    </row>
    <row r="2163" spans="8:9">
      <c r="H2163" s="1358"/>
      <c r="I2163" s="1358"/>
    </row>
    <row r="2164" spans="8:9">
      <c r="H2164" s="1358"/>
      <c r="I2164" s="1358"/>
    </row>
    <row r="2165" spans="8:9">
      <c r="H2165" s="1358"/>
      <c r="I2165" s="1358"/>
    </row>
    <row r="2166" spans="8:9">
      <c r="H2166" s="1358"/>
      <c r="I2166" s="1358"/>
    </row>
    <row r="2167" spans="8:9">
      <c r="H2167" s="1358"/>
      <c r="I2167" s="1358"/>
    </row>
    <row r="2168" spans="8:9">
      <c r="H2168" s="1358"/>
      <c r="I2168" s="1358"/>
    </row>
    <row r="2169" spans="8:9">
      <c r="H2169" s="1358"/>
      <c r="I2169" s="1358"/>
    </row>
    <row r="2170" spans="8:9">
      <c r="H2170" s="1358"/>
      <c r="I2170" s="1358"/>
    </row>
    <row r="2171" spans="8:9">
      <c r="H2171" s="1358"/>
      <c r="I2171" s="1358"/>
    </row>
    <row r="2172" spans="8:9">
      <c r="H2172" s="1358"/>
      <c r="I2172" s="1358"/>
    </row>
    <row r="2173" spans="8:9">
      <c r="H2173" s="1358"/>
      <c r="I2173" s="1358"/>
    </row>
    <row r="2174" spans="8:9">
      <c r="H2174" s="1358"/>
      <c r="I2174" s="1358"/>
    </row>
    <row r="2175" spans="8:9">
      <c r="H2175" s="1358"/>
      <c r="I2175" s="1358"/>
    </row>
    <row r="2176" spans="8:9">
      <c r="H2176" s="1358"/>
      <c r="I2176" s="1358"/>
    </row>
    <row r="2177" spans="8:9">
      <c r="H2177" s="1358"/>
      <c r="I2177" s="1358"/>
    </row>
    <row r="2178" spans="8:9">
      <c r="H2178" s="1358"/>
      <c r="I2178" s="1358"/>
    </row>
    <row r="2179" spans="8:9">
      <c r="H2179" s="1358"/>
      <c r="I2179" s="1358"/>
    </row>
    <row r="2180" spans="8:9">
      <c r="H2180" s="1358"/>
      <c r="I2180" s="1358"/>
    </row>
    <row r="2181" spans="8:9">
      <c r="H2181" s="1358"/>
      <c r="I2181" s="1358"/>
    </row>
    <row r="2182" spans="8:9">
      <c r="H2182" s="1358"/>
      <c r="I2182" s="1358"/>
    </row>
    <row r="2183" spans="8:9">
      <c r="H2183" s="1358"/>
      <c r="I2183" s="1358"/>
    </row>
    <row r="2184" spans="8:9">
      <c r="H2184" s="1358"/>
      <c r="I2184" s="1358"/>
    </row>
    <row r="2185" spans="8:9">
      <c r="H2185" s="1358"/>
      <c r="I2185" s="1358"/>
    </row>
    <row r="2186" spans="8:9">
      <c r="H2186" s="1358"/>
      <c r="I2186" s="1358"/>
    </row>
    <row r="2187" spans="8:9">
      <c r="H2187" s="1358"/>
      <c r="I2187" s="1358"/>
    </row>
    <row r="2188" spans="8:9">
      <c r="H2188" s="1358"/>
      <c r="I2188" s="1358"/>
    </row>
    <row r="2189" spans="8:9">
      <c r="H2189" s="1358"/>
      <c r="I2189" s="1358"/>
    </row>
    <row r="2190" spans="8:9">
      <c r="H2190" s="1358"/>
      <c r="I2190" s="1358"/>
    </row>
    <row r="2191" spans="8:9">
      <c r="H2191" s="1358"/>
      <c r="I2191" s="1358"/>
    </row>
    <row r="2192" spans="8:9">
      <c r="H2192" s="1358"/>
      <c r="I2192" s="1358"/>
    </row>
    <row r="2193" spans="8:9">
      <c r="H2193" s="1358"/>
      <c r="I2193" s="1358"/>
    </row>
    <row r="2194" spans="8:9">
      <c r="H2194" s="1358"/>
      <c r="I2194" s="1358"/>
    </row>
    <row r="2195" spans="8:9">
      <c r="H2195" s="1358"/>
      <c r="I2195" s="1358"/>
    </row>
    <row r="2196" spans="8:9">
      <c r="H2196" s="1358"/>
      <c r="I2196" s="1358"/>
    </row>
    <row r="2197" spans="8:9">
      <c r="H2197" s="1358"/>
      <c r="I2197" s="1358"/>
    </row>
    <row r="2198" spans="8:9">
      <c r="H2198" s="1358"/>
      <c r="I2198" s="1358"/>
    </row>
    <row r="2199" spans="8:9">
      <c r="H2199" s="1358"/>
      <c r="I2199" s="1358"/>
    </row>
    <row r="2200" spans="8:9">
      <c r="H2200" s="1358"/>
      <c r="I2200" s="1358"/>
    </row>
    <row r="2201" spans="8:9">
      <c r="H2201" s="1358"/>
      <c r="I2201" s="1358"/>
    </row>
    <row r="2202" spans="8:9">
      <c r="H2202" s="1358"/>
      <c r="I2202" s="1358"/>
    </row>
    <row r="2203" spans="8:9">
      <c r="H2203" s="1358"/>
      <c r="I2203" s="1358"/>
    </row>
    <row r="2204" spans="8:9">
      <c r="H2204" s="1358"/>
      <c r="I2204" s="1358"/>
    </row>
    <row r="2205" spans="8:9">
      <c r="H2205" s="1358"/>
      <c r="I2205" s="1358"/>
    </row>
    <row r="2206" spans="8:9">
      <c r="H2206" s="1358"/>
      <c r="I2206" s="1358"/>
    </row>
    <row r="2207" spans="8:9">
      <c r="H2207" s="1358"/>
      <c r="I2207" s="1358"/>
    </row>
    <row r="2208" spans="8:9">
      <c r="H2208" s="1358"/>
      <c r="I2208" s="1358"/>
    </row>
    <row r="2209" spans="8:9">
      <c r="H2209" s="1358"/>
      <c r="I2209" s="1358"/>
    </row>
    <row r="2210" spans="8:9">
      <c r="H2210" s="1358"/>
      <c r="I2210" s="1358"/>
    </row>
    <row r="2211" spans="8:9">
      <c r="H2211" s="1358"/>
      <c r="I2211" s="1358"/>
    </row>
    <row r="2212" spans="8:9">
      <c r="H2212" s="1358"/>
      <c r="I2212" s="1358"/>
    </row>
    <row r="2213" spans="8:9">
      <c r="H2213" s="1358"/>
      <c r="I2213" s="1358"/>
    </row>
    <row r="2214" spans="8:9">
      <c r="H2214" s="1358"/>
      <c r="I2214" s="1358"/>
    </row>
    <row r="2215" spans="8:9">
      <c r="H2215" s="1358"/>
      <c r="I2215" s="1358"/>
    </row>
    <row r="2216" spans="8:9">
      <c r="H2216" s="1358"/>
      <c r="I2216" s="1358"/>
    </row>
    <row r="2217" spans="8:9">
      <c r="H2217" s="1358"/>
      <c r="I2217" s="1358"/>
    </row>
    <row r="2218" spans="8:9">
      <c r="H2218" s="1358"/>
      <c r="I2218" s="1358"/>
    </row>
    <row r="2219" spans="8:9">
      <c r="H2219" s="1358"/>
      <c r="I2219" s="1358"/>
    </row>
    <row r="2220" spans="8:9">
      <c r="H2220" s="1358"/>
      <c r="I2220" s="1358"/>
    </row>
    <row r="2221" spans="8:9">
      <c r="H2221" s="1358"/>
      <c r="I2221" s="1358"/>
    </row>
    <row r="2222" spans="8:9">
      <c r="H2222" s="1358"/>
      <c r="I2222" s="1358"/>
    </row>
    <row r="2223" spans="8:9">
      <c r="H2223" s="1358"/>
      <c r="I2223" s="1358"/>
    </row>
    <row r="2224" spans="8:9">
      <c r="H2224" s="1358"/>
      <c r="I2224" s="1358"/>
    </row>
    <row r="2225" spans="8:9">
      <c r="H2225" s="1358"/>
      <c r="I2225" s="1358"/>
    </row>
    <row r="2226" spans="8:9">
      <c r="H2226" s="1358"/>
      <c r="I2226" s="1358"/>
    </row>
    <row r="2227" spans="8:9">
      <c r="H2227" s="1358"/>
      <c r="I2227" s="1358"/>
    </row>
    <row r="2228" spans="8:9">
      <c r="H2228" s="1358"/>
      <c r="I2228" s="1358"/>
    </row>
    <row r="2229" spans="8:9">
      <c r="H2229" s="1358"/>
      <c r="I2229" s="1358"/>
    </row>
    <row r="2230" spans="8:9">
      <c r="H2230" s="1358"/>
      <c r="I2230" s="1358"/>
    </row>
    <row r="2231" spans="8:9">
      <c r="H2231" s="1358"/>
      <c r="I2231" s="1358"/>
    </row>
    <row r="2232" spans="8:9">
      <c r="H2232" s="1358"/>
      <c r="I2232" s="1358"/>
    </row>
    <row r="2233" spans="8:9">
      <c r="H2233" s="1358"/>
      <c r="I2233" s="1358"/>
    </row>
    <row r="2234" spans="8:9">
      <c r="H2234" s="1358"/>
      <c r="I2234" s="1358"/>
    </row>
    <row r="2235" spans="8:9">
      <c r="H2235" s="1358"/>
      <c r="I2235" s="1358"/>
    </row>
    <row r="2236" spans="8:9">
      <c r="H2236" s="1358"/>
      <c r="I2236" s="1358"/>
    </row>
    <row r="2237" spans="8:9">
      <c r="H2237" s="1358"/>
      <c r="I2237" s="1358"/>
    </row>
    <row r="2238" spans="8:9">
      <c r="H2238" s="1358"/>
      <c r="I2238" s="1358"/>
    </row>
    <row r="2239" spans="8:9">
      <c r="H2239" s="1358"/>
      <c r="I2239" s="1358"/>
    </row>
    <row r="2240" spans="8:9">
      <c r="H2240" s="1358"/>
      <c r="I2240" s="1358"/>
    </row>
    <row r="2241" spans="8:9">
      <c r="H2241" s="1358"/>
      <c r="I2241" s="1358"/>
    </row>
    <row r="2242" spans="8:9">
      <c r="H2242" s="1358"/>
      <c r="I2242" s="1358"/>
    </row>
    <row r="2243" spans="8:9">
      <c r="H2243" s="1358"/>
      <c r="I2243" s="1358"/>
    </row>
    <row r="2244" spans="8:9">
      <c r="H2244" s="1358"/>
      <c r="I2244" s="1358"/>
    </row>
    <row r="2245" spans="8:9">
      <c r="H2245" s="1358"/>
      <c r="I2245" s="1358"/>
    </row>
    <row r="2246" spans="8:9">
      <c r="H2246" s="1358"/>
      <c r="I2246" s="1358"/>
    </row>
    <row r="2247" spans="8:9">
      <c r="H2247" s="1358"/>
      <c r="I2247" s="1358"/>
    </row>
    <row r="2248" spans="8:9">
      <c r="H2248" s="1358"/>
      <c r="I2248" s="1358"/>
    </row>
    <row r="2249" spans="8:9">
      <c r="H2249" s="1358"/>
      <c r="I2249" s="1358"/>
    </row>
    <row r="2250" spans="8:9">
      <c r="H2250" s="1358"/>
      <c r="I2250" s="1358"/>
    </row>
    <row r="2251" spans="8:9">
      <c r="H2251" s="1358"/>
      <c r="I2251" s="1358"/>
    </row>
    <row r="2252" spans="8:9">
      <c r="H2252" s="1358"/>
      <c r="I2252" s="1358"/>
    </row>
    <row r="2253" spans="8:9">
      <c r="H2253" s="1358"/>
      <c r="I2253" s="1358"/>
    </row>
    <row r="2254" spans="8:9">
      <c r="H2254" s="1358"/>
      <c r="I2254" s="1358"/>
    </row>
    <row r="2255" spans="8:9">
      <c r="H2255" s="1358"/>
      <c r="I2255" s="1358"/>
    </row>
    <row r="2256" spans="8:9">
      <c r="H2256" s="1358"/>
      <c r="I2256" s="1358"/>
    </row>
    <row r="2257" spans="8:9">
      <c r="H2257" s="1358"/>
      <c r="I2257" s="1358"/>
    </row>
    <row r="2258" spans="8:9">
      <c r="H2258" s="1358"/>
      <c r="I2258" s="1358"/>
    </row>
    <row r="2259" spans="8:9">
      <c r="H2259" s="1358"/>
      <c r="I2259" s="1358"/>
    </row>
    <row r="2260" spans="8:9">
      <c r="H2260" s="1358"/>
      <c r="I2260" s="1358"/>
    </row>
    <row r="2261" spans="8:9">
      <c r="H2261" s="1358"/>
      <c r="I2261" s="1358"/>
    </row>
    <row r="2262" spans="8:9">
      <c r="H2262" s="1358"/>
      <c r="I2262" s="1358"/>
    </row>
    <row r="2263" spans="8:9">
      <c r="H2263" s="1358"/>
      <c r="I2263" s="1358"/>
    </row>
    <row r="2264" spans="8:9">
      <c r="H2264" s="1358"/>
      <c r="I2264" s="1358"/>
    </row>
    <row r="2265" spans="8:9">
      <c r="H2265" s="1358"/>
      <c r="I2265" s="1358"/>
    </row>
    <row r="2266" spans="8:9">
      <c r="H2266" s="1358"/>
      <c r="I2266" s="1358"/>
    </row>
    <row r="2267" spans="8:9">
      <c r="H2267" s="1358"/>
      <c r="I2267" s="1358"/>
    </row>
    <row r="2268" spans="8:9">
      <c r="H2268" s="1358"/>
      <c r="I2268" s="1358"/>
    </row>
    <row r="2269" spans="8:9">
      <c r="H2269" s="1358"/>
      <c r="I2269" s="1358"/>
    </row>
    <row r="2270" spans="8:9">
      <c r="H2270" s="1358"/>
      <c r="I2270" s="1358"/>
    </row>
    <row r="2271" spans="8:9">
      <c r="H2271" s="1358"/>
      <c r="I2271" s="1358"/>
    </row>
    <row r="2272" spans="8:9">
      <c r="H2272" s="1358"/>
      <c r="I2272" s="1358"/>
    </row>
    <row r="2273" spans="8:9">
      <c r="H2273" s="1358"/>
      <c r="I2273" s="1358"/>
    </row>
    <row r="2274" spans="8:9">
      <c r="H2274" s="1358"/>
      <c r="I2274" s="1358"/>
    </row>
    <row r="2275" spans="8:9">
      <c r="H2275" s="1358"/>
      <c r="I2275" s="1358"/>
    </row>
    <row r="2276" spans="8:9">
      <c r="H2276" s="1358"/>
      <c r="I2276" s="1358"/>
    </row>
    <row r="2277" spans="8:9">
      <c r="H2277" s="1358"/>
      <c r="I2277" s="1358"/>
    </row>
    <row r="2278" spans="8:9">
      <c r="H2278" s="1358"/>
      <c r="I2278" s="1358"/>
    </row>
    <row r="2279" spans="8:9">
      <c r="H2279" s="1358"/>
      <c r="I2279" s="1358"/>
    </row>
    <row r="2280" spans="8:9">
      <c r="H2280" s="1358"/>
      <c r="I2280" s="1358"/>
    </row>
    <row r="2281" spans="8:9">
      <c r="H2281" s="1358"/>
      <c r="I2281" s="1358"/>
    </row>
    <row r="2282" spans="8:9">
      <c r="H2282" s="1358"/>
      <c r="I2282" s="1358"/>
    </row>
    <row r="2283" spans="8:9">
      <c r="H2283" s="1358"/>
      <c r="I2283" s="1358"/>
    </row>
    <row r="2284" spans="8:9">
      <c r="H2284" s="1358"/>
      <c r="I2284" s="1358"/>
    </row>
    <row r="2285" spans="8:9">
      <c r="H2285" s="1358"/>
      <c r="I2285" s="1358"/>
    </row>
    <row r="2286" spans="8:9">
      <c r="H2286" s="1358"/>
      <c r="I2286" s="1358"/>
    </row>
    <row r="2287" spans="8:9">
      <c r="H2287" s="1358"/>
      <c r="I2287" s="1358"/>
    </row>
    <row r="2288" spans="8:9">
      <c r="H2288" s="1358"/>
      <c r="I2288" s="1358"/>
    </row>
    <row r="2289" spans="8:9">
      <c r="H2289" s="1358"/>
      <c r="I2289" s="1358"/>
    </row>
    <row r="2290" spans="8:9">
      <c r="H2290" s="1358"/>
      <c r="I2290" s="1358"/>
    </row>
    <row r="2291" spans="8:9">
      <c r="H2291" s="1358"/>
      <c r="I2291" s="1358"/>
    </row>
    <row r="2292" spans="8:9">
      <c r="H2292" s="1358"/>
      <c r="I2292" s="1358"/>
    </row>
    <row r="2293" spans="8:9">
      <c r="H2293" s="1358"/>
      <c r="I2293" s="1358"/>
    </row>
    <row r="2294" spans="8:9">
      <c r="H2294" s="1358"/>
      <c r="I2294" s="1358"/>
    </row>
    <row r="2295" spans="8:9">
      <c r="H2295" s="1358"/>
      <c r="I2295" s="1358"/>
    </row>
    <row r="2296" spans="8:9">
      <c r="H2296" s="1358"/>
      <c r="I2296" s="1358"/>
    </row>
    <row r="2297" spans="8:9">
      <c r="H2297" s="1358"/>
      <c r="I2297" s="1358"/>
    </row>
    <row r="2298" spans="8:9">
      <c r="H2298" s="1358"/>
      <c r="I2298" s="1358"/>
    </row>
    <row r="2299" spans="8:9">
      <c r="H2299" s="1358"/>
      <c r="I2299" s="1358"/>
    </row>
    <row r="2300" spans="8:9">
      <c r="H2300" s="1358"/>
      <c r="I2300" s="1358"/>
    </row>
    <row r="2301" spans="8:9">
      <c r="H2301" s="1358"/>
      <c r="I2301" s="1358"/>
    </row>
    <row r="2302" spans="8:9">
      <c r="H2302" s="1358"/>
      <c r="I2302" s="1358"/>
    </row>
    <row r="2303" spans="8:9">
      <c r="H2303" s="1358"/>
      <c r="I2303" s="1358"/>
    </row>
    <row r="2304" spans="8:9">
      <c r="H2304" s="1358"/>
      <c r="I2304" s="1358"/>
    </row>
    <row r="2305" spans="8:9">
      <c r="H2305" s="1358"/>
      <c r="I2305" s="1358"/>
    </row>
    <row r="2306" spans="8:9">
      <c r="H2306" s="1358"/>
      <c r="I2306" s="1358"/>
    </row>
    <row r="2307" spans="8:9">
      <c r="H2307" s="1358"/>
      <c r="I2307" s="1358"/>
    </row>
    <row r="2308" spans="8:9">
      <c r="H2308" s="1358"/>
      <c r="I2308" s="1358"/>
    </row>
    <row r="2309" spans="8:9">
      <c r="H2309" s="1358"/>
      <c r="I2309" s="1358"/>
    </row>
    <row r="2310" spans="8:9">
      <c r="H2310" s="1358"/>
      <c r="I2310" s="1358"/>
    </row>
    <row r="2311" spans="8:9">
      <c r="H2311" s="1358"/>
      <c r="I2311" s="1358"/>
    </row>
    <row r="2312" spans="8:9">
      <c r="H2312" s="1358"/>
      <c r="I2312" s="1358"/>
    </row>
    <row r="2313" spans="8:9">
      <c r="H2313" s="1358"/>
      <c r="I2313" s="1358"/>
    </row>
    <row r="2314" spans="8:9">
      <c r="H2314" s="1358"/>
      <c r="I2314" s="1358"/>
    </row>
    <row r="2315" spans="8:9">
      <c r="H2315" s="1358"/>
      <c r="I2315" s="1358"/>
    </row>
    <row r="2316" spans="8:9">
      <c r="H2316" s="1358"/>
      <c r="I2316" s="1358"/>
    </row>
    <row r="2317" spans="8:9">
      <c r="H2317" s="1358"/>
      <c r="I2317" s="1358"/>
    </row>
    <row r="2318" spans="8:9">
      <c r="H2318" s="1358"/>
      <c r="I2318" s="1358"/>
    </row>
    <row r="2319" spans="8:9">
      <c r="H2319" s="1358"/>
      <c r="I2319" s="1358"/>
    </row>
    <row r="2320" spans="8:9">
      <c r="H2320" s="1358"/>
      <c r="I2320" s="1358"/>
    </row>
    <row r="2321" spans="8:9">
      <c r="H2321" s="1358"/>
      <c r="I2321" s="1358"/>
    </row>
    <row r="2322" spans="8:9">
      <c r="H2322" s="1358"/>
      <c r="I2322" s="1358"/>
    </row>
    <row r="2323" spans="8:9">
      <c r="H2323" s="1358"/>
      <c r="I2323" s="1358"/>
    </row>
    <row r="2324" spans="8:9">
      <c r="H2324" s="1358"/>
      <c r="I2324" s="1358"/>
    </row>
    <row r="2325" spans="8:9">
      <c r="H2325" s="1358"/>
      <c r="I2325" s="1358"/>
    </row>
    <row r="2326" spans="8:9">
      <c r="H2326" s="1358"/>
      <c r="I2326" s="1358"/>
    </row>
    <row r="2327" spans="8:9">
      <c r="H2327" s="1358"/>
      <c r="I2327" s="1358"/>
    </row>
    <row r="2328" spans="8:9">
      <c r="H2328" s="1358"/>
      <c r="I2328" s="1358"/>
    </row>
    <row r="2329" spans="8:9">
      <c r="H2329" s="1358"/>
      <c r="I2329" s="1358"/>
    </row>
    <row r="2330" spans="8:9">
      <c r="H2330" s="1358"/>
      <c r="I2330" s="1358"/>
    </row>
    <row r="2331" spans="8:9">
      <c r="H2331" s="1358"/>
      <c r="I2331" s="1358"/>
    </row>
    <row r="2332" spans="8:9">
      <c r="H2332" s="1358"/>
      <c r="I2332" s="1358"/>
    </row>
    <row r="2333" spans="8:9">
      <c r="H2333" s="1358"/>
      <c r="I2333" s="1358"/>
    </row>
    <row r="2334" spans="8:9">
      <c r="H2334" s="1358"/>
      <c r="I2334" s="1358"/>
    </row>
    <row r="2335" spans="8:9">
      <c r="H2335" s="1358"/>
      <c r="I2335" s="1358"/>
    </row>
    <row r="2336" spans="8:9">
      <c r="H2336" s="1358"/>
      <c r="I2336" s="1358"/>
    </row>
    <row r="2337" spans="8:9">
      <c r="H2337" s="1358"/>
      <c r="I2337" s="1358"/>
    </row>
    <row r="2338" spans="8:9">
      <c r="H2338" s="1358"/>
      <c r="I2338" s="1358"/>
    </row>
    <row r="2339" spans="8:9">
      <c r="H2339" s="1358"/>
      <c r="I2339" s="1358"/>
    </row>
    <row r="2340" spans="8:9">
      <c r="H2340" s="1358"/>
      <c r="I2340" s="1358"/>
    </row>
    <row r="2341" spans="8:9">
      <c r="H2341" s="1358"/>
      <c r="I2341" s="1358"/>
    </row>
    <row r="2342" spans="8:9">
      <c r="H2342" s="1358"/>
      <c r="I2342" s="1358"/>
    </row>
    <row r="2343" spans="8:9">
      <c r="H2343" s="1358"/>
      <c r="I2343" s="1358"/>
    </row>
    <row r="2344" spans="8:9">
      <c r="H2344" s="1358"/>
      <c r="I2344" s="1358"/>
    </row>
    <row r="2345" spans="8:9">
      <c r="H2345" s="1358"/>
      <c r="I2345" s="1358"/>
    </row>
    <row r="2346" spans="8:9">
      <c r="H2346" s="1358"/>
      <c r="I2346" s="1358"/>
    </row>
    <row r="2347" spans="8:9">
      <c r="H2347" s="1358"/>
      <c r="I2347" s="1358"/>
    </row>
    <row r="2348" spans="8:9">
      <c r="H2348" s="1358"/>
      <c r="I2348" s="1358"/>
    </row>
    <row r="2349" spans="8:9">
      <c r="H2349" s="1358"/>
      <c r="I2349" s="1358"/>
    </row>
    <row r="2350" spans="8:9">
      <c r="H2350" s="1358"/>
      <c r="I2350" s="1358"/>
    </row>
    <row r="2351" spans="8:9">
      <c r="H2351" s="1358"/>
      <c r="I2351" s="1358"/>
    </row>
    <row r="2352" spans="8:9">
      <c r="H2352" s="1358"/>
      <c r="I2352" s="1358"/>
    </row>
    <row r="2353" spans="8:9">
      <c r="H2353" s="1358"/>
      <c r="I2353" s="1358"/>
    </row>
    <row r="2354" spans="8:9">
      <c r="H2354" s="1358"/>
      <c r="I2354" s="1358"/>
    </row>
    <row r="2355" spans="8:9">
      <c r="H2355" s="1358"/>
      <c r="I2355" s="1358"/>
    </row>
    <row r="2356" spans="8:9">
      <c r="H2356" s="1358"/>
      <c r="I2356" s="1358"/>
    </row>
    <row r="2357" spans="8:9">
      <c r="H2357" s="1358"/>
      <c r="I2357" s="1358"/>
    </row>
    <row r="2358" spans="8:9">
      <c r="H2358" s="1358"/>
      <c r="I2358" s="1358"/>
    </row>
    <row r="2359" spans="8:9">
      <c r="H2359" s="1358"/>
      <c r="I2359" s="1358"/>
    </row>
    <row r="2360" spans="8:9">
      <c r="H2360" s="1358"/>
      <c r="I2360" s="1358"/>
    </row>
    <row r="2361" spans="8:9">
      <c r="H2361" s="1358"/>
      <c r="I2361" s="1358"/>
    </row>
    <row r="2362" spans="8:9">
      <c r="H2362" s="1358"/>
      <c r="I2362" s="1358"/>
    </row>
    <row r="2363" spans="8:9">
      <c r="H2363" s="1358"/>
      <c r="I2363" s="1358"/>
    </row>
    <row r="2364" spans="8:9">
      <c r="H2364" s="1358"/>
      <c r="I2364" s="1358"/>
    </row>
    <row r="2365" spans="8:9">
      <c r="H2365" s="1358"/>
      <c r="I2365" s="1358"/>
    </row>
    <row r="2366" spans="8:9">
      <c r="H2366" s="1358"/>
      <c r="I2366" s="1358"/>
    </row>
    <row r="2367" spans="8:9">
      <c r="H2367" s="1358"/>
      <c r="I2367" s="1358"/>
    </row>
    <row r="2368" spans="8:9">
      <c r="H2368" s="1358"/>
      <c r="I2368" s="1358"/>
    </row>
    <row r="2369" spans="8:9">
      <c r="H2369" s="1358"/>
      <c r="I2369" s="1358"/>
    </row>
    <row r="2370" spans="8:9">
      <c r="H2370" s="1358"/>
      <c r="I2370" s="1358"/>
    </row>
    <row r="2371" spans="8:9">
      <c r="H2371" s="1358"/>
      <c r="I2371" s="1358"/>
    </row>
    <row r="2372" spans="8:9">
      <c r="H2372" s="1358"/>
      <c r="I2372" s="1358"/>
    </row>
    <row r="2373" spans="8:9">
      <c r="H2373" s="1358"/>
      <c r="I2373" s="1358"/>
    </row>
    <row r="2374" spans="8:9">
      <c r="H2374" s="1358"/>
      <c r="I2374" s="1358"/>
    </row>
    <row r="2375" spans="8:9">
      <c r="H2375" s="1358"/>
      <c r="I2375" s="1358"/>
    </row>
    <row r="2376" spans="8:9">
      <c r="H2376" s="1358"/>
      <c r="I2376" s="1358"/>
    </row>
    <row r="2377" spans="8:9">
      <c r="H2377" s="1358"/>
      <c r="I2377" s="1358"/>
    </row>
    <row r="2378" spans="8:9">
      <c r="H2378" s="1358"/>
      <c r="I2378" s="1358"/>
    </row>
    <row r="2379" spans="8:9">
      <c r="H2379" s="1358"/>
      <c r="I2379" s="1358"/>
    </row>
    <row r="2380" spans="8:9">
      <c r="H2380" s="1358"/>
      <c r="I2380" s="1358"/>
    </row>
    <row r="2381" spans="8:9">
      <c r="H2381" s="1358"/>
      <c r="I2381" s="1358"/>
    </row>
    <row r="2382" spans="8:9">
      <c r="H2382" s="1358"/>
      <c r="I2382" s="1358"/>
    </row>
    <row r="2383" spans="8:9">
      <c r="H2383" s="1358"/>
      <c r="I2383" s="1358"/>
    </row>
    <row r="2384" spans="8:9">
      <c r="H2384" s="1358"/>
      <c r="I2384" s="1358"/>
    </row>
    <row r="2385" spans="8:9">
      <c r="H2385" s="1358"/>
      <c r="I2385" s="1358"/>
    </row>
    <row r="2386" spans="8:9">
      <c r="H2386" s="1358"/>
      <c r="I2386" s="1358"/>
    </row>
    <row r="2387" spans="8:9">
      <c r="H2387" s="1358"/>
      <c r="I2387" s="1358"/>
    </row>
    <row r="2388" spans="8:9">
      <c r="H2388" s="1358"/>
      <c r="I2388" s="1358"/>
    </row>
    <row r="2389" spans="8:9">
      <c r="H2389" s="1358"/>
      <c r="I2389" s="1358"/>
    </row>
    <row r="2390" spans="8:9">
      <c r="H2390" s="1358"/>
      <c r="I2390" s="1358"/>
    </row>
    <row r="2391" spans="8:9">
      <c r="H2391" s="1358"/>
      <c r="I2391" s="1358"/>
    </row>
    <row r="2392" spans="8:9">
      <c r="H2392" s="1358"/>
      <c r="I2392" s="1358"/>
    </row>
    <row r="2393" spans="8:9">
      <c r="H2393" s="1358"/>
      <c r="I2393" s="1358"/>
    </row>
    <row r="2394" spans="8:9">
      <c r="H2394" s="1358"/>
      <c r="I2394" s="1358"/>
    </row>
    <row r="2395" spans="8:9">
      <c r="H2395" s="1358"/>
      <c r="I2395" s="1358"/>
    </row>
    <row r="2396" spans="8:9">
      <c r="H2396" s="1358"/>
      <c r="I2396" s="1358"/>
    </row>
    <row r="2397" spans="8:9">
      <c r="H2397" s="1358"/>
      <c r="I2397" s="1358"/>
    </row>
    <row r="2398" spans="8:9">
      <c r="H2398" s="1358"/>
      <c r="I2398" s="1358"/>
    </row>
    <row r="2399" spans="8:9">
      <c r="H2399" s="1358"/>
      <c r="I2399" s="1358"/>
    </row>
    <row r="2400" spans="8:9">
      <c r="H2400" s="1358"/>
      <c r="I2400" s="1358"/>
    </row>
    <row r="2401" spans="8:9">
      <c r="H2401" s="1358"/>
      <c r="I2401" s="1358"/>
    </row>
    <row r="2402" spans="8:9">
      <c r="H2402" s="1358"/>
      <c r="I2402" s="1358"/>
    </row>
    <row r="2403" spans="8:9">
      <c r="H2403" s="1358"/>
      <c r="I2403" s="1358"/>
    </row>
    <row r="2404" spans="8:9">
      <c r="H2404" s="1358"/>
      <c r="I2404" s="1358"/>
    </row>
    <row r="2405" spans="8:9">
      <c r="H2405" s="1358"/>
      <c r="I2405" s="1358"/>
    </row>
    <row r="2406" spans="8:9">
      <c r="H2406" s="1358"/>
      <c r="I2406" s="1358"/>
    </row>
    <row r="2407" spans="8:9">
      <c r="H2407" s="1358"/>
      <c r="I2407" s="1358"/>
    </row>
    <row r="2408" spans="8:9">
      <c r="H2408" s="1358"/>
      <c r="I2408" s="1358"/>
    </row>
    <row r="2409" spans="8:9">
      <c r="H2409" s="1358"/>
      <c r="I2409" s="1358"/>
    </row>
    <row r="2410" spans="8:9">
      <c r="H2410" s="1358"/>
      <c r="I2410" s="1358"/>
    </row>
    <row r="2411" spans="8:9">
      <c r="H2411" s="1358"/>
      <c r="I2411" s="1358"/>
    </row>
    <row r="2412" spans="8:9">
      <c r="H2412" s="1358"/>
      <c r="I2412" s="1358"/>
    </row>
    <row r="2413" spans="8:9">
      <c r="H2413" s="1358"/>
      <c r="I2413" s="1358"/>
    </row>
    <row r="2414" spans="8:9">
      <c r="H2414" s="1358"/>
      <c r="I2414" s="1358"/>
    </row>
    <row r="2415" spans="8:9">
      <c r="H2415" s="1358"/>
      <c r="I2415" s="1358"/>
    </row>
    <row r="2416" spans="8:9">
      <c r="H2416" s="1358"/>
      <c r="I2416" s="1358"/>
    </row>
    <row r="2417" spans="8:9">
      <c r="H2417" s="1358"/>
      <c r="I2417" s="1358"/>
    </row>
    <row r="2418" spans="8:9">
      <c r="H2418" s="1358"/>
      <c r="I2418" s="1358"/>
    </row>
    <row r="2419" spans="8:9">
      <c r="H2419" s="1358"/>
      <c r="I2419" s="1358"/>
    </row>
    <row r="2420" spans="8:9">
      <c r="H2420" s="1358"/>
      <c r="I2420" s="1358"/>
    </row>
    <row r="2421" spans="8:9">
      <c r="H2421" s="1358"/>
      <c r="I2421" s="1358"/>
    </row>
    <row r="2422" spans="8:9">
      <c r="H2422" s="1358"/>
      <c r="I2422" s="1358"/>
    </row>
    <row r="2423" spans="8:9">
      <c r="H2423" s="1358"/>
      <c r="I2423" s="1358"/>
    </row>
    <row r="2424" spans="8:9">
      <c r="H2424" s="1358"/>
      <c r="I2424" s="1358"/>
    </row>
    <row r="2425" spans="8:9">
      <c r="H2425" s="1358"/>
      <c r="I2425" s="1358"/>
    </row>
    <row r="2426" spans="8:9">
      <c r="H2426" s="1358"/>
      <c r="I2426" s="1358"/>
    </row>
    <row r="2427" spans="8:9">
      <c r="H2427" s="1358"/>
      <c r="I2427" s="1358"/>
    </row>
    <row r="2428" spans="8:9">
      <c r="H2428" s="1358"/>
      <c r="I2428" s="1358"/>
    </row>
    <row r="2429" spans="8:9">
      <c r="H2429" s="1358"/>
      <c r="I2429" s="1358"/>
    </row>
    <row r="2430" spans="8:9">
      <c r="H2430" s="1358"/>
      <c r="I2430" s="1358"/>
    </row>
    <row r="2431" spans="8:9">
      <c r="H2431" s="1358"/>
      <c r="I2431" s="1358"/>
    </row>
    <row r="2432" spans="8:9">
      <c r="H2432" s="1358"/>
      <c r="I2432" s="1358"/>
    </row>
    <row r="2433" spans="8:9">
      <c r="H2433" s="1358"/>
      <c r="I2433" s="1358"/>
    </row>
    <row r="2434" spans="8:9">
      <c r="H2434" s="1358"/>
      <c r="I2434" s="1358"/>
    </row>
    <row r="2435" spans="8:9">
      <c r="H2435" s="1358"/>
      <c r="I2435" s="1358"/>
    </row>
    <row r="2436" spans="8:9">
      <c r="H2436" s="1358"/>
      <c r="I2436" s="1358"/>
    </row>
    <row r="2437" spans="8:9">
      <c r="H2437" s="1358"/>
      <c r="I2437" s="1358"/>
    </row>
    <row r="2438" spans="8:9">
      <c r="H2438" s="1358"/>
      <c r="I2438" s="1358"/>
    </row>
    <row r="2439" spans="8:9">
      <c r="H2439" s="1358"/>
      <c r="I2439" s="1358"/>
    </row>
    <row r="2440" spans="8:9">
      <c r="H2440" s="1358"/>
      <c r="I2440" s="1358"/>
    </row>
    <row r="2441" spans="8:9">
      <c r="H2441" s="1358"/>
      <c r="I2441" s="1358"/>
    </row>
    <row r="2442" spans="8:9">
      <c r="H2442" s="1358"/>
      <c r="I2442" s="1358"/>
    </row>
    <row r="2443" spans="8:9">
      <c r="H2443" s="1358"/>
      <c r="I2443" s="1358"/>
    </row>
    <row r="2444" spans="8:9">
      <c r="H2444" s="1358"/>
      <c r="I2444" s="1358"/>
    </row>
    <row r="2445" spans="8:9">
      <c r="H2445" s="1358"/>
      <c r="I2445" s="1358"/>
    </row>
    <row r="2446" spans="8:9">
      <c r="H2446" s="1358"/>
      <c r="I2446" s="1358"/>
    </row>
    <row r="2447" spans="8:9">
      <c r="H2447" s="1358"/>
      <c r="I2447" s="1358"/>
    </row>
    <row r="2448" spans="8:9">
      <c r="H2448" s="1358"/>
      <c r="I2448" s="1358"/>
    </row>
    <row r="2449" spans="8:9">
      <c r="H2449" s="1358"/>
      <c r="I2449" s="1358"/>
    </row>
    <row r="2450" spans="8:9">
      <c r="H2450" s="1358"/>
      <c r="I2450" s="1358"/>
    </row>
    <row r="2451" spans="8:9">
      <c r="H2451" s="1358"/>
      <c r="I2451" s="1358"/>
    </row>
    <row r="2452" spans="8:9">
      <c r="H2452" s="1358"/>
      <c r="I2452" s="1358"/>
    </row>
    <row r="2453" spans="8:9">
      <c r="H2453" s="1358"/>
      <c r="I2453" s="1358"/>
    </row>
    <row r="2454" spans="8:9">
      <c r="H2454" s="1358"/>
      <c r="I2454" s="1358"/>
    </row>
    <row r="2455" spans="8:9">
      <c r="H2455" s="1358"/>
      <c r="I2455" s="1358"/>
    </row>
    <row r="2456" spans="8:9">
      <c r="H2456" s="1358"/>
      <c r="I2456" s="1358"/>
    </row>
    <row r="2457" spans="8:9">
      <c r="H2457" s="1358"/>
      <c r="I2457" s="1358"/>
    </row>
    <row r="2458" spans="8:9">
      <c r="H2458" s="1358"/>
      <c r="I2458" s="1358"/>
    </row>
    <row r="2459" spans="8:9">
      <c r="H2459" s="1358"/>
      <c r="I2459" s="1358"/>
    </row>
    <row r="2460" spans="8:9">
      <c r="H2460" s="1358"/>
      <c r="I2460" s="1358"/>
    </row>
    <row r="2461" spans="8:9">
      <c r="H2461" s="1358"/>
      <c r="I2461" s="1358"/>
    </row>
    <row r="2462" spans="8:9">
      <c r="H2462" s="1358"/>
      <c r="I2462" s="1358"/>
    </row>
    <row r="2463" spans="8:9">
      <c r="H2463" s="1358"/>
      <c r="I2463" s="1358"/>
    </row>
    <row r="2464" spans="8:9">
      <c r="H2464" s="1358"/>
      <c r="I2464" s="1358"/>
    </row>
    <row r="2465" spans="8:9">
      <c r="H2465" s="1358"/>
      <c r="I2465" s="1358"/>
    </row>
    <row r="2466" spans="8:9">
      <c r="H2466" s="1358"/>
      <c r="I2466" s="1358"/>
    </row>
    <row r="2467" spans="8:9">
      <c r="H2467" s="1358"/>
      <c r="I2467" s="1358"/>
    </row>
    <row r="2468" spans="8:9">
      <c r="H2468" s="1358"/>
      <c r="I2468" s="1358"/>
    </row>
    <row r="2469" spans="8:9">
      <c r="H2469" s="1358"/>
      <c r="I2469" s="1358"/>
    </row>
    <row r="2470" spans="8:9">
      <c r="H2470" s="1358"/>
      <c r="I2470" s="1358"/>
    </row>
    <row r="2471" spans="8:9">
      <c r="H2471" s="1358"/>
      <c r="I2471" s="1358"/>
    </row>
    <row r="2472" spans="8:9">
      <c r="H2472" s="1358"/>
      <c r="I2472" s="1358"/>
    </row>
    <row r="2473" spans="8:9">
      <c r="H2473" s="1358"/>
      <c r="I2473" s="1358"/>
    </row>
    <row r="2474" spans="8:9">
      <c r="H2474" s="1358"/>
      <c r="I2474" s="1358"/>
    </row>
    <row r="2475" spans="8:9">
      <c r="H2475" s="1358"/>
      <c r="I2475" s="1358"/>
    </row>
    <row r="2476" spans="8:9">
      <c r="H2476" s="1358"/>
      <c r="I2476" s="1358"/>
    </row>
    <row r="2477" spans="8:9">
      <c r="H2477" s="1358"/>
      <c r="I2477" s="1358"/>
    </row>
    <row r="2478" spans="8:9">
      <c r="H2478" s="1358"/>
      <c r="I2478" s="1358"/>
    </row>
    <row r="2479" spans="8:9">
      <c r="H2479" s="1358"/>
      <c r="I2479" s="1358"/>
    </row>
    <row r="2480" spans="8:9">
      <c r="H2480" s="1358"/>
      <c r="I2480" s="1358"/>
    </row>
    <row r="2481" spans="8:9">
      <c r="H2481" s="1358"/>
      <c r="I2481" s="1358"/>
    </row>
    <row r="2482" spans="8:9">
      <c r="H2482" s="1358"/>
      <c r="I2482" s="1358"/>
    </row>
    <row r="2483" spans="8:9">
      <c r="H2483" s="1358"/>
      <c r="I2483" s="1358"/>
    </row>
    <row r="2484" spans="8:9">
      <c r="H2484" s="1358"/>
      <c r="I2484" s="1358"/>
    </row>
    <row r="2485" spans="8:9">
      <c r="H2485" s="1358"/>
      <c r="I2485" s="1358"/>
    </row>
    <row r="2486" spans="8:9">
      <c r="H2486" s="1358"/>
      <c r="I2486" s="1358"/>
    </row>
    <row r="2487" spans="8:9">
      <c r="H2487" s="1358"/>
      <c r="I2487" s="1358"/>
    </row>
    <row r="2488" spans="8:9">
      <c r="H2488" s="1358"/>
      <c r="I2488" s="1358"/>
    </row>
    <row r="2489" spans="8:9">
      <c r="H2489" s="1358"/>
      <c r="I2489" s="1358"/>
    </row>
    <row r="2490" spans="8:9">
      <c r="H2490" s="1358"/>
      <c r="I2490" s="1358"/>
    </row>
    <row r="2491" spans="8:9">
      <c r="H2491" s="1358"/>
      <c r="I2491" s="1358"/>
    </row>
    <row r="2492" spans="8:9">
      <c r="H2492" s="1358"/>
      <c r="I2492" s="1358"/>
    </row>
    <row r="2493" spans="8:9">
      <c r="H2493" s="1358"/>
      <c r="I2493" s="1358"/>
    </row>
    <row r="2494" spans="8:9">
      <c r="H2494" s="1358"/>
      <c r="I2494" s="1358"/>
    </row>
    <row r="2495" spans="8:9">
      <c r="H2495" s="1358"/>
      <c r="I2495" s="1358"/>
    </row>
    <row r="2496" spans="8:9">
      <c r="H2496" s="1358"/>
      <c r="I2496" s="1358"/>
    </row>
    <row r="2497" spans="8:9">
      <c r="H2497" s="1358"/>
      <c r="I2497" s="1358"/>
    </row>
    <row r="2498" spans="8:9">
      <c r="H2498" s="1358"/>
      <c r="I2498" s="1358"/>
    </row>
    <row r="2499" spans="8:9">
      <c r="H2499" s="1358"/>
      <c r="I2499" s="1358"/>
    </row>
    <row r="2500" spans="8:9">
      <c r="H2500" s="1358"/>
      <c r="I2500" s="1358"/>
    </row>
    <row r="2501" spans="8:9">
      <c r="H2501" s="1358"/>
      <c r="I2501" s="1358"/>
    </row>
    <row r="2502" spans="8:9">
      <c r="H2502" s="1358"/>
      <c r="I2502" s="1358"/>
    </row>
    <row r="2503" spans="8:9">
      <c r="H2503" s="1358"/>
      <c r="I2503" s="1358"/>
    </row>
    <row r="2504" spans="8:9">
      <c r="H2504" s="1358"/>
      <c r="I2504" s="1358"/>
    </row>
    <row r="2505" spans="8:9">
      <c r="H2505" s="1358"/>
      <c r="I2505" s="1358"/>
    </row>
    <row r="2506" spans="8:9">
      <c r="H2506" s="1358"/>
      <c r="I2506" s="1358"/>
    </row>
    <row r="2507" spans="8:9">
      <c r="H2507" s="1358"/>
      <c r="I2507" s="1358"/>
    </row>
    <row r="2508" spans="8:9">
      <c r="H2508" s="1358"/>
      <c r="I2508" s="1358"/>
    </row>
    <row r="2509" spans="8:9">
      <c r="H2509" s="1358"/>
      <c r="I2509" s="1358"/>
    </row>
    <row r="2510" spans="8:9">
      <c r="H2510" s="1358"/>
      <c r="I2510" s="1358"/>
    </row>
    <row r="2511" spans="8:9">
      <c r="H2511" s="1358"/>
      <c r="I2511" s="1358"/>
    </row>
    <row r="2512" spans="8:9">
      <c r="H2512" s="1358"/>
      <c r="I2512" s="1358"/>
    </row>
    <row r="2513" spans="8:9">
      <c r="H2513" s="1358"/>
      <c r="I2513" s="1358"/>
    </row>
    <row r="2514" spans="8:9">
      <c r="H2514" s="1358"/>
      <c r="I2514" s="1358"/>
    </row>
    <row r="2515" spans="8:9">
      <c r="H2515" s="1358"/>
      <c r="I2515" s="1358"/>
    </row>
    <row r="2516" spans="8:9">
      <c r="H2516" s="1358"/>
      <c r="I2516" s="1358"/>
    </row>
    <row r="2517" spans="8:9">
      <c r="H2517" s="1358"/>
      <c r="I2517" s="1358"/>
    </row>
    <row r="2518" spans="8:9">
      <c r="H2518" s="1358"/>
      <c r="I2518" s="1358"/>
    </row>
    <row r="2519" spans="8:9">
      <c r="H2519" s="1358"/>
      <c r="I2519" s="1358"/>
    </row>
    <row r="2520" spans="8:9">
      <c r="H2520" s="1358"/>
      <c r="I2520" s="1358"/>
    </row>
    <row r="2521" spans="8:9">
      <c r="H2521" s="1358"/>
      <c r="I2521" s="1358"/>
    </row>
    <row r="2522" spans="8:9">
      <c r="H2522" s="1358"/>
      <c r="I2522" s="1358"/>
    </row>
    <row r="2523" spans="8:9">
      <c r="H2523" s="1358"/>
      <c r="I2523" s="1358"/>
    </row>
    <row r="2524" spans="8:9">
      <c r="H2524" s="1358"/>
      <c r="I2524" s="1358"/>
    </row>
    <row r="2525" spans="8:9">
      <c r="H2525" s="1358"/>
      <c r="I2525" s="1358"/>
    </row>
    <row r="2526" spans="8:9">
      <c r="H2526" s="1358"/>
      <c r="I2526" s="1358"/>
    </row>
    <row r="2527" spans="8:9">
      <c r="H2527" s="1358"/>
      <c r="I2527" s="1358"/>
    </row>
    <row r="2528" spans="8:9">
      <c r="H2528" s="1358"/>
      <c r="I2528" s="1358"/>
    </row>
    <row r="2529" spans="8:9">
      <c r="H2529" s="1358"/>
      <c r="I2529" s="1358"/>
    </row>
    <row r="2530" spans="8:9">
      <c r="H2530" s="1358"/>
      <c r="I2530" s="1358"/>
    </row>
    <row r="2531" spans="8:9">
      <c r="H2531" s="1358"/>
      <c r="I2531" s="1358"/>
    </row>
    <row r="2532" spans="8:9">
      <c r="H2532" s="1358"/>
      <c r="I2532" s="1358"/>
    </row>
    <row r="2533" spans="8:9">
      <c r="H2533" s="1358"/>
      <c r="I2533" s="1358"/>
    </row>
    <row r="2534" spans="8:9">
      <c r="H2534" s="1358"/>
      <c r="I2534" s="1358"/>
    </row>
    <row r="2535" spans="8:9">
      <c r="H2535" s="1358"/>
      <c r="I2535" s="1358"/>
    </row>
    <row r="2536" spans="8:9">
      <c r="H2536" s="1358"/>
      <c r="I2536" s="1358"/>
    </row>
    <row r="2537" spans="8:9">
      <c r="H2537" s="1358"/>
      <c r="I2537" s="1358"/>
    </row>
    <row r="2538" spans="8:9">
      <c r="H2538" s="1358"/>
      <c r="I2538" s="1358"/>
    </row>
    <row r="2539" spans="8:9">
      <c r="H2539" s="1358"/>
      <c r="I2539" s="1358"/>
    </row>
    <row r="2540" spans="8:9">
      <c r="H2540" s="1358"/>
      <c r="I2540" s="1358"/>
    </row>
    <row r="2541" spans="8:9">
      <c r="H2541" s="1358"/>
      <c r="I2541" s="1358"/>
    </row>
    <row r="2542" spans="8:9">
      <c r="H2542" s="1358"/>
      <c r="I2542" s="1358"/>
    </row>
    <row r="2543" spans="8:9">
      <c r="H2543" s="1358"/>
      <c r="I2543" s="1358"/>
    </row>
    <row r="2544" spans="8:9">
      <c r="H2544" s="1358"/>
      <c r="I2544" s="1358"/>
    </row>
    <row r="2545" spans="8:9">
      <c r="H2545" s="1358"/>
      <c r="I2545" s="1358"/>
    </row>
    <row r="2546" spans="8:9">
      <c r="H2546" s="1358"/>
      <c r="I2546" s="1358"/>
    </row>
    <row r="2547" spans="8:9">
      <c r="H2547" s="1358"/>
      <c r="I2547" s="1358"/>
    </row>
    <row r="2548" spans="8:9">
      <c r="H2548" s="1358"/>
      <c r="I2548" s="1358"/>
    </row>
    <row r="2549" spans="8:9">
      <c r="H2549" s="1358"/>
      <c r="I2549" s="1358"/>
    </row>
    <row r="2550" spans="8:9">
      <c r="H2550" s="1358"/>
      <c r="I2550" s="1358"/>
    </row>
    <row r="2551" spans="8:9">
      <c r="H2551" s="1358"/>
      <c r="I2551" s="1358"/>
    </row>
    <row r="2552" spans="8:9">
      <c r="H2552" s="1358"/>
      <c r="I2552" s="1358"/>
    </row>
    <row r="2553" spans="8:9">
      <c r="H2553" s="1358"/>
      <c r="I2553" s="1358"/>
    </row>
    <row r="2554" spans="8:9">
      <c r="H2554" s="1358"/>
      <c r="I2554" s="1358"/>
    </row>
    <row r="2555" spans="8:9">
      <c r="H2555" s="1358"/>
      <c r="I2555" s="1358"/>
    </row>
    <row r="2556" spans="8:9">
      <c r="H2556" s="1358"/>
      <c r="I2556" s="1358"/>
    </row>
    <row r="2557" spans="8:9">
      <c r="H2557" s="1358"/>
      <c r="I2557" s="1358"/>
    </row>
    <row r="2558" spans="8:9">
      <c r="H2558" s="1358"/>
      <c r="I2558" s="1358"/>
    </row>
    <row r="2559" spans="8:9">
      <c r="H2559" s="1358"/>
      <c r="I2559" s="1358"/>
    </row>
    <row r="2560" spans="8:9">
      <c r="H2560" s="1358"/>
      <c r="I2560" s="1358"/>
    </row>
    <row r="2561" spans="8:9">
      <c r="H2561" s="1358"/>
      <c r="I2561" s="1358"/>
    </row>
    <row r="2562" spans="8:9">
      <c r="H2562" s="1358"/>
      <c r="I2562" s="1358"/>
    </row>
    <row r="2563" spans="8:9">
      <c r="H2563" s="1358"/>
      <c r="I2563" s="1358"/>
    </row>
    <row r="2564" spans="8:9">
      <c r="H2564" s="1358"/>
      <c r="I2564" s="1358"/>
    </row>
    <row r="2565" spans="8:9">
      <c r="H2565" s="1358"/>
      <c r="I2565" s="1358"/>
    </row>
    <row r="2566" spans="8:9">
      <c r="H2566" s="1358"/>
      <c r="I2566" s="1358"/>
    </row>
    <row r="2567" spans="8:9">
      <c r="H2567" s="1358"/>
      <c r="I2567" s="1358"/>
    </row>
    <row r="2568" spans="8:9">
      <c r="H2568" s="1358"/>
      <c r="I2568" s="1358"/>
    </row>
    <row r="2569" spans="8:9">
      <c r="H2569" s="1358"/>
      <c r="I2569" s="1358"/>
    </row>
    <row r="2570" spans="8:9">
      <c r="H2570" s="1358"/>
      <c r="I2570" s="1358"/>
    </row>
    <row r="2571" spans="8:9">
      <c r="H2571" s="1358"/>
      <c r="I2571" s="1358"/>
    </row>
    <row r="2572" spans="8:9">
      <c r="H2572" s="1358"/>
      <c r="I2572" s="1358"/>
    </row>
    <row r="2573" spans="8:9">
      <c r="H2573" s="1358"/>
      <c r="I2573" s="1358"/>
    </row>
    <row r="2574" spans="8:9">
      <c r="H2574" s="1358"/>
      <c r="I2574" s="1358"/>
    </row>
    <row r="2575" spans="8:9">
      <c r="H2575" s="1358"/>
      <c r="I2575" s="1358"/>
    </row>
    <row r="2576" spans="8:9">
      <c r="H2576" s="1358"/>
      <c r="I2576" s="1358"/>
    </row>
    <row r="2577" spans="8:9">
      <c r="H2577" s="1358"/>
      <c r="I2577" s="1358"/>
    </row>
    <row r="2578" spans="8:9">
      <c r="H2578" s="1358"/>
      <c r="I2578" s="1358"/>
    </row>
    <row r="2579" spans="8:9">
      <c r="H2579" s="1358"/>
      <c r="I2579" s="1358"/>
    </row>
    <row r="2580" spans="8:9">
      <c r="H2580" s="1358"/>
      <c r="I2580" s="1358"/>
    </row>
    <row r="2581" spans="8:9">
      <c r="H2581" s="1358"/>
      <c r="I2581" s="1358"/>
    </row>
    <row r="2582" spans="8:9">
      <c r="H2582" s="1358"/>
      <c r="I2582" s="1358"/>
    </row>
    <row r="2583" spans="8:9">
      <c r="H2583" s="1358"/>
      <c r="I2583" s="1358"/>
    </row>
    <row r="2584" spans="8:9">
      <c r="H2584" s="1358"/>
      <c r="I2584" s="1358"/>
    </row>
    <row r="2585" spans="8:9">
      <c r="H2585" s="1358"/>
      <c r="I2585" s="1358"/>
    </row>
    <row r="2586" spans="8:9">
      <c r="H2586" s="1358"/>
      <c r="I2586" s="1358"/>
    </row>
    <row r="2587" spans="8:9">
      <c r="H2587" s="1358"/>
      <c r="I2587" s="1358"/>
    </row>
    <row r="2588" spans="8:9">
      <c r="H2588" s="1358"/>
      <c r="I2588" s="1358"/>
    </row>
    <row r="2589" spans="8:9">
      <c r="H2589" s="1358"/>
      <c r="I2589" s="1358"/>
    </row>
    <row r="2590" spans="8:9">
      <c r="H2590" s="1358"/>
      <c r="I2590" s="1358"/>
    </row>
    <row r="2591" spans="8:9">
      <c r="H2591" s="1358"/>
      <c r="I2591" s="1358"/>
    </row>
    <row r="2592" spans="8:9">
      <c r="H2592" s="1358"/>
      <c r="I2592" s="1358"/>
    </row>
    <row r="2593" spans="8:9">
      <c r="H2593" s="1358"/>
      <c r="I2593" s="1358"/>
    </row>
    <row r="2594" spans="8:9">
      <c r="H2594" s="1358"/>
      <c r="I2594" s="1358"/>
    </row>
    <row r="2595" spans="8:9">
      <c r="H2595" s="1358"/>
      <c r="I2595" s="1358"/>
    </row>
    <row r="2596" spans="8:9">
      <c r="H2596" s="1358"/>
      <c r="I2596" s="1358"/>
    </row>
    <row r="2597" spans="8:9">
      <c r="H2597" s="1358"/>
      <c r="I2597" s="1358"/>
    </row>
    <row r="2598" spans="8:9">
      <c r="H2598" s="1358"/>
      <c r="I2598" s="1358"/>
    </row>
    <row r="2599" spans="8:9">
      <c r="H2599" s="1358"/>
      <c r="I2599" s="1358"/>
    </row>
    <row r="2600" spans="8:9">
      <c r="H2600" s="1358"/>
      <c r="I2600" s="1358"/>
    </row>
    <row r="2601" spans="8:9">
      <c r="H2601" s="1358"/>
      <c r="I2601" s="1358"/>
    </row>
    <row r="2602" spans="8:9">
      <c r="H2602" s="1358"/>
      <c r="I2602" s="1358"/>
    </row>
    <row r="2603" spans="8:9">
      <c r="H2603" s="1358"/>
      <c r="I2603" s="1358"/>
    </row>
    <row r="2604" spans="8:9">
      <c r="H2604" s="1358"/>
      <c r="I2604" s="1358"/>
    </row>
    <row r="2605" spans="8:9">
      <c r="H2605" s="1358"/>
      <c r="I2605" s="1358"/>
    </row>
    <row r="2606" spans="8:9">
      <c r="H2606" s="1358"/>
      <c r="I2606" s="1358"/>
    </row>
    <row r="2607" spans="8:9">
      <c r="H2607" s="1358"/>
      <c r="I2607" s="1358"/>
    </row>
    <row r="2608" spans="8:9">
      <c r="H2608" s="1358"/>
      <c r="I2608" s="1358"/>
    </row>
    <row r="2609" spans="8:9">
      <c r="H2609" s="1358"/>
      <c r="I2609" s="1358"/>
    </row>
    <row r="2610" spans="8:9">
      <c r="H2610" s="1358"/>
      <c r="I2610" s="1358"/>
    </row>
    <row r="2611" spans="8:9">
      <c r="H2611" s="1358"/>
      <c r="I2611" s="1358"/>
    </row>
    <row r="2612" spans="8:9">
      <c r="H2612" s="1358"/>
      <c r="I2612" s="1358"/>
    </row>
    <row r="2613" spans="8:9">
      <c r="H2613" s="1358"/>
      <c r="I2613" s="1358"/>
    </row>
    <row r="2614" spans="8:9">
      <c r="H2614" s="1358"/>
      <c r="I2614" s="1358"/>
    </row>
    <row r="2615" spans="8:9">
      <c r="H2615" s="1358"/>
      <c r="I2615" s="1358"/>
    </row>
    <row r="2616" spans="8:9">
      <c r="H2616" s="1358"/>
      <c r="I2616" s="1358"/>
    </row>
    <row r="2617" spans="8:9">
      <c r="H2617" s="1358"/>
      <c r="I2617" s="1358"/>
    </row>
    <row r="2618" spans="8:9">
      <c r="H2618" s="1358"/>
      <c r="I2618" s="1358"/>
    </row>
    <row r="2619" spans="8:9">
      <c r="H2619" s="1358"/>
      <c r="I2619" s="1358"/>
    </row>
    <row r="2620" spans="8:9">
      <c r="H2620" s="1358"/>
      <c r="I2620" s="1358"/>
    </row>
    <row r="2621" spans="8:9">
      <c r="H2621" s="1358"/>
      <c r="I2621" s="1358"/>
    </row>
    <row r="2622" spans="8:9">
      <c r="H2622" s="1358"/>
      <c r="I2622" s="1358"/>
    </row>
    <row r="2623" spans="8:9">
      <c r="H2623" s="1358"/>
      <c r="I2623" s="1358"/>
    </row>
    <row r="2624" spans="8:9">
      <c r="H2624" s="1358"/>
      <c r="I2624" s="1358"/>
    </row>
    <row r="2625" spans="8:9">
      <c r="H2625" s="1358"/>
      <c r="I2625" s="1358"/>
    </row>
    <row r="2626" spans="8:9">
      <c r="H2626" s="1358"/>
      <c r="I2626" s="1358"/>
    </row>
    <row r="2627" spans="8:9">
      <c r="H2627" s="1358"/>
      <c r="I2627" s="1358"/>
    </row>
    <row r="2628" spans="8:9">
      <c r="H2628" s="1358"/>
      <c r="I2628" s="1358"/>
    </row>
    <row r="2629" spans="8:9">
      <c r="H2629" s="1358"/>
      <c r="I2629" s="1358"/>
    </row>
    <row r="2630" spans="8:9">
      <c r="H2630" s="1358"/>
      <c r="I2630" s="1358"/>
    </row>
    <row r="2631" spans="8:9">
      <c r="H2631" s="1358"/>
      <c r="I2631" s="1358"/>
    </row>
    <row r="2632" spans="8:9">
      <c r="H2632" s="1358"/>
      <c r="I2632" s="1358"/>
    </row>
    <row r="2633" spans="8:9">
      <c r="H2633" s="1358"/>
      <c r="I2633" s="1358"/>
    </row>
    <row r="2634" spans="8:9">
      <c r="H2634" s="1358"/>
      <c r="I2634" s="1358"/>
    </row>
    <row r="2635" spans="8:9">
      <c r="H2635" s="1358"/>
      <c r="I2635" s="1358"/>
    </row>
    <row r="2636" spans="8:9">
      <c r="H2636" s="1358"/>
      <c r="I2636" s="1358"/>
    </row>
    <row r="2637" spans="8:9">
      <c r="H2637" s="1358"/>
      <c r="I2637" s="1358"/>
    </row>
    <row r="2638" spans="8:9">
      <c r="H2638" s="1358"/>
      <c r="I2638" s="1358"/>
    </row>
    <row r="2639" spans="8:9">
      <c r="H2639" s="1358"/>
      <c r="I2639" s="1358"/>
    </row>
    <row r="2640" spans="8:9">
      <c r="H2640" s="1358"/>
      <c r="I2640" s="1358"/>
    </row>
    <row r="2641" spans="8:9">
      <c r="H2641" s="1358"/>
      <c r="I2641" s="1358"/>
    </row>
    <row r="2642" spans="8:9">
      <c r="H2642" s="1358"/>
      <c r="I2642" s="1358"/>
    </row>
    <row r="2643" spans="8:9">
      <c r="H2643" s="1358"/>
      <c r="I2643" s="1358"/>
    </row>
    <row r="2644" spans="8:9">
      <c r="H2644" s="1358"/>
      <c r="I2644" s="1358"/>
    </row>
    <row r="2645" spans="8:9">
      <c r="H2645" s="1358"/>
      <c r="I2645" s="1358"/>
    </row>
    <row r="2646" spans="8:9">
      <c r="H2646" s="1358"/>
      <c r="I2646" s="1358"/>
    </row>
    <row r="2647" spans="8:9">
      <c r="H2647" s="1358"/>
      <c r="I2647" s="1358"/>
    </row>
    <row r="2648" spans="8:9">
      <c r="H2648" s="1358"/>
      <c r="I2648" s="1358"/>
    </row>
    <row r="2649" spans="8:9">
      <c r="H2649" s="1358"/>
      <c r="I2649" s="1358"/>
    </row>
    <row r="2650" spans="8:9">
      <c r="H2650" s="1358"/>
      <c r="I2650" s="1358"/>
    </row>
    <row r="2651" spans="8:9">
      <c r="H2651" s="1358"/>
      <c r="I2651" s="1358"/>
    </row>
    <row r="2652" spans="8:9">
      <c r="H2652" s="1358"/>
      <c r="I2652" s="1358"/>
    </row>
    <row r="2653" spans="8:9">
      <c r="H2653" s="1358"/>
      <c r="I2653" s="1358"/>
    </row>
    <row r="2654" spans="8:9">
      <c r="H2654" s="1358"/>
      <c r="I2654" s="1358"/>
    </row>
    <row r="2655" spans="8:9">
      <c r="H2655" s="1358"/>
      <c r="I2655" s="1358"/>
    </row>
    <row r="2656" spans="8:9">
      <c r="H2656" s="1358"/>
      <c r="I2656" s="1358"/>
    </row>
    <row r="2657" spans="8:9">
      <c r="H2657" s="1358"/>
      <c r="I2657" s="1358"/>
    </row>
    <row r="2658" spans="8:9">
      <c r="H2658" s="1358"/>
      <c r="I2658" s="1358"/>
    </row>
    <row r="2659" spans="8:9">
      <c r="H2659" s="1358"/>
      <c r="I2659" s="1358"/>
    </row>
    <row r="2660" spans="8:9">
      <c r="H2660" s="1358"/>
      <c r="I2660" s="1358"/>
    </row>
    <row r="2661" spans="8:9">
      <c r="H2661" s="1358"/>
      <c r="I2661" s="1358"/>
    </row>
    <row r="2662" spans="8:9">
      <c r="H2662" s="1358"/>
      <c r="I2662" s="1358"/>
    </row>
    <row r="2663" spans="8:9">
      <c r="H2663" s="1358"/>
      <c r="I2663" s="1358"/>
    </row>
    <row r="2664" spans="8:9">
      <c r="H2664" s="1358"/>
      <c r="I2664" s="1358"/>
    </row>
    <row r="2665" spans="8:9">
      <c r="H2665" s="1358"/>
      <c r="I2665" s="1358"/>
    </row>
    <row r="2666" spans="8:9">
      <c r="H2666" s="1358"/>
      <c r="I2666" s="1358"/>
    </row>
    <row r="2667" spans="8:9">
      <c r="H2667" s="1358"/>
      <c r="I2667" s="1358"/>
    </row>
    <row r="2668" spans="8:9">
      <c r="H2668" s="1358"/>
      <c r="I2668" s="1358"/>
    </row>
    <row r="2669" spans="8:9">
      <c r="H2669" s="1358"/>
      <c r="I2669" s="1358"/>
    </row>
    <row r="2670" spans="8:9">
      <c r="H2670" s="1358"/>
      <c r="I2670" s="1358"/>
    </row>
    <row r="2671" spans="8:9">
      <c r="H2671" s="1358"/>
      <c r="I2671" s="1358"/>
    </row>
    <row r="2672" spans="8:9">
      <c r="H2672" s="1358"/>
      <c r="I2672" s="1358"/>
    </row>
    <row r="2673" spans="8:9">
      <c r="H2673" s="1358"/>
      <c r="I2673" s="1358"/>
    </row>
    <row r="2674" spans="8:9">
      <c r="H2674" s="1358"/>
      <c r="I2674" s="1358"/>
    </row>
    <row r="2675" spans="8:9">
      <c r="H2675" s="1358"/>
      <c r="I2675" s="1358"/>
    </row>
    <row r="2676" spans="8:9">
      <c r="H2676" s="1358"/>
      <c r="I2676" s="1358"/>
    </row>
    <row r="2677" spans="8:9">
      <c r="H2677" s="1358"/>
      <c r="I2677" s="1358"/>
    </row>
    <row r="2678" spans="8:9">
      <c r="H2678" s="1358"/>
      <c r="I2678" s="1358"/>
    </row>
    <row r="2679" spans="8:9">
      <c r="H2679" s="1358"/>
      <c r="I2679" s="1358"/>
    </row>
    <row r="2680" spans="8:9">
      <c r="H2680" s="1358"/>
      <c r="I2680" s="1358"/>
    </row>
    <row r="2681" spans="8:9">
      <c r="H2681" s="1358"/>
      <c r="I2681" s="1358"/>
    </row>
    <row r="2682" spans="8:9">
      <c r="H2682" s="1358"/>
      <c r="I2682" s="1358"/>
    </row>
    <row r="2683" spans="8:9">
      <c r="H2683" s="1358"/>
      <c r="I2683" s="1358"/>
    </row>
    <row r="2684" spans="8:9">
      <c r="H2684" s="1358"/>
      <c r="I2684" s="1358"/>
    </row>
    <row r="2685" spans="8:9">
      <c r="H2685" s="1358"/>
      <c r="I2685" s="1358"/>
    </row>
    <row r="2686" spans="8:9">
      <c r="H2686" s="1358"/>
      <c r="I2686" s="1358"/>
    </row>
    <row r="2687" spans="8:9">
      <c r="H2687" s="1358"/>
      <c r="I2687" s="1358"/>
    </row>
    <row r="2688" spans="8:9">
      <c r="H2688" s="1358"/>
      <c r="I2688" s="1358"/>
    </row>
    <row r="2689" spans="8:9">
      <c r="H2689" s="1358"/>
      <c r="I2689" s="1358"/>
    </row>
    <row r="2690" spans="8:9">
      <c r="H2690" s="1358"/>
      <c r="I2690" s="1358"/>
    </row>
    <row r="2691" spans="8:9">
      <c r="H2691" s="1358"/>
      <c r="I2691" s="1358"/>
    </row>
    <row r="2692" spans="8:9">
      <c r="H2692" s="1358"/>
      <c r="I2692" s="1358"/>
    </row>
    <row r="2693" spans="8:9">
      <c r="H2693" s="1358"/>
      <c r="I2693" s="1358"/>
    </row>
    <row r="2694" spans="8:9">
      <c r="H2694" s="1358"/>
      <c r="I2694" s="1358"/>
    </row>
    <row r="2695" spans="8:9">
      <c r="H2695" s="1358"/>
      <c r="I2695" s="1358"/>
    </row>
    <row r="2696" spans="8:9">
      <c r="H2696" s="1358"/>
      <c r="I2696" s="1358"/>
    </row>
    <row r="2697" spans="8:9">
      <c r="H2697" s="1358"/>
      <c r="I2697" s="1358"/>
    </row>
    <row r="2698" spans="8:9">
      <c r="H2698" s="1358"/>
      <c r="I2698" s="1358"/>
    </row>
    <row r="2699" spans="8:9">
      <c r="H2699" s="1358"/>
      <c r="I2699" s="1358"/>
    </row>
    <row r="2700" spans="8:9">
      <c r="H2700" s="1358"/>
      <c r="I2700" s="1358"/>
    </row>
    <row r="2701" spans="8:9">
      <c r="H2701" s="1358"/>
      <c r="I2701" s="1358"/>
    </row>
    <row r="2702" spans="8:9">
      <c r="H2702" s="1358"/>
      <c r="I2702" s="1358"/>
    </row>
    <row r="2703" spans="8:9">
      <c r="H2703" s="1358"/>
      <c r="I2703" s="1358"/>
    </row>
    <row r="2704" spans="8:9">
      <c r="H2704" s="1358"/>
      <c r="I2704" s="1358"/>
    </row>
    <row r="2705" spans="8:9">
      <c r="H2705" s="1358"/>
      <c r="I2705" s="1358"/>
    </row>
    <row r="2706" spans="8:9">
      <c r="H2706" s="1358"/>
      <c r="I2706" s="1358"/>
    </row>
    <row r="2707" spans="8:9">
      <c r="H2707" s="1358"/>
      <c r="I2707" s="1358"/>
    </row>
    <row r="2708" spans="8:9">
      <c r="H2708" s="1358"/>
      <c r="I2708" s="1358"/>
    </row>
    <row r="2709" spans="8:9">
      <c r="H2709" s="1358"/>
      <c r="I2709" s="1358"/>
    </row>
    <row r="2710" spans="8:9">
      <c r="H2710" s="1358"/>
      <c r="I2710" s="1358"/>
    </row>
    <row r="2711" spans="8:9">
      <c r="H2711" s="1358"/>
      <c r="I2711" s="1358"/>
    </row>
    <row r="2712" spans="8:9">
      <c r="H2712" s="1358"/>
      <c r="I2712" s="1358"/>
    </row>
    <row r="2713" spans="8:9">
      <c r="H2713" s="1358"/>
      <c r="I2713" s="1358"/>
    </row>
    <row r="2714" spans="8:9">
      <c r="H2714" s="1358"/>
      <c r="I2714" s="1358"/>
    </row>
    <row r="2715" spans="8:9">
      <c r="H2715" s="1358"/>
      <c r="I2715" s="1358"/>
    </row>
    <row r="2716" spans="8:9">
      <c r="H2716" s="1358"/>
      <c r="I2716" s="1358"/>
    </row>
    <row r="2717" spans="8:9">
      <c r="H2717" s="1358"/>
      <c r="I2717" s="1358"/>
    </row>
    <row r="2718" spans="8:9">
      <c r="H2718" s="1358"/>
      <c r="I2718" s="1358"/>
    </row>
    <row r="2719" spans="8:9">
      <c r="H2719" s="1358"/>
      <c r="I2719" s="1358"/>
    </row>
    <row r="2720" spans="8:9">
      <c r="H2720" s="1358"/>
      <c r="I2720" s="1358"/>
    </row>
    <row r="2721" spans="8:9">
      <c r="H2721" s="1358"/>
      <c r="I2721" s="1358"/>
    </row>
    <row r="2722" spans="8:9">
      <c r="H2722" s="1358"/>
      <c r="I2722" s="1358"/>
    </row>
    <row r="2723" spans="8:9">
      <c r="H2723" s="1358"/>
      <c r="I2723" s="1358"/>
    </row>
    <row r="2724" spans="8:9">
      <c r="H2724" s="1358"/>
      <c r="I2724" s="1358"/>
    </row>
    <row r="2725" spans="8:9">
      <c r="H2725" s="1358"/>
      <c r="I2725" s="1358"/>
    </row>
    <row r="2726" spans="8:9">
      <c r="H2726" s="1358"/>
      <c r="I2726" s="1358"/>
    </row>
    <row r="2727" spans="8:9">
      <c r="H2727" s="1358"/>
      <c r="I2727" s="1358"/>
    </row>
    <row r="2728" spans="8:9">
      <c r="H2728" s="1358"/>
      <c r="I2728" s="1358"/>
    </row>
    <row r="2729" spans="8:9">
      <c r="H2729" s="1358"/>
      <c r="I2729" s="1358"/>
    </row>
    <row r="2730" spans="8:9">
      <c r="H2730" s="1358"/>
      <c r="I2730" s="1358"/>
    </row>
    <row r="2731" spans="8:9">
      <c r="H2731" s="1358"/>
      <c r="I2731" s="1358"/>
    </row>
    <row r="2732" spans="8:9">
      <c r="H2732" s="1358"/>
      <c r="I2732" s="1358"/>
    </row>
    <row r="2733" spans="8:9">
      <c r="H2733" s="1358"/>
      <c r="I2733" s="1358"/>
    </row>
    <row r="2734" spans="8:9">
      <c r="H2734" s="1358"/>
      <c r="I2734" s="1358"/>
    </row>
    <row r="2735" spans="8:9">
      <c r="H2735" s="1358"/>
      <c r="I2735" s="1358"/>
    </row>
    <row r="2736" spans="8:9">
      <c r="H2736" s="1358"/>
      <c r="I2736" s="1358"/>
    </row>
    <row r="2737" spans="8:9">
      <c r="H2737" s="1358"/>
      <c r="I2737" s="1358"/>
    </row>
    <row r="2738" spans="8:9">
      <c r="H2738" s="1358"/>
      <c r="I2738" s="1358"/>
    </row>
    <row r="2739" spans="8:9">
      <c r="H2739" s="1358"/>
      <c r="I2739" s="1358"/>
    </row>
    <row r="2740" spans="8:9">
      <c r="H2740" s="1358"/>
      <c r="I2740" s="1358"/>
    </row>
    <row r="2741" spans="8:9">
      <c r="H2741" s="1358"/>
      <c r="I2741" s="1358"/>
    </row>
    <row r="2742" spans="8:9">
      <c r="H2742" s="1358"/>
      <c r="I2742" s="1358"/>
    </row>
    <row r="2743" spans="8:9">
      <c r="H2743" s="1358"/>
      <c r="I2743" s="1358"/>
    </row>
    <row r="2744" spans="8:9">
      <c r="H2744" s="1358"/>
      <c r="I2744" s="1358"/>
    </row>
    <row r="2745" spans="8:9">
      <c r="H2745" s="1358"/>
      <c r="I2745" s="1358"/>
    </row>
    <row r="2746" spans="8:9">
      <c r="H2746" s="1358"/>
      <c r="I2746" s="1358"/>
    </row>
    <row r="2747" spans="8:9">
      <c r="H2747" s="1358"/>
      <c r="I2747" s="1358"/>
    </row>
    <row r="2748" spans="8:9">
      <c r="H2748" s="1358"/>
      <c r="I2748" s="1358"/>
    </row>
    <row r="2749" spans="8:9">
      <c r="H2749" s="1358"/>
      <c r="I2749" s="1358"/>
    </row>
    <row r="2750" spans="8:9">
      <c r="H2750" s="1358"/>
      <c r="I2750" s="1358"/>
    </row>
    <row r="2751" spans="8:9">
      <c r="H2751" s="1358"/>
      <c r="I2751" s="1358"/>
    </row>
    <row r="2752" spans="8:9">
      <c r="H2752" s="1358"/>
      <c r="I2752" s="1358"/>
    </row>
    <row r="2753" spans="8:9">
      <c r="H2753" s="1358"/>
      <c r="I2753" s="1358"/>
    </row>
    <row r="2754" spans="8:9">
      <c r="H2754" s="1358"/>
      <c r="I2754" s="1358"/>
    </row>
    <row r="2755" spans="8:9">
      <c r="H2755" s="1358"/>
      <c r="I2755" s="1358"/>
    </row>
    <row r="2756" spans="8:9">
      <c r="H2756" s="1358"/>
      <c r="I2756" s="1358"/>
    </row>
    <row r="2757" spans="8:9">
      <c r="H2757" s="1358"/>
      <c r="I2757" s="1358"/>
    </row>
    <row r="2758" spans="8:9">
      <c r="H2758" s="1358"/>
      <c r="I2758" s="1358"/>
    </row>
    <row r="2759" spans="8:9">
      <c r="H2759" s="1358"/>
      <c r="I2759" s="1358"/>
    </row>
    <row r="2760" spans="8:9">
      <c r="H2760" s="1358"/>
      <c r="I2760" s="1358"/>
    </row>
    <row r="2761" spans="8:9">
      <c r="H2761" s="1358"/>
      <c r="I2761" s="1358"/>
    </row>
    <row r="2762" spans="8:9">
      <c r="H2762" s="1358"/>
      <c r="I2762" s="1358"/>
    </row>
    <row r="2763" spans="8:9">
      <c r="H2763" s="1358"/>
      <c r="I2763" s="1358"/>
    </row>
    <row r="2764" spans="8:9">
      <c r="H2764" s="1358"/>
      <c r="I2764" s="1358"/>
    </row>
    <row r="2765" spans="8:9">
      <c r="H2765" s="1358"/>
      <c r="I2765" s="1358"/>
    </row>
    <row r="2766" spans="8:9">
      <c r="H2766" s="1358"/>
      <c r="I2766" s="1358"/>
    </row>
    <row r="2767" spans="8:9">
      <c r="H2767" s="1358"/>
      <c r="I2767" s="1358"/>
    </row>
    <row r="2768" spans="8:9">
      <c r="H2768" s="1358"/>
      <c r="I2768" s="1358"/>
    </row>
    <row r="2769" spans="8:9">
      <c r="H2769" s="1358"/>
      <c r="I2769" s="1358"/>
    </row>
    <row r="2770" spans="8:9">
      <c r="H2770" s="1358"/>
      <c r="I2770" s="1358"/>
    </row>
    <row r="2771" spans="8:9">
      <c r="H2771" s="1358"/>
      <c r="I2771" s="1358"/>
    </row>
    <row r="2772" spans="8:9">
      <c r="H2772" s="1358"/>
      <c r="I2772" s="1358"/>
    </row>
    <row r="2773" spans="8:9">
      <c r="H2773" s="1358"/>
      <c r="I2773" s="1358"/>
    </row>
    <row r="2774" spans="8:9">
      <c r="H2774" s="1358"/>
      <c r="I2774" s="1358"/>
    </row>
    <row r="2775" spans="8:9">
      <c r="H2775" s="1358"/>
      <c r="I2775" s="1358"/>
    </row>
    <row r="2776" spans="8:9">
      <c r="H2776" s="1358"/>
      <c r="I2776" s="1358"/>
    </row>
    <row r="2777" spans="8:9">
      <c r="H2777" s="1358"/>
      <c r="I2777" s="1358"/>
    </row>
    <row r="2778" spans="8:9">
      <c r="H2778" s="1358"/>
      <c r="I2778" s="1358"/>
    </row>
    <row r="2779" spans="8:9">
      <c r="H2779" s="1358"/>
      <c r="I2779" s="1358"/>
    </row>
    <row r="2780" spans="8:9">
      <c r="H2780" s="1358"/>
      <c r="I2780" s="1358"/>
    </row>
    <row r="2781" spans="8:9">
      <c r="H2781" s="1358"/>
      <c r="I2781" s="1358"/>
    </row>
    <row r="2782" spans="8:9">
      <c r="H2782" s="1358"/>
      <c r="I2782" s="1358"/>
    </row>
    <row r="2783" spans="8:9">
      <c r="H2783" s="1358"/>
      <c r="I2783" s="1358"/>
    </row>
    <row r="2784" spans="8:9">
      <c r="H2784" s="1358"/>
      <c r="I2784" s="1358"/>
    </row>
    <row r="2785" spans="8:9">
      <c r="H2785" s="1358"/>
      <c r="I2785" s="1358"/>
    </row>
    <row r="2786" spans="8:9">
      <c r="H2786" s="1358"/>
      <c r="I2786" s="1358"/>
    </row>
    <row r="2787" spans="8:9">
      <c r="H2787" s="1358"/>
      <c r="I2787" s="1358"/>
    </row>
    <row r="2788" spans="8:9">
      <c r="H2788" s="1358"/>
      <c r="I2788" s="1358"/>
    </row>
    <row r="2789" spans="8:9">
      <c r="H2789" s="1358"/>
      <c r="I2789" s="1358"/>
    </row>
    <row r="2790" spans="8:9">
      <c r="H2790" s="1358"/>
      <c r="I2790" s="1358"/>
    </row>
    <row r="2791" spans="8:9">
      <c r="H2791" s="1358"/>
      <c r="I2791" s="1358"/>
    </row>
    <row r="2792" spans="8:9">
      <c r="H2792" s="1358"/>
      <c r="I2792" s="1358"/>
    </row>
    <row r="2793" spans="8:9">
      <c r="H2793" s="1358"/>
      <c r="I2793" s="1358"/>
    </row>
    <row r="2794" spans="8:9">
      <c r="H2794" s="1358"/>
      <c r="I2794" s="1358"/>
    </row>
    <row r="2795" spans="8:9">
      <c r="H2795" s="1358"/>
      <c r="I2795" s="1358"/>
    </row>
    <row r="2796" spans="8:9">
      <c r="H2796" s="1358"/>
      <c r="I2796" s="1358"/>
    </row>
    <row r="2797" spans="8:9">
      <c r="H2797" s="1358"/>
      <c r="I2797" s="1358"/>
    </row>
    <row r="2798" spans="8:9">
      <c r="H2798" s="1358"/>
      <c r="I2798" s="1358"/>
    </row>
    <row r="2799" spans="8:9">
      <c r="H2799" s="1358"/>
      <c r="I2799" s="1358"/>
    </row>
    <row r="2800" spans="8:9">
      <c r="H2800" s="1358"/>
      <c r="I2800" s="1358"/>
    </row>
    <row r="2801" spans="8:9">
      <c r="H2801" s="1358"/>
      <c r="I2801" s="1358"/>
    </row>
    <row r="2802" spans="8:9">
      <c r="H2802" s="1358"/>
      <c r="I2802" s="1358"/>
    </row>
    <row r="2803" spans="8:9">
      <c r="H2803" s="1358"/>
      <c r="I2803" s="1358"/>
    </row>
    <row r="2804" spans="8:9">
      <c r="H2804" s="1358"/>
      <c r="I2804" s="1358"/>
    </row>
    <row r="2805" spans="8:9">
      <c r="H2805" s="1358"/>
      <c r="I2805" s="1358"/>
    </row>
    <row r="2806" spans="8:9">
      <c r="H2806" s="1358"/>
      <c r="I2806" s="1358"/>
    </row>
    <row r="2807" spans="8:9">
      <c r="H2807" s="1358"/>
      <c r="I2807" s="1358"/>
    </row>
    <row r="2808" spans="8:9">
      <c r="H2808" s="1358"/>
      <c r="I2808" s="1358"/>
    </row>
    <row r="2809" spans="8:9">
      <c r="H2809" s="1358"/>
      <c r="I2809" s="1358"/>
    </row>
    <row r="2810" spans="8:9">
      <c r="H2810" s="1358"/>
      <c r="I2810" s="1358"/>
    </row>
    <row r="2811" spans="8:9">
      <c r="H2811" s="1358"/>
      <c r="I2811" s="1358"/>
    </row>
    <row r="2812" spans="8:9">
      <c r="H2812" s="1358"/>
      <c r="I2812" s="1358"/>
    </row>
    <row r="2813" spans="8:9">
      <c r="H2813" s="1358"/>
      <c r="I2813" s="1358"/>
    </row>
    <row r="2814" spans="8:9">
      <c r="H2814" s="1358"/>
      <c r="I2814" s="1358"/>
    </row>
    <row r="2815" spans="8:9">
      <c r="H2815" s="1358"/>
      <c r="I2815" s="1358"/>
    </row>
    <row r="2816" spans="8:9">
      <c r="H2816" s="1358"/>
      <c r="I2816" s="1358"/>
    </row>
    <row r="2817" spans="8:9">
      <c r="H2817" s="1358"/>
      <c r="I2817" s="1358"/>
    </row>
    <row r="2818" spans="8:9">
      <c r="H2818" s="1358"/>
      <c r="I2818" s="1358"/>
    </row>
    <row r="2819" spans="8:9">
      <c r="H2819" s="1358"/>
      <c r="I2819" s="1358"/>
    </row>
    <row r="2820" spans="8:9">
      <c r="H2820" s="1358"/>
      <c r="I2820" s="1358"/>
    </row>
    <row r="2821" spans="8:9">
      <c r="H2821" s="1358"/>
      <c r="I2821" s="1358"/>
    </row>
    <row r="2822" spans="8:9">
      <c r="H2822" s="1358"/>
      <c r="I2822" s="1358"/>
    </row>
    <row r="2823" spans="8:9">
      <c r="H2823" s="1358"/>
      <c r="I2823" s="1358"/>
    </row>
    <row r="2824" spans="8:9">
      <c r="H2824" s="1358"/>
      <c r="I2824" s="1358"/>
    </row>
    <row r="2825" spans="8:9">
      <c r="H2825" s="1358"/>
      <c r="I2825" s="1358"/>
    </row>
    <row r="2826" spans="8:9">
      <c r="H2826" s="1358"/>
      <c r="I2826" s="1358"/>
    </row>
    <row r="2827" spans="8:9">
      <c r="H2827" s="1358"/>
      <c r="I2827" s="1358"/>
    </row>
    <row r="2828" spans="8:9">
      <c r="H2828" s="1358"/>
      <c r="I2828" s="1358"/>
    </row>
    <row r="2829" spans="8:9">
      <c r="H2829" s="1358"/>
      <c r="I2829" s="1358"/>
    </row>
    <row r="2830" spans="8:9">
      <c r="H2830" s="1358"/>
      <c r="I2830" s="1358"/>
    </row>
    <row r="2831" spans="8:9">
      <c r="H2831" s="1358"/>
      <c r="I2831" s="1358"/>
    </row>
    <row r="2832" spans="8:9">
      <c r="H2832" s="1358"/>
      <c r="I2832" s="1358"/>
    </row>
    <row r="2833" spans="8:9">
      <c r="H2833" s="1358"/>
      <c r="I2833" s="1358"/>
    </row>
    <row r="2834" spans="8:9">
      <c r="H2834" s="1358"/>
      <c r="I2834" s="1358"/>
    </row>
    <row r="2835" spans="8:9">
      <c r="H2835" s="1358"/>
      <c r="I2835" s="1358"/>
    </row>
    <row r="2836" spans="8:9">
      <c r="H2836" s="1358"/>
      <c r="I2836" s="1358"/>
    </row>
    <row r="2837" spans="8:9">
      <c r="H2837" s="1358"/>
      <c r="I2837" s="1358"/>
    </row>
    <row r="2838" spans="8:9">
      <c r="H2838" s="1358"/>
      <c r="I2838" s="1358"/>
    </row>
    <row r="2839" spans="8:9">
      <c r="H2839" s="1358"/>
      <c r="I2839" s="1358"/>
    </row>
    <row r="2840" spans="8:9">
      <c r="H2840" s="1358"/>
      <c r="I2840" s="1358"/>
    </row>
    <row r="2841" spans="8:9">
      <c r="H2841" s="1358"/>
      <c r="I2841" s="1358"/>
    </row>
    <row r="2842" spans="8:9">
      <c r="H2842" s="1358"/>
      <c r="I2842" s="1358"/>
    </row>
    <row r="2843" spans="8:9">
      <c r="H2843" s="1358"/>
      <c r="I2843" s="1358"/>
    </row>
    <row r="2844" spans="8:9">
      <c r="H2844" s="1358"/>
      <c r="I2844" s="1358"/>
    </row>
    <row r="2845" spans="8:9">
      <c r="H2845" s="1358"/>
      <c r="I2845" s="1358"/>
    </row>
    <row r="2846" spans="8:9">
      <c r="H2846" s="1358"/>
      <c r="I2846" s="1358"/>
    </row>
    <row r="2847" spans="8:9">
      <c r="H2847" s="1358"/>
      <c r="I2847" s="1358"/>
    </row>
    <row r="2848" spans="8:9">
      <c r="H2848" s="1358"/>
      <c r="I2848" s="1358"/>
    </row>
    <row r="2849" spans="8:9">
      <c r="H2849" s="1358"/>
      <c r="I2849" s="1358"/>
    </row>
    <row r="2850" spans="8:9">
      <c r="H2850" s="1358"/>
      <c r="I2850" s="1358"/>
    </row>
    <row r="2851" spans="8:9">
      <c r="H2851" s="1358"/>
      <c r="I2851" s="1358"/>
    </row>
    <row r="2852" spans="8:9">
      <c r="H2852" s="1358"/>
      <c r="I2852" s="1358"/>
    </row>
    <row r="2853" spans="8:9">
      <c r="H2853" s="1358"/>
      <c r="I2853" s="1358"/>
    </row>
    <row r="2854" spans="8:9">
      <c r="H2854" s="1358"/>
      <c r="I2854" s="1358"/>
    </row>
    <row r="2855" spans="8:9">
      <c r="H2855" s="1358"/>
      <c r="I2855" s="1358"/>
    </row>
    <row r="2856" spans="8:9">
      <c r="H2856" s="1358"/>
      <c r="I2856" s="1358"/>
    </row>
    <row r="2857" spans="8:9">
      <c r="H2857" s="1358"/>
      <c r="I2857" s="1358"/>
    </row>
    <row r="2858" spans="8:9">
      <c r="H2858" s="1358"/>
      <c r="I2858" s="1358"/>
    </row>
    <row r="2859" spans="8:9">
      <c r="H2859" s="1358"/>
      <c r="I2859" s="1358"/>
    </row>
    <row r="2860" spans="8:9">
      <c r="H2860" s="1358"/>
      <c r="I2860" s="1358"/>
    </row>
    <row r="2861" spans="8:9">
      <c r="H2861" s="1358"/>
      <c r="I2861" s="1358"/>
    </row>
    <row r="2862" spans="8:9">
      <c r="H2862" s="1358"/>
      <c r="I2862" s="1358"/>
    </row>
    <row r="2863" spans="8:9">
      <c r="H2863" s="1358"/>
      <c r="I2863" s="1358"/>
    </row>
    <row r="2864" spans="8:9">
      <c r="H2864" s="1358"/>
      <c r="I2864" s="1358"/>
    </row>
    <row r="2865" spans="8:9">
      <c r="H2865" s="1358"/>
      <c r="I2865" s="1358"/>
    </row>
    <row r="2866" spans="8:9">
      <c r="H2866" s="1358"/>
      <c r="I2866" s="1358"/>
    </row>
    <row r="2867" spans="8:9">
      <c r="H2867" s="1358"/>
      <c r="I2867" s="1358"/>
    </row>
    <row r="2868" spans="8:9">
      <c r="H2868" s="1358"/>
      <c r="I2868" s="1358"/>
    </row>
    <row r="2869" spans="8:9">
      <c r="H2869" s="1358"/>
      <c r="I2869" s="1358"/>
    </row>
    <row r="2870" spans="8:9">
      <c r="H2870" s="1358"/>
      <c r="I2870" s="1358"/>
    </row>
    <row r="2871" spans="8:9">
      <c r="H2871" s="1358"/>
      <c r="I2871" s="1358"/>
    </row>
    <row r="2872" spans="8:9">
      <c r="H2872" s="1358"/>
      <c r="I2872" s="1358"/>
    </row>
    <row r="2873" spans="8:9">
      <c r="H2873" s="1358"/>
      <c r="I2873" s="1358"/>
    </row>
    <row r="2874" spans="8:9">
      <c r="H2874" s="1358"/>
      <c r="I2874" s="1358"/>
    </row>
    <row r="2875" spans="8:9">
      <c r="H2875" s="1358"/>
      <c r="I2875" s="1358"/>
    </row>
    <row r="2876" spans="8:9">
      <c r="H2876" s="1358"/>
      <c r="I2876" s="1358"/>
    </row>
    <row r="2877" spans="8:9">
      <c r="H2877" s="1358"/>
      <c r="I2877" s="1358"/>
    </row>
    <row r="2878" spans="8:9">
      <c r="H2878" s="1358"/>
      <c r="I2878" s="1358"/>
    </row>
    <row r="2879" spans="8:9">
      <c r="H2879" s="1358"/>
      <c r="I2879" s="1358"/>
    </row>
    <row r="2880" spans="8:9">
      <c r="H2880" s="1358"/>
      <c r="I2880" s="1358"/>
    </row>
    <row r="2881" spans="8:9">
      <c r="H2881" s="1358"/>
      <c r="I2881" s="1358"/>
    </row>
    <row r="2882" spans="8:9">
      <c r="H2882" s="1358"/>
      <c r="I2882" s="1358"/>
    </row>
    <row r="2883" spans="8:9">
      <c r="H2883" s="1358"/>
      <c r="I2883" s="1358"/>
    </row>
    <row r="2884" spans="8:9">
      <c r="H2884" s="1358"/>
      <c r="I2884" s="1358"/>
    </row>
    <row r="2885" spans="8:9">
      <c r="H2885" s="1358"/>
      <c r="I2885" s="1358"/>
    </row>
    <row r="2886" spans="8:9">
      <c r="H2886" s="1358"/>
      <c r="I2886" s="1358"/>
    </row>
    <row r="2887" spans="8:9">
      <c r="H2887" s="1358"/>
      <c r="I2887" s="1358"/>
    </row>
    <row r="2888" spans="8:9">
      <c r="H2888" s="1358"/>
      <c r="I2888" s="1358"/>
    </row>
    <row r="2889" spans="8:9">
      <c r="H2889" s="1358"/>
      <c r="I2889" s="1358"/>
    </row>
    <row r="2890" spans="8:9">
      <c r="H2890" s="1358"/>
      <c r="I2890" s="1358"/>
    </row>
    <row r="2891" spans="8:9">
      <c r="H2891" s="1358"/>
      <c r="I2891" s="1358"/>
    </row>
    <row r="2892" spans="8:9">
      <c r="H2892" s="1358"/>
      <c r="I2892" s="1358"/>
    </row>
    <row r="2893" spans="8:9">
      <c r="H2893" s="1358"/>
      <c r="I2893" s="1358"/>
    </row>
    <row r="2894" spans="8:9">
      <c r="H2894" s="1358"/>
      <c r="I2894" s="1358"/>
    </row>
    <row r="2895" spans="8:9">
      <c r="H2895" s="1358"/>
      <c r="I2895" s="1358"/>
    </row>
    <row r="2896" spans="8:9">
      <c r="H2896" s="1358"/>
      <c r="I2896" s="1358"/>
    </row>
    <row r="2897" spans="8:9">
      <c r="H2897" s="1358"/>
      <c r="I2897" s="1358"/>
    </row>
    <row r="2898" spans="8:9">
      <c r="H2898" s="1358"/>
      <c r="I2898" s="1358"/>
    </row>
    <row r="2899" spans="8:9">
      <c r="H2899" s="1358"/>
      <c r="I2899" s="1358"/>
    </row>
    <row r="2900" spans="8:9">
      <c r="H2900" s="1358"/>
      <c r="I2900" s="1358"/>
    </row>
    <row r="2901" spans="8:9">
      <c r="H2901" s="1358"/>
      <c r="I2901" s="1358"/>
    </row>
    <row r="2902" spans="8:9">
      <c r="H2902" s="1358"/>
      <c r="I2902" s="1358"/>
    </row>
    <row r="2903" spans="8:9">
      <c r="H2903" s="1358"/>
      <c r="I2903" s="1358"/>
    </row>
    <row r="2904" spans="8:9">
      <c r="H2904" s="1358"/>
      <c r="I2904" s="1358"/>
    </row>
    <row r="2905" spans="8:9">
      <c r="H2905" s="1358"/>
      <c r="I2905" s="1358"/>
    </row>
    <row r="2906" spans="8:9">
      <c r="H2906" s="1358"/>
      <c r="I2906" s="1358"/>
    </row>
    <row r="2907" spans="8:9">
      <c r="H2907" s="1358"/>
      <c r="I2907" s="1358"/>
    </row>
    <row r="2908" spans="8:9">
      <c r="H2908" s="1358"/>
      <c r="I2908" s="1358"/>
    </row>
    <row r="2909" spans="8:9">
      <c r="H2909" s="1358"/>
      <c r="I2909" s="1358"/>
    </row>
    <row r="2910" spans="8:9">
      <c r="H2910" s="1358"/>
      <c r="I2910" s="1358"/>
    </row>
    <row r="2911" spans="8:9">
      <c r="H2911" s="1358"/>
      <c r="I2911" s="1358"/>
    </row>
    <row r="2912" spans="8:9">
      <c r="H2912" s="1358"/>
      <c r="I2912" s="1358"/>
    </row>
    <row r="2913" spans="8:9">
      <c r="H2913" s="1358"/>
      <c r="I2913" s="1358"/>
    </row>
    <row r="2914" spans="8:9">
      <c r="H2914" s="1358"/>
      <c r="I2914" s="1358"/>
    </row>
    <row r="2915" spans="8:9">
      <c r="H2915" s="1358"/>
      <c r="I2915" s="1358"/>
    </row>
    <row r="2916" spans="8:9">
      <c r="H2916" s="1358"/>
      <c r="I2916" s="1358"/>
    </row>
    <row r="2917" spans="8:9">
      <c r="H2917" s="1358"/>
      <c r="I2917" s="1358"/>
    </row>
    <row r="2918" spans="8:9">
      <c r="H2918" s="1358"/>
      <c r="I2918" s="1358"/>
    </row>
    <row r="2919" spans="8:9">
      <c r="H2919" s="1358"/>
      <c r="I2919" s="1358"/>
    </row>
    <row r="2920" spans="8:9">
      <c r="H2920" s="1358"/>
      <c r="I2920" s="1358"/>
    </row>
    <row r="2921" spans="8:9">
      <c r="H2921" s="1358"/>
      <c r="I2921" s="1358"/>
    </row>
    <row r="2922" spans="8:9">
      <c r="H2922" s="1358"/>
      <c r="I2922" s="1358"/>
    </row>
    <row r="2923" spans="8:9">
      <c r="H2923" s="1358"/>
      <c r="I2923" s="1358"/>
    </row>
    <row r="2924" spans="8:9">
      <c r="H2924" s="1358"/>
      <c r="I2924" s="1358"/>
    </row>
    <row r="2925" spans="8:9">
      <c r="H2925" s="1358"/>
      <c r="I2925" s="1358"/>
    </row>
    <row r="2926" spans="8:9">
      <c r="H2926" s="1358"/>
      <c r="I2926" s="1358"/>
    </row>
    <row r="2927" spans="8:9">
      <c r="H2927" s="1358"/>
      <c r="I2927" s="1358"/>
    </row>
    <row r="2928" spans="8:9">
      <c r="H2928" s="1358"/>
      <c r="I2928" s="1358"/>
    </row>
    <row r="2929" spans="8:9">
      <c r="H2929" s="1358"/>
      <c r="I2929" s="1358"/>
    </row>
    <row r="2930" spans="8:9">
      <c r="H2930" s="1358"/>
      <c r="I2930" s="1358"/>
    </row>
    <row r="2931" spans="8:9">
      <c r="H2931" s="1358"/>
      <c r="I2931" s="1358"/>
    </row>
    <row r="2932" spans="8:9">
      <c r="H2932" s="1358"/>
      <c r="I2932" s="1358"/>
    </row>
    <row r="2933" spans="8:9">
      <c r="H2933" s="1358"/>
      <c r="I2933" s="1358"/>
    </row>
    <row r="2934" spans="8:9">
      <c r="H2934" s="1358"/>
      <c r="I2934" s="1358"/>
    </row>
    <row r="2935" spans="8:9">
      <c r="H2935" s="1358"/>
      <c r="I2935" s="1358"/>
    </row>
    <row r="2936" spans="8:9">
      <c r="H2936" s="1358"/>
      <c r="I2936" s="1358"/>
    </row>
    <row r="2937" spans="8:9">
      <c r="H2937" s="1358"/>
      <c r="I2937" s="1358"/>
    </row>
    <row r="2938" spans="8:9">
      <c r="H2938" s="1358"/>
      <c r="I2938" s="1358"/>
    </row>
    <row r="2939" spans="8:9">
      <c r="H2939" s="1358"/>
      <c r="I2939" s="1358"/>
    </row>
    <row r="2940" spans="8:9">
      <c r="H2940" s="1358"/>
      <c r="I2940" s="1358"/>
    </row>
    <row r="2941" spans="8:9">
      <c r="H2941" s="1358"/>
      <c r="I2941" s="1358"/>
    </row>
    <row r="2942" spans="8:9">
      <c r="H2942" s="1358"/>
      <c r="I2942" s="1358"/>
    </row>
    <row r="2943" spans="8:9">
      <c r="H2943" s="1358"/>
      <c r="I2943" s="1358"/>
    </row>
    <row r="2944" spans="8:9">
      <c r="H2944" s="1358"/>
      <c r="I2944" s="1358"/>
    </row>
    <row r="2945" spans="8:9">
      <c r="H2945" s="1358"/>
      <c r="I2945" s="1358"/>
    </row>
    <row r="2946" spans="8:9">
      <c r="H2946" s="1358"/>
      <c r="I2946" s="1358"/>
    </row>
    <row r="2947" spans="8:9">
      <c r="H2947" s="1358"/>
      <c r="I2947" s="1358"/>
    </row>
    <row r="2948" spans="8:9">
      <c r="H2948" s="1358"/>
      <c r="I2948" s="1358"/>
    </row>
    <row r="2949" spans="8:9">
      <c r="H2949" s="1358"/>
      <c r="I2949" s="1358"/>
    </row>
    <row r="2950" spans="8:9">
      <c r="H2950" s="1358"/>
      <c r="I2950" s="1358"/>
    </row>
    <row r="2951" spans="8:9">
      <c r="H2951" s="1358"/>
      <c r="I2951" s="1358"/>
    </row>
    <row r="2952" spans="8:9">
      <c r="H2952" s="1358"/>
      <c r="I2952" s="1358"/>
    </row>
    <row r="2953" spans="8:9">
      <c r="H2953" s="1358"/>
      <c r="I2953" s="1358"/>
    </row>
    <row r="2954" spans="8:9">
      <c r="H2954" s="1358"/>
      <c r="I2954" s="1358"/>
    </row>
    <row r="2955" spans="8:9">
      <c r="H2955" s="1358"/>
      <c r="I2955" s="1358"/>
    </row>
    <row r="2956" spans="8:9">
      <c r="H2956" s="1358"/>
      <c r="I2956" s="1358"/>
    </row>
    <row r="2957" spans="8:9">
      <c r="H2957" s="1358"/>
      <c r="I2957" s="1358"/>
    </row>
    <row r="2958" spans="8:9">
      <c r="H2958" s="1358"/>
      <c r="I2958" s="1358"/>
    </row>
    <row r="2959" spans="8:9">
      <c r="H2959" s="1358"/>
      <c r="I2959" s="1358"/>
    </row>
    <row r="2960" spans="8:9">
      <c r="H2960" s="1358"/>
      <c r="I2960" s="1358"/>
    </row>
    <row r="2961" spans="8:9">
      <c r="H2961" s="1358"/>
      <c r="I2961" s="1358"/>
    </row>
    <row r="2962" spans="8:9">
      <c r="H2962" s="1358"/>
      <c r="I2962" s="1358"/>
    </row>
    <row r="2963" spans="8:9">
      <c r="H2963" s="1358"/>
      <c r="I2963" s="1358"/>
    </row>
    <row r="2964" spans="8:9">
      <c r="H2964" s="1358"/>
      <c r="I2964" s="1358"/>
    </row>
    <row r="2965" spans="8:9">
      <c r="H2965" s="1358"/>
      <c r="I2965" s="1358"/>
    </row>
    <row r="2966" spans="8:9">
      <c r="H2966" s="1358"/>
      <c r="I2966" s="1358"/>
    </row>
    <row r="2967" spans="8:9">
      <c r="H2967" s="1358"/>
      <c r="I2967" s="1358"/>
    </row>
    <row r="2968" spans="8:9">
      <c r="H2968" s="1358"/>
      <c r="I2968" s="1358"/>
    </row>
    <row r="2969" spans="8:9">
      <c r="H2969" s="1358"/>
      <c r="I2969" s="1358"/>
    </row>
    <row r="2970" spans="8:9">
      <c r="H2970" s="1358"/>
      <c r="I2970" s="1358"/>
    </row>
    <row r="2971" spans="8:9">
      <c r="H2971" s="1358"/>
      <c r="I2971" s="1358"/>
    </row>
    <row r="2972" spans="8:9">
      <c r="H2972" s="1358"/>
      <c r="I2972" s="1358"/>
    </row>
    <row r="2973" spans="8:9">
      <c r="H2973" s="1358"/>
      <c r="I2973" s="1358"/>
    </row>
    <row r="2974" spans="8:9">
      <c r="H2974" s="1358"/>
      <c r="I2974" s="1358"/>
    </row>
    <row r="2975" spans="8:9">
      <c r="H2975" s="1358"/>
      <c r="I2975" s="1358"/>
    </row>
    <row r="2976" spans="8:9">
      <c r="H2976" s="1358"/>
      <c r="I2976" s="1358"/>
    </row>
    <row r="2977" spans="8:9">
      <c r="H2977" s="1358"/>
      <c r="I2977" s="1358"/>
    </row>
    <row r="2978" spans="8:9">
      <c r="H2978" s="1358"/>
      <c r="I2978" s="1358"/>
    </row>
    <row r="2979" spans="8:9">
      <c r="H2979" s="1358"/>
      <c r="I2979" s="1358"/>
    </row>
    <row r="2980" spans="8:9">
      <c r="H2980" s="1358"/>
      <c r="I2980" s="1358"/>
    </row>
    <row r="2981" spans="8:9">
      <c r="H2981" s="1358"/>
      <c r="I2981" s="1358"/>
    </row>
    <row r="2982" spans="8:9">
      <c r="H2982" s="1358"/>
      <c r="I2982" s="1358"/>
    </row>
    <row r="2983" spans="8:9">
      <c r="H2983" s="1358"/>
      <c r="I2983" s="1358"/>
    </row>
    <row r="2984" spans="8:9">
      <c r="H2984" s="1358"/>
      <c r="I2984" s="1358"/>
    </row>
    <row r="2985" spans="8:9">
      <c r="H2985" s="1358"/>
      <c r="I2985" s="1358"/>
    </row>
    <row r="2986" spans="8:9">
      <c r="H2986" s="1358"/>
      <c r="I2986" s="1358"/>
    </row>
    <row r="2987" spans="8:9">
      <c r="H2987" s="1358"/>
      <c r="I2987" s="1358"/>
    </row>
    <row r="2988" spans="8:9">
      <c r="H2988" s="1358"/>
      <c r="I2988" s="1358"/>
    </row>
    <row r="2989" spans="8:9">
      <c r="H2989" s="1358"/>
      <c r="I2989" s="1358"/>
    </row>
    <row r="2990" spans="8:9">
      <c r="H2990" s="1358"/>
      <c r="I2990" s="1358"/>
    </row>
    <row r="2991" spans="8:9">
      <c r="H2991" s="1358"/>
      <c r="I2991" s="1358"/>
    </row>
    <row r="2992" spans="8:9">
      <c r="H2992" s="1358"/>
      <c r="I2992" s="1358"/>
    </row>
    <row r="2993" spans="8:9">
      <c r="H2993" s="1358"/>
      <c r="I2993" s="1358"/>
    </row>
    <row r="2994" spans="8:9">
      <c r="H2994" s="1358"/>
      <c r="I2994" s="1358"/>
    </row>
    <row r="2995" spans="8:9">
      <c r="H2995" s="1358"/>
      <c r="I2995" s="1358"/>
    </row>
    <row r="2996" spans="8:9">
      <c r="H2996" s="1358"/>
      <c r="I2996" s="1358"/>
    </row>
    <row r="2997" spans="8:9">
      <c r="H2997" s="1358"/>
      <c r="I2997" s="1358"/>
    </row>
    <row r="2998" spans="8:9">
      <c r="H2998" s="1358"/>
      <c r="I2998" s="1358"/>
    </row>
    <row r="2999" spans="8:9">
      <c r="H2999" s="1358"/>
      <c r="I2999" s="1358"/>
    </row>
    <row r="3000" spans="8:9">
      <c r="H3000" s="1358"/>
      <c r="I3000" s="1358"/>
    </row>
    <row r="3001" spans="8:9">
      <c r="H3001" s="1358"/>
      <c r="I3001" s="1358"/>
    </row>
    <row r="3002" spans="8:9">
      <c r="H3002" s="1358"/>
      <c r="I3002" s="1358"/>
    </row>
    <row r="3003" spans="8:9">
      <c r="H3003" s="1358"/>
      <c r="I3003" s="1358"/>
    </row>
    <row r="3004" spans="8:9">
      <c r="H3004" s="1358"/>
      <c r="I3004" s="1358"/>
    </row>
    <row r="3005" spans="8:9">
      <c r="H3005" s="1358"/>
      <c r="I3005" s="1358"/>
    </row>
    <row r="3006" spans="8:9">
      <c r="H3006" s="1358"/>
      <c r="I3006" s="1358"/>
    </row>
    <row r="3007" spans="8:9">
      <c r="H3007" s="1358"/>
      <c r="I3007" s="1358"/>
    </row>
    <row r="3008" spans="8:9">
      <c r="H3008" s="1358"/>
      <c r="I3008" s="1358"/>
    </row>
    <row r="3009" spans="8:9">
      <c r="H3009" s="1358"/>
      <c r="I3009" s="1358"/>
    </row>
    <row r="3010" spans="8:9">
      <c r="H3010" s="1358"/>
      <c r="I3010" s="1358"/>
    </row>
    <row r="3011" spans="8:9">
      <c r="H3011" s="1358"/>
      <c r="I3011" s="1358"/>
    </row>
    <row r="3012" spans="8:9">
      <c r="H3012" s="1358"/>
      <c r="I3012" s="1358"/>
    </row>
    <row r="3013" spans="8:9">
      <c r="H3013" s="1358"/>
      <c r="I3013" s="1358"/>
    </row>
    <row r="3014" spans="8:9">
      <c r="H3014" s="1358"/>
      <c r="I3014" s="1358"/>
    </row>
    <row r="3015" spans="8:9">
      <c r="H3015" s="1358"/>
      <c r="I3015" s="1358"/>
    </row>
    <row r="3016" spans="8:9">
      <c r="H3016" s="1358"/>
      <c r="I3016" s="1358"/>
    </row>
    <row r="3017" spans="8:9">
      <c r="H3017" s="1358"/>
      <c r="I3017" s="1358"/>
    </row>
    <row r="3018" spans="8:9">
      <c r="H3018" s="1358"/>
      <c r="I3018" s="1358"/>
    </row>
    <row r="3019" spans="8:9">
      <c r="H3019" s="1358"/>
      <c r="I3019" s="1358"/>
    </row>
    <row r="3020" spans="8:9">
      <c r="H3020" s="1358"/>
      <c r="I3020" s="1358"/>
    </row>
    <row r="3021" spans="8:9">
      <c r="H3021" s="1358"/>
      <c r="I3021" s="1358"/>
    </row>
    <row r="3022" spans="8:9">
      <c r="H3022" s="1358"/>
      <c r="I3022" s="1358"/>
    </row>
    <row r="3023" spans="8:9">
      <c r="H3023" s="1358"/>
      <c r="I3023" s="1358"/>
    </row>
    <row r="3024" spans="8:9">
      <c r="H3024" s="1358"/>
      <c r="I3024" s="1358"/>
    </row>
    <row r="3025" spans="8:9">
      <c r="H3025" s="1358"/>
      <c r="I3025" s="1358"/>
    </row>
    <row r="3026" spans="8:9">
      <c r="H3026" s="1358"/>
      <c r="I3026" s="1358"/>
    </row>
    <row r="3027" spans="8:9">
      <c r="H3027" s="1358"/>
      <c r="I3027" s="1358"/>
    </row>
    <row r="3028" spans="8:9">
      <c r="H3028" s="1358"/>
      <c r="I3028" s="1358"/>
    </row>
    <row r="3029" spans="8:9">
      <c r="H3029" s="1358"/>
      <c r="I3029" s="1358"/>
    </row>
    <row r="3030" spans="8:9">
      <c r="H3030" s="1358"/>
      <c r="I3030" s="1358"/>
    </row>
    <row r="3031" spans="8:9">
      <c r="H3031" s="1358"/>
      <c r="I3031" s="1358"/>
    </row>
    <row r="3032" spans="8:9">
      <c r="H3032" s="1358"/>
      <c r="I3032" s="1358"/>
    </row>
    <row r="3033" spans="8:9">
      <c r="H3033" s="1358"/>
      <c r="I3033" s="1358"/>
    </row>
    <row r="3034" spans="8:9">
      <c r="H3034" s="1358"/>
      <c r="I3034" s="1358"/>
    </row>
    <row r="3035" spans="8:9">
      <c r="H3035" s="1358"/>
      <c r="I3035" s="1358"/>
    </row>
    <row r="3036" spans="8:9">
      <c r="H3036" s="1358"/>
      <c r="I3036" s="1358"/>
    </row>
    <row r="3037" spans="8:9">
      <c r="H3037" s="1358"/>
      <c r="I3037" s="1358"/>
    </row>
    <row r="3038" spans="8:9">
      <c r="H3038" s="1358"/>
      <c r="I3038" s="1358"/>
    </row>
    <row r="3039" spans="8:9">
      <c r="H3039" s="1358"/>
      <c r="I3039" s="1358"/>
    </row>
    <row r="3040" spans="8:9">
      <c r="H3040" s="1358"/>
      <c r="I3040" s="1358"/>
    </row>
    <row r="3041" spans="8:9">
      <c r="H3041" s="1358"/>
      <c r="I3041" s="1358"/>
    </row>
    <row r="3042" spans="8:9">
      <c r="H3042" s="1358"/>
      <c r="I3042" s="1358"/>
    </row>
    <row r="3043" spans="8:9">
      <c r="H3043" s="1358"/>
      <c r="I3043" s="1358"/>
    </row>
    <row r="3044" spans="8:9">
      <c r="H3044" s="1358"/>
      <c r="I3044" s="1358"/>
    </row>
    <row r="3045" spans="8:9">
      <c r="H3045" s="1358"/>
      <c r="I3045" s="1358"/>
    </row>
    <row r="3046" spans="8:9">
      <c r="H3046" s="1358"/>
      <c r="I3046" s="1358"/>
    </row>
    <row r="3047" spans="8:9">
      <c r="H3047" s="1358"/>
      <c r="I3047" s="1358"/>
    </row>
    <row r="3048" spans="8:9">
      <c r="H3048" s="1358"/>
      <c r="I3048" s="1358"/>
    </row>
    <row r="3049" spans="8:9">
      <c r="H3049" s="1358"/>
      <c r="I3049" s="1358"/>
    </row>
    <row r="3050" spans="8:9">
      <c r="H3050" s="1358"/>
      <c r="I3050" s="1358"/>
    </row>
    <row r="3051" spans="8:9">
      <c r="H3051" s="1358"/>
      <c r="I3051" s="1358"/>
    </row>
    <row r="3052" spans="8:9">
      <c r="H3052" s="1358"/>
      <c r="I3052" s="1358"/>
    </row>
    <row r="3053" spans="8:9">
      <c r="H3053" s="1358"/>
      <c r="I3053" s="1358"/>
    </row>
    <row r="3054" spans="8:9">
      <c r="H3054" s="1358"/>
      <c r="I3054" s="1358"/>
    </row>
    <row r="3055" spans="8:9">
      <c r="H3055" s="1358"/>
      <c r="I3055" s="1358"/>
    </row>
    <row r="3056" spans="8:9">
      <c r="H3056" s="1358"/>
      <c r="I3056" s="1358"/>
    </row>
    <row r="3057" spans="8:9">
      <c r="H3057" s="1358"/>
      <c r="I3057" s="1358"/>
    </row>
    <row r="3058" spans="8:9">
      <c r="H3058" s="1358"/>
      <c r="I3058" s="1358"/>
    </row>
    <row r="3059" spans="8:9">
      <c r="H3059" s="1358"/>
      <c r="I3059" s="1358"/>
    </row>
    <row r="3060" spans="8:9">
      <c r="H3060" s="1358"/>
      <c r="I3060" s="1358"/>
    </row>
    <row r="3061" spans="8:9">
      <c r="H3061" s="1358"/>
      <c r="I3061" s="1358"/>
    </row>
    <row r="3062" spans="8:9">
      <c r="H3062" s="1358"/>
      <c r="I3062" s="1358"/>
    </row>
    <row r="3063" spans="8:9">
      <c r="H3063" s="1358"/>
      <c r="I3063" s="1358"/>
    </row>
    <row r="3064" spans="8:9">
      <c r="H3064" s="1358"/>
      <c r="I3064" s="1358"/>
    </row>
    <row r="3065" spans="8:9">
      <c r="H3065" s="1358"/>
      <c r="I3065" s="1358"/>
    </row>
    <row r="3066" spans="8:9">
      <c r="H3066" s="1358"/>
      <c r="I3066" s="1358"/>
    </row>
    <row r="3067" spans="8:9">
      <c r="H3067" s="1358"/>
      <c r="I3067" s="1358"/>
    </row>
    <row r="3068" spans="8:9">
      <c r="H3068" s="1358"/>
      <c r="I3068" s="1358"/>
    </row>
    <row r="3069" spans="8:9">
      <c r="H3069" s="1358"/>
      <c r="I3069" s="1358"/>
    </row>
    <row r="3070" spans="8:9">
      <c r="H3070" s="1358"/>
      <c r="I3070" s="1358"/>
    </row>
    <row r="3071" spans="8:9">
      <c r="H3071" s="1358"/>
      <c r="I3071" s="1358"/>
    </row>
    <row r="3072" spans="8:9">
      <c r="H3072" s="1358"/>
      <c r="I3072" s="1358"/>
    </row>
    <row r="3073" spans="8:9">
      <c r="H3073" s="1358"/>
      <c r="I3073" s="1358"/>
    </row>
    <row r="3074" spans="8:9">
      <c r="H3074" s="1358"/>
      <c r="I3074" s="1358"/>
    </row>
    <row r="3075" spans="8:9">
      <c r="H3075" s="1358"/>
      <c r="I3075" s="1358"/>
    </row>
    <row r="3076" spans="8:9">
      <c r="H3076" s="1358"/>
      <c r="I3076" s="1358"/>
    </row>
    <row r="3077" spans="8:9">
      <c r="H3077" s="1358"/>
      <c r="I3077" s="1358"/>
    </row>
    <row r="3078" spans="8:9">
      <c r="H3078" s="1358"/>
      <c r="I3078" s="1358"/>
    </row>
    <row r="3079" spans="8:9">
      <c r="H3079" s="1358"/>
      <c r="I3079" s="1358"/>
    </row>
    <row r="3080" spans="8:9">
      <c r="H3080" s="1358"/>
      <c r="I3080" s="1358"/>
    </row>
    <row r="3081" spans="8:9">
      <c r="H3081" s="1358"/>
      <c r="I3081" s="1358"/>
    </row>
    <row r="3082" spans="8:9">
      <c r="H3082" s="1358"/>
      <c r="I3082" s="1358"/>
    </row>
    <row r="3083" spans="8:9">
      <c r="H3083" s="1358"/>
      <c r="I3083" s="1358"/>
    </row>
    <row r="3084" spans="8:9">
      <c r="H3084" s="1358"/>
      <c r="I3084" s="1358"/>
    </row>
    <row r="3085" spans="8:9">
      <c r="H3085" s="1358"/>
      <c r="I3085" s="1358"/>
    </row>
    <row r="3086" spans="8:9">
      <c r="H3086" s="1358"/>
      <c r="I3086" s="1358"/>
    </row>
    <row r="3087" spans="8:9">
      <c r="H3087" s="1358"/>
      <c r="I3087" s="1358"/>
    </row>
    <row r="3088" spans="8:9">
      <c r="H3088" s="1358"/>
      <c r="I3088" s="1358"/>
    </row>
    <row r="3089" spans="8:9">
      <c r="H3089" s="1358"/>
      <c r="I3089" s="1358"/>
    </row>
    <row r="3090" spans="8:9">
      <c r="H3090" s="1358"/>
      <c r="I3090" s="1358"/>
    </row>
    <row r="3091" spans="8:9">
      <c r="H3091" s="1358"/>
      <c r="I3091" s="1358"/>
    </row>
    <row r="3092" spans="8:9">
      <c r="H3092" s="1358"/>
      <c r="I3092" s="1358"/>
    </row>
    <row r="3093" spans="8:9">
      <c r="H3093" s="1358"/>
      <c r="I3093" s="1358"/>
    </row>
    <row r="3094" spans="8:9">
      <c r="H3094" s="1358"/>
      <c r="I3094" s="1358"/>
    </row>
    <row r="3095" spans="8:9">
      <c r="H3095" s="1358"/>
      <c r="I3095" s="1358"/>
    </row>
    <row r="3096" spans="8:9">
      <c r="H3096" s="1358"/>
      <c r="I3096" s="1358"/>
    </row>
    <row r="3097" spans="8:9">
      <c r="H3097" s="1358"/>
      <c r="I3097" s="1358"/>
    </row>
    <row r="3098" spans="8:9">
      <c r="H3098" s="1358"/>
      <c r="I3098" s="1358"/>
    </row>
    <row r="3099" spans="8:9">
      <c r="H3099" s="1358"/>
      <c r="I3099" s="1358"/>
    </row>
    <row r="3100" spans="8:9">
      <c r="H3100" s="1358"/>
      <c r="I3100" s="1358"/>
    </row>
    <row r="3101" spans="8:9">
      <c r="H3101" s="1358"/>
      <c r="I3101" s="1358"/>
    </row>
    <row r="3102" spans="8:9">
      <c r="H3102" s="1358"/>
      <c r="I3102" s="1358"/>
    </row>
    <row r="3103" spans="8:9">
      <c r="H3103" s="1358"/>
      <c r="I3103" s="1358"/>
    </row>
    <row r="3104" spans="8:9">
      <c r="H3104" s="1358"/>
      <c r="I3104" s="1358"/>
    </row>
    <row r="3105" spans="8:9">
      <c r="H3105" s="1358"/>
      <c r="I3105" s="1358"/>
    </row>
    <row r="3106" spans="8:9">
      <c r="H3106" s="1358"/>
      <c r="I3106" s="1358"/>
    </row>
    <row r="3107" spans="8:9">
      <c r="H3107" s="1358"/>
      <c r="I3107" s="1358"/>
    </row>
    <row r="3108" spans="8:9">
      <c r="H3108" s="1358"/>
      <c r="I3108" s="1358"/>
    </row>
    <row r="3109" spans="8:9">
      <c r="H3109" s="1358"/>
      <c r="I3109" s="1358"/>
    </row>
    <row r="3110" spans="8:9">
      <c r="H3110" s="1358"/>
      <c r="I3110" s="1358"/>
    </row>
    <row r="3111" spans="8:9">
      <c r="H3111" s="1358"/>
      <c r="I3111" s="1358"/>
    </row>
    <row r="3112" spans="8:9">
      <c r="H3112" s="1358"/>
      <c r="I3112" s="1358"/>
    </row>
    <row r="3113" spans="8:9">
      <c r="H3113" s="1358"/>
      <c r="I3113" s="1358"/>
    </row>
    <row r="3114" spans="8:9">
      <c r="H3114" s="1358"/>
      <c r="I3114" s="1358"/>
    </row>
    <row r="3115" spans="8:9">
      <c r="H3115" s="1358"/>
      <c r="I3115" s="1358"/>
    </row>
    <row r="3116" spans="8:9">
      <c r="H3116" s="1358"/>
      <c r="I3116" s="1358"/>
    </row>
    <row r="3117" spans="8:9">
      <c r="H3117" s="1358"/>
      <c r="I3117" s="1358"/>
    </row>
    <row r="3118" spans="8:9">
      <c r="H3118" s="1358"/>
      <c r="I3118" s="1358"/>
    </row>
    <row r="3119" spans="8:9">
      <c r="H3119" s="1358"/>
      <c r="I3119" s="1358"/>
    </row>
    <row r="3120" spans="8:9">
      <c r="H3120" s="1358"/>
      <c r="I3120" s="1358"/>
    </row>
    <row r="3121" spans="8:9">
      <c r="H3121" s="1358"/>
      <c r="I3121" s="1358"/>
    </row>
    <row r="3122" spans="8:9">
      <c r="H3122" s="1358"/>
      <c r="I3122" s="1358"/>
    </row>
    <row r="3123" spans="8:9">
      <c r="H3123" s="1358"/>
      <c r="I3123" s="1358"/>
    </row>
    <row r="3124" spans="8:9">
      <c r="H3124" s="1358"/>
      <c r="I3124" s="1358"/>
    </row>
    <row r="3125" spans="8:9">
      <c r="H3125" s="1358"/>
      <c r="I3125" s="1358"/>
    </row>
    <row r="3126" spans="8:9">
      <c r="H3126" s="1358"/>
      <c r="I3126" s="1358"/>
    </row>
    <row r="3127" spans="8:9">
      <c r="H3127" s="1358"/>
      <c r="I3127" s="1358"/>
    </row>
    <row r="3128" spans="8:9">
      <c r="H3128" s="1358"/>
      <c r="I3128" s="1358"/>
    </row>
    <row r="3129" spans="8:9">
      <c r="H3129" s="1358"/>
      <c r="I3129" s="1358"/>
    </row>
    <row r="3130" spans="8:9">
      <c r="H3130" s="1358"/>
      <c r="I3130" s="1358"/>
    </row>
    <row r="3131" spans="8:9">
      <c r="H3131" s="1358"/>
      <c r="I3131" s="1358"/>
    </row>
    <row r="3132" spans="8:9">
      <c r="H3132" s="1358"/>
      <c r="I3132" s="1358"/>
    </row>
    <row r="3133" spans="8:9">
      <c r="H3133" s="1358"/>
      <c r="I3133" s="1358"/>
    </row>
    <row r="3134" spans="8:9">
      <c r="H3134" s="1358"/>
      <c r="I3134" s="1358"/>
    </row>
    <row r="3135" spans="8:9">
      <c r="H3135" s="1358"/>
      <c r="I3135" s="1358"/>
    </row>
    <row r="3136" spans="8:9">
      <c r="H3136" s="1358"/>
      <c r="I3136" s="1358"/>
    </row>
    <row r="3137" spans="8:9">
      <c r="H3137" s="1358"/>
      <c r="I3137" s="1358"/>
    </row>
    <row r="3138" spans="8:9">
      <c r="H3138" s="1358"/>
      <c r="I3138" s="1358"/>
    </row>
    <row r="3139" spans="8:9">
      <c r="H3139" s="1358"/>
      <c r="I3139" s="1358"/>
    </row>
    <row r="3140" spans="8:9">
      <c r="H3140" s="1358"/>
      <c r="I3140" s="1358"/>
    </row>
    <row r="3141" spans="8:9">
      <c r="H3141" s="1358"/>
      <c r="I3141" s="1358"/>
    </row>
    <row r="3142" spans="8:9">
      <c r="H3142" s="1358"/>
      <c r="I3142" s="1358"/>
    </row>
    <row r="3143" spans="8:9">
      <c r="H3143" s="1358"/>
      <c r="I3143" s="1358"/>
    </row>
    <row r="3144" spans="8:9">
      <c r="H3144" s="1358"/>
      <c r="I3144" s="1358"/>
    </row>
    <row r="3145" spans="8:9">
      <c r="H3145" s="1358"/>
      <c r="I3145" s="1358"/>
    </row>
    <row r="3146" spans="8:9">
      <c r="H3146" s="1358"/>
      <c r="I3146" s="1358"/>
    </row>
    <row r="3147" spans="8:9">
      <c r="H3147" s="1358"/>
      <c r="I3147" s="1358"/>
    </row>
    <row r="3148" spans="8:9">
      <c r="H3148" s="1358"/>
      <c r="I3148" s="1358"/>
    </row>
    <row r="3149" spans="8:9">
      <c r="H3149" s="1358"/>
      <c r="I3149" s="1358"/>
    </row>
    <row r="3150" spans="8:9">
      <c r="H3150" s="1358"/>
      <c r="I3150" s="1358"/>
    </row>
    <row r="3151" spans="8:9">
      <c r="H3151" s="1358"/>
      <c r="I3151" s="1358"/>
    </row>
    <row r="3152" spans="8:9">
      <c r="H3152" s="1358"/>
      <c r="I3152" s="1358"/>
    </row>
    <row r="3153" spans="8:9">
      <c r="H3153" s="1358"/>
      <c r="I3153" s="1358"/>
    </row>
    <row r="3154" spans="8:9">
      <c r="H3154" s="1358"/>
      <c r="I3154" s="1358"/>
    </row>
    <row r="3155" spans="8:9">
      <c r="H3155" s="1358"/>
      <c r="I3155" s="1358"/>
    </row>
    <row r="3156" spans="8:9">
      <c r="H3156" s="1358"/>
      <c r="I3156" s="1358"/>
    </row>
    <row r="3157" spans="8:9">
      <c r="H3157" s="1358"/>
      <c r="I3157" s="1358"/>
    </row>
    <row r="3158" spans="8:9">
      <c r="H3158" s="1358"/>
      <c r="I3158" s="1358"/>
    </row>
    <row r="3159" spans="8:9">
      <c r="H3159" s="1358"/>
      <c r="I3159" s="1358"/>
    </row>
    <row r="3160" spans="8:9">
      <c r="H3160" s="1358"/>
      <c r="I3160" s="1358"/>
    </row>
    <row r="3161" spans="8:9">
      <c r="H3161" s="1358"/>
      <c r="I3161" s="1358"/>
    </row>
    <row r="3162" spans="8:9">
      <c r="H3162" s="1358"/>
      <c r="I3162" s="1358"/>
    </row>
    <row r="3163" spans="8:9">
      <c r="H3163" s="1358"/>
      <c r="I3163" s="1358"/>
    </row>
    <row r="3164" spans="8:9">
      <c r="H3164" s="1358"/>
      <c r="I3164" s="1358"/>
    </row>
    <row r="3165" spans="8:9">
      <c r="H3165" s="1358"/>
      <c r="I3165" s="1358"/>
    </row>
    <row r="3166" spans="8:9">
      <c r="H3166" s="1358"/>
      <c r="I3166" s="1358"/>
    </row>
    <row r="3167" spans="8:9">
      <c r="H3167" s="1358"/>
      <c r="I3167" s="1358"/>
    </row>
    <row r="3168" spans="8:9">
      <c r="H3168" s="1358"/>
      <c r="I3168" s="1358"/>
    </row>
    <row r="3169" spans="8:9">
      <c r="H3169" s="1358"/>
      <c r="I3169" s="1358"/>
    </row>
    <row r="3170" spans="8:9">
      <c r="H3170" s="1358"/>
      <c r="I3170" s="1358"/>
    </row>
    <row r="3171" spans="8:9">
      <c r="H3171" s="1358"/>
      <c r="I3171" s="1358"/>
    </row>
    <row r="3172" spans="8:9">
      <c r="H3172" s="1358"/>
      <c r="I3172" s="1358"/>
    </row>
    <row r="3173" spans="8:9">
      <c r="H3173" s="1358"/>
      <c r="I3173" s="1358"/>
    </row>
    <row r="3174" spans="8:9">
      <c r="H3174" s="1358"/>
      <c r="I3174" s="1358"/>
    </row>
    <row r="3175" spans="8:9">
      <c r="H3175" s="1358"/>
      <c r="I3175" s="1358"/>
    </row>
    <row r="3176" spans="8:9">
      <c r="H3176" s="1358"/>
      <c r="I3176" s="1358"/>
    </row>
    <row r="3177" spans="8:9">
      <c r="H3177" s="1358"/>
      <c r="I3177" s="1358"/>
    </row>
    <row r="3178" spans="8:9">
      <c r="H3178" s="1358"/>
      <c r="I3178" s="1358"/>
    </row>
    <row r="3179" spans="8:9">
      <c r="H3179" s="1358"/>
      <c r="I3179" s="1358"/>
    </row>
    <row r="3180" spans="8:9">
      <c r="H3180" s="1358"/>
      <c r="I3180" s="1358"/>
    </row>
    <row r="3181" spans="8:9">
      <c r="H3181" s="1358"/>
      <c r="I3181" s="1358"/>
    </row>
    <row r="3182" spans="8:9">
      <c r="H3182" s="1358"/>
      <c r="I3182" s="1358"/>
    </row>
    <row r="3183" spans="8:9">
      <c r="H3183" s="1358"/>
      <c r="I3183" s="1358"/>
    </row>
    <row r="3184" spans="8:9">
      <c r="H3184" s="1358"/>
      <c r="I3184" s="1358"/>
    </row>
    <row r="3185" spans="8:9">
      <c r="H3185" s="1358"/>
      <c r="I3185" s="1358"/>
    </row>
    <row r="3186" spans="8:9">
      <c r="H3186" s="1358"/>
      <c r="I3186" s="1358"/>
    </row>
    <row r="3187" spans="8:9">
      <c r="H3187" s="1358"/>
      <c r="I3187" s="1358"/>
    </row>
    <row r="3188" spans="8:9">
      <c r="H3188" s="1358"/>
      <c r="I3188" s="1358"/>
    </row>
    <row r="3189" spans="8:9">
      <c r="H3189" s="1358"/>
      <c r="I3189" s="1358"/>
    </row>
    <row r="3190" spans="8:9">
      <c r="H3190" s="1358"/>
      <c r="I3190" s="1358"/>
    </row>
    <row r="3191" spans="8:9">
      <c r="H3191" s="1358"/>
      <c r="I3191" s="1358"/>
    </row>
    <row r="3192" spans="8:9">
      <c r="H3192" s="1358"/>
      <c r="I3192" s="1358"/>
    </row>
    <row r="3193" spans="8:9">
      <c r="H3193" s="1358"/>
      <c r="I3193" s="1358"/>
    </row>
    <row r="3194" spans="8:9">
      <c r="H3194" s="1358"/>
      <c r="I3194" s="1358"/>
    </row>
    <row r="3195" spans="8:9">
      <c r="H3195" s="1358"/>
      <c r="I3195" s="1358"/>
    </row>
    <row r="3196" spans="8:9">
      <c r="H3196" s="1358"/>
      <c r="I3196" s="1358"/>
    </row>
    <row r="3197" spans="8:9">
      <c r="H3197" s="1358"/>
      <c r="I3197" s="1358"/>
    </row>
    <row r="3198" spans="8:9">
      <c r="H3198" s="1358"/>
      <c r="I3198" s="1358"/>
    </row>
    <row r="3199" spans="8:9">
      <c r="H3199" s="1358"/>
      <c r="I3199" s="1358"/>
    </row>
    <row r="3200" spans="8:9">
      <c r="H3200" s="1358"/>
      <c r="I3200" s="1358"/>
    </row>
    <row r="3201" spans="8:9">
      <c r="H3201" s="1358"/>
      <c r="I3201" s="1358"/>
    </row>
    <row r="3202" spans="8:9">
      <c r="H3202" s="1358"/>
      <c r="I3202" s="1358"/>
    </row>
    <row r="3203" spans="8:9">
      <c r="H3203" s="1358"/>
      <c r="I3203" s="1358"/>
    </row>
    <row r="3204" spans="8:9">
      <c r="H3204" s="1358"/>
      <c r="I3204" s="1358"/>
    </row>
    <row r="3205" spans="8:9">
      <c r="H3205" s="1358"/>
      <c r="I3205" s="1358"/>
    </row>
    <row r="3206" spans="8:9">
      <c r="H3206" s="1358"/>
      <c r="I3206" s="1358"/>
    </row>
    <row r="3207" spans="8:9">
      <c r="H3207" s="1358"/>
      <c r="I3207" s="1358"/>
    </row>
    <row r="3208" spans="8:9">
      <c r="H3208" s="1358"/>
      <c r="I3208" s="1358"/>
    </row>
    <row r="3209" spans="8:9">
      <c r="H3209" s="1358"/>
      <c r="I3209" s="1358"/>
    </row>
    <row r="3210" spans="8:9">
      <c r="H3210" s="1358"/>
      <c r="I3210" s="1358"/>
    </row>
    <row r="3211" spans="8:9">
      <c r="H3211" s="1358"/>
      <c r="I3211" s="1358"/>
    </row>
    <row r="3212" spans="8:9">
      <c r="H3212" s="1358"/>
      <c r="I3212" s="1358"/>
    </row>
    <row r="3213" spans="8:9">
      <c r="H3213" s="1358"/>
      <c r="I3213" s="1358"/>
    </row>
    <row r="3214" spans="8:9">
      <c r="H3214" s="1358"/>
      <c r="I3214" s="1358"/>
    </row>
    <row r="3215" spans="8:9">
      <c r="H3215" s="1358"/>
      <c r="I3215" s="1358"/>
    </row>
    <row r="3216" spans="8:9">
      <c r="H3216" s="1358"/>
      <c r="I3216" s="1358"/>
    </row>
    <row r="3217" spans="8:9">
      <c r="H3217" s="1358"/>
      <c r="I3217" s="1358"/>
    </row>
    <row r="3218" spans="8:9">
      <c r="H3218" s="1358"/>
      <c r="I3218" s="1358"/>
    </row>
    <row r="3219" spans="8:9">
      <c r="H3219" s="1358"/>
      <c r="I3219" s="1358"/>
    </row>
    <row r="3220" spans="8:9">
      <c r="H3220" s="1358"/>
      <c r="I3220" s="1358"/>
    </row>
    <row r="3221" spans="8:9">
      <c r="H3221" s="1358"/>
      <c r="I3221" s="1358"/>
    </row>
    <row r="3222" spans="8:9">
      <c r="H3222" s="1358"/>
      <c r="I3222" s="1358"/>
    </row>
    <row r="3223" spans="8:9">
      <c r="H3223" s="1358"/>
      <c r="I3223" s="1358"/>
    </row>
    <row r="3224" spans="8:9">
      <c r="H3224" s="1358"/>
      <c r="I3224" s="1358"/>
    </row>
    <row r="3225" spans="8:9">
      <c r="H3225" s="1358"/>
      <c r="I3225" s="1358"/>
    </row>
    <row r="3226" spans="8:9">
      <c r="H3226" s="1358"/>
      <c r="I3226" s="1358"/>
    </row>
    <row r="3227" spans="8:9">
      <c r="H3227" s="1358"/>
      <c r="I3227" s="1358"/>
    </row>
    <row r="3228" spans="8:9">
      <c r="H3228" s="1358"/>
      <c r="I3228" s="1358"/>
    </row>
    <row r="3229" spans="8:9">
      <c r="H3229" s="1358"/>
      <c r="I3229" s="1358"/>
    </row>
    <row r="3230" spans="8:9">
      <c r="H3230" s="1358"/>
      <c r="I3230" s="1358"/>
    </row>
    <row r="3231" spans="8:9">
      <c r="H3231" s="1358"/>
      <c r="I3231" s="1358"/>
    </row>
    <row r="3232" spans="8:9">
      <c r="H3232" s="1358"/>
      <c r="I3232" s="1358"/>
    </row>
    <row r="3233" spans="8:9">
      <c r="H3233" s="1358"/>
      <c r="I3233" s="1358"/>
    </row>
    <row r="3234" spans="8:9">
      <c r="H3234" s="1358"/>
      <c r="I3234" s="1358"/>
    </row>
    <row r="3235" spans="8:9">
      <c r="H3235" s="1358"/>
      <c r="I3235" s="1358"/>
    </row>
    <row r="3236" spans="8:9">
      <c r="H3236" s="1358"/>
      <c r="I3236" s="1358"/>
    </row>
    <row r="3237" spans="8:9">
      <c r="H3237" s="1358"/>
      <c r="I3237" s="1358"/>
    </row>
    <row r="3238" spans="8:9">
      <c r="H3238" s="1358"/>
      <c r="I3238" s="1358"/>
    </row>
    <row r="3239" spans="8:9">
      <c r="H3239" s="1358"/>
      <c r="I3239" s="1358"/>
    </row>
    <row r="3240" spans="8:9">
      <c r="H3240" s="1358"/>
      <c r="I3240" s="1358"/>
    </row>
    <row r="3241" spans="8:9">
      <c r="H3241" s="1358"/>
      <c r="I3241" s="1358"/>
    </row>
    <row r="3242" spans="8:9">
      <c r="H3242" s="1358"/>
      <c r="I3242" s="1358"/>
    </row>
    <row r="3243" spans="8:9">
      <c r="H3243" s="1358"/>
      <c r="I3243" s="1358"/>
    </row>
    <row r="3244" spans="8:9">
      <c r="H3244" s="1358"/>
      <c r="I3244" s="1358"/>
    </row>
    <row r="3245" spans="8:9">
      <c r="H3245" s="1358"/>
      <c r="I3245" s="1358"/>
    </row>
    <row r="3246" spans="8:9">
      <c r="H3246" s="1358"/>
      <c r="I3246" s="1358"/>
    </row>
    <row r="3247" spans="8:9">
      <c r="H3247" s="1358"/>
      <c r="I3247" s="1358"/>
    </row>
    <row r="3248" spans="8:9">
      <c r="H3248" s="1358"/>
      <c r="I3248" s="1358"/>
    </row>
    <row r="3249" spans="8:9">
      <c r="H3249" s="1358"/>
      <c r="I3249" s="1358"/>
    </row>
    <row r="3250" spans="8:9">
      <c r="H3250" s="1358"/>
      <c r="I3250" s="1358"/>
    </row>
    <row r="3251" spans="8:9">
      <c r="H3251" s="1358"/>
      <c r="I3251" s="1358"/>
    </row>
    <row r="3252" spans="8:9">
      <c r="H3252" s="1358"/>
      <c r="I3252" s="1358"/>
    </row>
    <row r="3253" spans="8:9">
      <c r="H3253" s="1358"/>
      <c r="I3253" s="1358"/>
    </row>
    <row r="3254" spans="8:9">
      <c r="H3254" s="1358"/>
      <c r="I3254" s="1358"/>
    </row>
    <row r="3255" spans="8:9">
      <c r="H3255" s="1358"/>
      <c r="I3255" s="1358"/>
    </row>
    <row r="3256" spans="8:9">
      <c r="H3256" s="1358"/>
      <c r="I3256" s="1358"/>
    </row>
    <row r="3257" spans="8:9">
      <c r="H3257" s="1358"/>
      <c r="I3257" s="1358"/>
    </row>
    <row r="3258" spans="8:9">
      <c r="H3258" s="1358"/>
      <c r="I3258" s="1358"/>
    </row>
    <row r="3259" spans="8:9">
      <c r="H3259" s="1358"/>
      <c r="I3259" s="1358"/>
    </row>
    <row r="3260" spans="8:9">
      <c r="H3260" s="1358"/>
      <c r="I3260" s="1358"/>
    </row>
    <row r="3261" spans="8:9">
      <c r="H3261" s="1358"/>
      <c r="I3261" s="1358"/>
    </row>
    <row r="3262" spans="8:9">
      <c r="H3262" s="1358"/>
      <c r="I3262" s="1358"/>
    </row>
    <row r="3263" spans="8:9">
      <c r="H3263" s="1358"/>
      <c r="I3263" s="1358"/>
    </row>
    <row r="3264" spans="8:9">
      <c r="H3264" s="1358"/>
      <c r="I3264" s="1358"/>
    </row>
    <row r="3265" spans="8:9">
      <c r="H3265" s="1358"/>
      <c r="I3265" s="1358"/>
    </row>
    <row r="3266" spans="8:9">
      <c r="H3266" s="1358"/>
      <c r="I3266" s="1358"/>
    </row>
    <row r="3267" spans="8:9">
      <c r="H3267" s="1358"/>
      <c r="I3267" s="1358"/>
    </row>
    <row r="3268" spans="8:9">
      <c r="H3268" s="1358"/>
      <c r="I3268" s="1358"/>
    </row>
    <row r="3269" spans="8:9">
      <c r="H3269" s="1358"/>
      <c r="I3269" s="1358"/>
    </row>
    <row r="3270" spans="8:9">
      <c r="H3270" s="1358"/>
      <c r="I3270" s="1358"/>
    </row>
    <row r="3271" spans="8:9">
      <c r="H3271" s="1358"/>
      <c r="I3271" s="1358"/>
    </row>
    <row r="3272" spans="8:9">
      <c r="H3272" s="1358"/>
      <c r="I3272" s="1358"/>
    </row>
    <row r="3273" spans="8:9">
      <c r="H3273" s="1358"/>
      <c r="I3273" s="1358"/>
    </row>
    <row r="3274" spans="8:9">
      <c r="H3274" s="1358"/>
      <c r="I3274" s="1358"/>
    </row>
    <row r="3275" spans="8:9">
      <c r="H3275" s="1358"/>
      <c r="I3275" s="1358"/>
    </row>
    <row r="3276" spans="8:9">
      <c r="H3276" s="1358"/>
      <c r="I3276" s="1358"/>
    </row>
    <row r="3277" spans="8:9">
      <c r="H3277" s="1358"/>
      <c r="I3277" s="1358"/>
    </row>
    <row r="3278" spans="8:9">
      <c r="H3278" s="1358"/>
      <c r="I3278" s="1358"/>
    </row>
    <row r="3279" spans="8:9">
      <c r="H3279" s="1358"/>
      <c r="I3279" s="1358"/>
    </row>
    <row r="3280" spans="8:9">
      <c r="H3280" s="1358"/>
      <c r="I3280" s="1358"/>
    </row>
    <row r="3281" spans="8:9">
      <c r="H3281" s="1358"/>
      <c r="I3281" s="1358"/>
    </row>
    <row r="3282" spans="8:9">
      <c r="H3282" s="1358"/>
      <c r="I3282" s="1358"/>
    </row>
    <row r="3283" spans="8:9">
      <c r="H3283" s="1358"/>
      <c r="I3283" s="1358"/>
    </row>
    <row r="3284" spans="8:9">
      <c r="H3284" s="1358"/>
      <c r="I3284" s="1358"/>
    </row>
    <row r="3285" spans="8:9">
      <c r="H3285" s="1358"/>
      <c r="I3285" s="1358"/>
    </row>
    <row r="3286" spans="8:9">
      <c r="H3286" s="1358"/>
      <c r="I3286" s="1358"/>
    </row>
    <row r="3287" spans="8:9">
      <c r="H3287" s="1358"/>
      <c r="I3287" s="1358"/>
    </row>
    <row r="3288" spans="8:9">
      <c r="H3288" s="1358"/>
      <c r="I3288" s="1358"/>
    </row>
    <row r="3289" spans="8:9">
      <c r="H3289" s="1358"/>
      <c r="I3289" s="1358"/>
    </row>
    <row r="3290" spans="8:9">
      <c r="H3290" s="1358"/>
      <c r="I3290" s="1358"/>
    </row>
    <row r="3291" spans="8:9">
      <c r="H3291" s="1358"/>
      <c r="I3291" s="1358"/>
    </row>
    <row r="3292" spans="8:9">
      <c r="H3292" s="1358"/>
      <c r="I3292" s="1358"/>
    </row>
    <row r="3293" spans="8:9">
      <c r="H3293" s="1358"/>
      <c r="I3293" s="1358"/>
    </row>
    <row r="3294" spans="8:9">
      <c r="H3294" s="1358"/>
      <c r="I3294" s="1358"/>
    </row>
    <row r="3295" spans="8:9">
      <c r="H3295" s="1358"/>
      <c r="I3295" s="1358"/>
    </row>
    <row r="3296" spans="8:9">
      <c r="H3296" s="1358"/>
      <c r="I3296" s="1358"/>
    </row>
    <row r="3297" spans="8:9">
      <c r="H3297" s="1358"/>
      <c r="I3297" s="1358"/>
    </row>
    <row r="3298" spans="8:9">
      <c r="H3298" s="1358"/>
      <c r="I3298" s="1358"/>
    </row>
    <row r="3299" spans="8:9">
      <c r="H3299" s="1358"/>
      <c r="I3299" s="1358"/>
    </row>
    <row r="3300" spans="8:9">
      <c r="H3300" s="1358"/>
      <c r="I3300" s="1358"/>
    </row>
    <row r="3301" spans="8:9">
      <c r="H3301" s="1358"/>
      <c r="I3301" s="1358"/>
    </row>
    <row r="3302" spans="8:9">
      <c r="H3302" s="1358"/>
      <c r="I3302" s="1358"/>
    </row>
    <row r="3303" spans="8:9">
      <c r="H3303" s="1358"/>
      <c r="I3303" s="1358"/>
    </row>
    <row r="3304" spans="8:9">
      <c r="H3304" s="1358"/>
      <c r="I3304" s="1358"/>
    </row>
    <row r="3305" spans="8:9">
      <c r="H3305" s="1358"/>
      <c r="I3305" s="1358"/>
    </row>
    <row r="3306" spans="8:9">
      <c r="H3306" s="1358"/>
      <c r="I3306" s="1358"/>
    </row>
    <row r="3307" spans="8:9">
      <c r="H3307" s="1358"/>
      <c r="I3307" s="1358"/>
    </row>
    <row r="3308" spans="8:9">
      <c r="H3308" s="1358"/>
      <c r="I3308" s="1358"/>
    </row>
    <row r="3309" spans="8:9">
      <c r="H3309" s="1358"/>
      <c r="I3309" s="1358"/>
    </row>
    <row r="3310" spans="8:9">
      <c r="H3310" s="1358"/>
      <c r="I3310" s="1358"/>
    </row>
    <row r="3311" spans="8:9">
      <c r="H3311" s="1358"/>
      <c r="I3311" s="1358"/>
    </row>
    <row r="3312" spans="8:9">
      <c r="H3312" s="1358"/>
      <c r="I3312" s="1358"/>
    </row>
    <row r="3313" spans="8:9">
      <c r="H3313" s="1358"/>
      <c r="I3313" s="1358"/>
    </row>
    <row r="3314" spans="8:9">
      <c r="H3314" s="1358"/>
      <c r="I3314" s="1358"/>
    </row>
    <row r="3315" spans="8:9">
      <c r="H3315" s="1358"/>
      <c r="I3315" s="1358"/>
    </row>
    <row r="3316" spans="8:9">
      <c r="H3316" s="1358"/>
      <c r="I3316" s="1358"/>
    </row>
    <row r="3317" spans="8:9">
      <c r="H3317" s="1358"/>
      <c r="I3317" s="1358"/>
    </row>
    <row r="3318" spans="8:9">
      <c r="H3318" s="1358"/>
      <c r="I3318" s="1358"/>
    </row>
    <row r="3319" spans="8:9">
      <c r="H3319" s="1358"/>
      <c r="I3319" s="1358"/>
    </row>
    <row r="3320" spans="8:9">
      <c r="H3320" s="1358"/>
      <c r="I3320" s="1358"/>
    </row>
    <row r="3321" spans="8:9">
      <c r="H3321" s="1358"/>
      <c r="I3321" s="1358"/>
    </row>
    <row r="3322" spans="8:9">
      <c r="H3322" s="1358"/>
      <c r="I3322" s="1358"/>
    </row>
    <row r="3323" spans="8:9">
      <c r="H3323" s="1358"/>
      <c r="I3323" s="1358"/>
    </row>
    <row r="3324" spans="8:9">
      <c r="H3324" s="1358"/>
      <c r="I3324" s="1358"/>
    </row>
    <row r="3325" spans="8:9">
      <c r="H3325" s="1358"/>
      <c r="I3325" s="1358"/>
    </row>
    <row r="3326" spans="8:9">
      <c r="H3326" s="1358"/>
      <c r="I3326" s="1358"/>
    </row>
    <row r="3327" spans="8:9">
      <c r="H3327" s="1358"/>
      <c r="I3327" s="1358"/>
    </row>
    <row r="3328" spans="8:9">
      <c r="H3328" s="1358"/>
      <c r="I3328" s="1358"/>
    </row>
    <row r="3329" spans="8:9">
      <c r="H3329" s="1358"/>
      <c r="I3329" s="1358"/>
    </row>
    <row r="3330" spans="8:9">
      <c r="H3330" s="1358"/>
      <c r="I3330" s="1358"/>
    </row>
    <row r="3331" spans="8:9">
      <c r="H3331" s="1358"/>
      <c r="I3331" s="1358"/>
    </row>
    <row r="3332" spans="8:9">
      <c r="H3332" s="1358"/>
      <c r="I3332" s="1358"/>
    </row>
    <row r="3333" spans="8:9">
      <c r="H3333" s="1358"/>
      <c r="I3333" s="1358"/>
    </row>
    <row r="3334" spans="8:9">
      <c r="H3334" s="1358"/>
      <c r="I3334" s="1358"/>
    </row>
    <row r="3335" spans="8:9">
      <c r="H3335" s="1358"/>
      <c r="I3335" s="1358"/>
    </row>
    <row r="3336" spans="8:9">
      <c r="H3336" s="1358"/>
      <c r="I3336" s="1358"/>
    </row>
    <row r="3337" spans="8:9">
      <c r="H3337" s="1358"/>
      <c r="I3337" s="1358"/>
    </row>
    <row r="3338" spans="8:9">
      <c r="H3338" s="1358"/>
      <c r="I3338" s="1358"/>
    </row>
    <row r="3339" spans="8:9">
      <c r="H3339" s="1358"/>
      <c r="I3339" s="1358"/>
    </row>
    <row r="3340" spans="8:9">
      <c r="H3340" s="1358"/>
      <c r="I3340" s="1358"/>
    </row>
    <row r="3341" spans="8:9">
      <c r="H3341" s="1358"/>
      <c r="I3341" s="1358"/>
    </row>
    <row r="3342" spans="8:9">
      <c r="H3342" s="1358"/>
      <c r="I3342" s="1358"/>
    </row>
    <row r="3343" spans="8:9">
      <c r="H3343" s="1358"/>
      <c r="I3343" s="1358"/>
    </row>
    <row r="3344" spans="8:9">
      <c r="H3344" s="1358"/>
      <c r="I3344" s="1358"/>
    </row>
    <row r="3345" spans="8:9">
      <c r="H3345" s="1358"/>
      <c r="I3345" s="1358"/>
    </row>
    <row r="3346" spans="8:9">
      <c r="H3346" s="1358"/>
      <c r="I3346" s="1358"/>
    </row>
    <row r="3347" spans="8:9">
      <c r="H3347" s="1358"/>
      <c r="I3347" s="1358"/>
    </row>
    <row r="3348" spans="8:9">
      <c r="H3348" s="1358"/>
      <c r="I3348" s="1358"/>
    </row>
    <row r="3349" spans="8:9">
      <c r="H3349" s="1358"/>
      <c r="I3349" s="1358"/>
    </row>
    <row r="3350" spans="8:9">
      <c r="H3350" s="1358"/>
      <c r="I3350" s="1358"/>
    </row>
    <row r="3351" spans="8:9">
      <c r="H3351" s="1358"/>
      <c r="I3351" s="1358"/>
    </row>
    <row r="3352" spans="8:9">
      <c r="H3352" s="1358"/>
      <c r="I3352" s="1358"/>
    </row>
    <row r="3353" spans="8:9">
      <c r="H3353" s="1358"/>
      <c r="I3353" s="1358"/>
    </row>
    <row r="3354" spans="8:9">
      <c r="H3354" s="1358"/>
      <c r="I3354" s="1358"/>
    </row>
    <row r="3355" spans="8:9">
      <c r="H3355" s="1358"/>
      <c r="I3355" s="1358"/>
    </row>
    <row r="3356" spans="8:9">
      <c r="H3356" s="1358"/>
      <c r="I3356" s="1358"/>
    </row>
    <row r="3357" spans="8:9">
      <c r="H3357" s="1358"/>
      <c r="I3357" s="1358"/>
    </row>
    <row r="3358" spans="8:9">
      <c r="H3358" s="1358"/>
      <c r="I3358" s="1358"/>
    </row>
    <row r="3359" spans="8:9">
      <c r="H3359" s="1358"/>
      <c r="I3359" s="1358"/>
    </row>
    <row r="3360" spans="8:9">
      <c r="H3360" s="1358"/>
      <c r="I3360" s="1358"/>
    </row>
    <row r="3361" spans="8:9">
      <c r="H3361" s="1358"/>
      <c r="I3361" s="1358"/>
    </row>
    <row r="3362" spans="8:9">
      <c r="H3362" s="1358"/>
      <c r="I3362" s="1358"/>
    </row>
    <row r="3363" spans="8:9">
      <c r="H3363" s="1358"/>
      <c r="I3363" s="1358"/>
    </row>
    <row r="3364" spans="8:9">
      <c r="H3364" s="1358"/>
      <c r="I3364" s="1358"/>
    </row>
    <row r="3365" spans="8:9">
      <c r="H3365" s="1358"/>
      <c r="I3365" s="1358"/>
    </row>
    <row r="3366" spans="8:9">
      <c r="H3366" s="1358"/>
      <c r="I3366" s="1358"/>
    </row>
    <row r="3367" spans="8:9">
      <c r="H3367" s="1358"/>
      <c r="I3367" s="1358"/>
    </row>
    <row r="3368" spans="8:9">
      <c r="H3368" s="1358"/>
      <c r="I3368" s="1358"/>
    </row>
    <row r="3369" spans="8:9">
      <c r="H3369" s="1358"/>
      <c r="I3369" s="1358"/>
    </row>
    <row r="3370" spans="8:9">
      <c r="H3370" s="1358"/>
      <c r="I3370" s="1358"/>
    </row>
    <row r="3371" spans="8:9">
      <c r="H3371" s="1358"/>
      <c r="I3371" s="1358"/>
    </row>
    <row r="3372" spans="8:9">
      <c r="H3372" s="1358"/>
      <c r="I3372" s="1358"/>
    </row>
    <row r="3373" spans="8:9">
      <c r="H3373" s="1358"/>
      <c r="I3373" s="1358"/>
    </row>
    <row r="3374" spans="8:9">
      <c r="H3374" s="1358"/>
      <c r="I3374" s="1358"/>
    </row>
    <row r="3375" spans="8:9">
      <c r="H3375" s="1358"/>
      <c r="I3375" s="1358"/>
    </row>
    <row r="3376" spans="8:9">
      <c r="H3376" s="1358"/>
      <c r="I3376" s="1358"/>
    </row>
    <row r="3377" spans="8:9">
      <c r="H3377" s="1358"/>
      <c r="I3377" s="1358"/>
    </row>
    <row r="3378" spans="8:9">
      <c r="H3378" s="1358"/>
      <c r="I3378" s="1358"/>
    </row>
    <row r="3379" spans="8:9">
      <c r="H3379" s="1358"/>
      <c r="I3379" s="1358"/>
    </row>
    <row r="3380" spans="8:9">
      <c r="H3380" s="1358"/>
      <c r="I3380" s="1358"/>
    </row>
    <row r="3381" spans="8:9">
      <c r="H3381" s="1358"/>
      <c r="I3381" s="1358"/>
    </row>
    <row r="3382" spans="8:9">
      <c r="H3382" s="1358"/>
      <c r="I3382" s="1358"/>
    </row>
    <row r="3383" spans="8:9">
      <c r="H3383" s="1358"/>
      <c r="I3383" s="1358"/>
    </row>
    <row r="3384" spans="8:9">
      <c r="H3384" s="1358"/>
      <c r="I3384" s="1358"/>
    </row>
    <row r="3385" spans="8:9">
      <c r="H3385" s="1358"/>
      <c r="I3385" s="1358"/>
    </row>
    <row r="3386" spans="8:9">
      <c r="H3386" s="1358"/>
      <c r="I3386" s="1358"/>
    </row>
    <row r="3387" spans="8:9">
      <c r="H3387" s="1358"/>
      <c r="I3387" s="1358"/>
    </row>
    <row r="3388" spans="8:9">
      <c r="H3388" s="1358"/>
      <c r="I3388" s="1358"/>
    </row>
    <row r="3389" spans="8:9">
      <c r="H3389" s="1358"/>
      <c r="I3389" s="1358"/>
    </row>
    <row r="3390" spans="8:9">
      <c r="H3390" s="1358"/>
      <c r="I3390" s="1358"/>
    </row>
    <row r="3391" spans="8:9">
      <c r="H3391" s="1358"/>
      <c r="I3391" s="1358"/>
    </row>
    <row r="3392" spans="8:9">
      <c r="H3392" s="1358"/>
      <c r="I3392" s="1358"/>
    </row>
    <row r="3393" spans="8:9">
      <c r="H3393" s="1358"/>
      <c r="I3393" s="1358"/>
    </row>
    <row r="3394" spans="8:9">
      <c r="H3394" s="1358"/>
      <c r="I3394" s="1358"/>
    </row>
    <row r="3395" spans="8:9">
      <c r="H3395" s="1358"/>
      <c r="I3395" s="1358"/>
    </row>
    <row r="3396" spans="8:9">
      <c r="H3396" s="1358"/>
      <c r="I3396" s="1358"/>
    </row>
    <row r="3397" spans="8:9">
      <c r="H3397" s="1358"/>
      <c r="I3397" s="1358"/>
    </row>
    <row r="3398" spans="8:9">
      <c r="H3398" s="1358"/>
      <c r="I3398" s="1358"/>
    </row>
    <row r="3399" spans="8:9">
      <c r="H3399" s="1358"/>
      <c r="I3399" s="1358"/>
    </row>
    <row r="3400" spans="8:9">
      <c r="H3400" s="1358"/>
      <c r="I3400" s="1358"/>
    </row>
    <row r="3401" spans="8:9">
      <c r="H3401" s="1358"/>
      <c r="I3401" s="1358"/>
    </row>
    <row r="3402" spans="8:9">
      <c r="H3402" s="1358"/>
      <c r="I3402" s="1358"/>
    </row>
    <row r="3403" spans="8:9">
      <c r="H3403" s="1358"/>
      <c r="I3403" s="1358"/>
    </row>
    <row r="3404" spans="8:9">
      <c r="H3404" s="1358"/>
      <c r="I3404" s="1358"/>
    </row>
    <row r="3405" spans="8:9">
      <c r="H3405" s="1358"/>
      <c r="I3405" s="1358"/>
    </row>
    <row r="3406" spans="8:9">
      <c r="H3406" s="1358"/>
      <c r="I3406" s="1358"/>
    </row>
    <row r="3407" spans="8:9">
      <c r="H3407" s="1358"/>
      <c r="I3407" s="1358"/>
    </row>
    <row r="3408" spans="8:9">
      <c r="H3408" s="1358"/>
      <c r="I3408" s="1358"/>
    </row>
    <row r="3409" spans="8:9">
      <c r="H3409" s="1358"/>
      <c r="I3409" s="1358"/>
    </row>
    <row r="3410" spans="8:9">
      <c r="H3410" s="1358"/>
      <c r="I3410" s="1358"/>
    </row>
    <row r="3411" spans="8:9">
      <c r="H3411" s="1358"/>
      <c r="I3411" s="1358"/>
    </row>
    <row r="3412" spans="8:9">
      <c r="H3412" s="1358"/>
      <c r="I3412" s="1358"/>
    </row>
    <row r="3413" spans="8:9">
      <c r="H3413" s="1358"/>
      <c r="I3413" s="1358"/>
    </row>
    <row r="3414" spans="8:9">
      <c r="H3414" s="1358"/>
      <c r="I3414" s="1358"/>
    </row>
    <row r="3415" spans="8:9">
      <c r="H3415" s="1358"/>
      <c r="I3415" s="1358"/>
    </row>
    <row r="3416" spans="8:9">
      <c r="H3416" s="1358"/>
      <c r="I3416" s="1358"/>
    </row>
    <row r="3417" spans="8:9">
      <c r="H3417" s="1358"/>
      <c r="I3417" s="1358"/>
    </row>
    <row r="3418" spans="8:9">
      <c r="H3418" s="1358"/>
      <c r="I3418" s="1358"/>
    </row>
    <row r="3419" spans="8:9">
      <c r="H3419" s="1358"/>
      <c r="I3419" s="1358"/>
    </row>
    <row r="3420" spans="8:9">
      <c r="H3420" s="1358"/>
      <c r="I3420" s="1358"/>
    </row>
    <row r="3421" spans="8:9">
      <c r="H3421" s="1358"/>
      <c r="I3421" s="1358"/>
    </row>
    <row r="3422" spans="8:9">
      <c r="H3422" s="1358"/>
      <c r="I3422" s="1358"/>
    </row>
    <row r="3423" spans="8:9">
      <c r="H3423" s="1358"/>
      <c r="I3423" s="1358"/>
    </row>
    <row r="3424" spans="8:9">
      <c r="H3424" s="1358"/>
      <c r="I3424" s="1358"/>
    </row>
    <row r="3425" spans="8:9">
      <c r="H3425" s="1358"/>
      <c r="I3425" s="1358"/>
    </row>
    <row r="3426" spans="8:9">
      <c r="H3426" s="1358"/>
      <c r="I3426" s="1358"/>
    </row>
    <row r="3427" spans="8:9">
      <c r="H3427" s="1358"/>
      <c r="I3427" s="1358"/>
    </row>
    <row r="3428" spans="8:9">
      <c r="H3428" s="1358"/>
      <c r="I3428" s="1358"/>
    </row>
    <row r="3429" spans="8:9">
      <c r="H3429" s="1358"/>
      <c r="I3429" s="1358"/>
    </row>
    <row r="3430" spans="8:9">
      <c r="H3430" s="1358"/>
      <c r="I3430" s="1358"/>
    </row>
    <row r="3431" spans="8:9">
      <c r="H3431" s="1358"/>
      <c r="I3431" s="1358"/>
    </row>
    <row r="3432" spans="8:9">
      <c r="H3432" s="1358"/>
      <c r="I3432" s="1358"/>
    </row>
    <row r="3433" spans="8:9">
      <c r="H3433" s="1358"/>
      <c r="I3433" s="1358"/>
    </row>
    <row r="3434" spans="8:9">
      <c r="H3434" s="1358"/>
      <c r="I3434" s="1358"/>
    </row>
    <row r="3435" spans="8:9">
      <c r="H3435" s="1358"/>
      <c r="I3435" s="1358"/>
    </row>
    <row r="3436" spans="8:9">
      <c r="H3436" s="1358"/>
      <c r="I3436" s="1358"/>
    </row>
    <row r="3437" spans="8:9">
      <c r="H3437" s="1358"/>
      <c r="I3437" s="1358"/>
    </row>
    <row r="3438" spans="8:9">
      <c r="H3438" s="1358"/>
      <c r="I3438" s="1358"/>
    </row>
    <row r="3439" spans="8:9">
      <c r="H3439" s="1358"/>
      <c r="I3439" s="1358"/>
    </row>
    <row r="3440" spans="8:9">
      <c r="H3440" s="1358"/>
      <c r="I3440" s="1358"/>
    </row>
    <row r="3441" spans="8:9">
      <c r="H3441" s="1358"/>
      <c r="I3441" s="1358"/>
    </row>
    <row r="3442" spans="8:9">
      <c r="H3442" s="1358"/>
      <c r="I3442" s="1358"/>
    </row>
    <row r="3443" spans="8:9">
      <c r="H3443" s="1358"/>
      <c r="I3443" s="1358"/>
    </row>
    <row r="3444" spans="8:9">
      <c r="H3444" s="1358"/>
      <c r="I3444" s="1358"/>
    </row>
    <row r="3445" spans="8:9">
      <c r="H3445" s="1358"/>
      <c r="I3445" s="1358"/>
    </row>
    <row r="3446" spans="8:9">
      <c r="H3446" s="1358"/>
      <c r="I3446" s="1358"/>
    </row>
    <row r="3447" spans="8:9">
      <c r="H3447" s="1358"/>
      <c r="I3447" s="1358"/>
    </row>
    <row r="3448" spans="8:9">
      <c r="H3448" s="1358"/>
      <c r="I3448" s="1358"/>
    </row>
    <row r="3449" spans="8:9">
      <c r="H3449" s="1358"/>
      <c r="I3449" s="1358"/>
    </row>
    <row r="3450" spans="8:9">
      <c r="H3450" s="1358"/>
      <c r="I3450" s="1358"/>
    </row>
    <row r="3451" spans="8:9">
      <c r="H3451" s="1358"/>
      <c r="I3451" s="1358"/>
    </row>
    <row r="3452" spans="8:9">
      <c r="H3452" s="1358"/>
      <c r="I3452" s="1358"/>
    </row>
    <row r="3453" spans="8:9">
      <c r="H3453" s="1358"/>
      <c r="I3453" s="1358"/>
    </row>
    <row r="3454" spans="8:9">
      <c r="H3454" s="1358"/>
      <c r="I3454" s="1358"/>
    </row>
    <row r="3455" spans="8:9">
      <c r="H3455" s="1358"/>
      <c r="I3455" s="1358"/>
    </row>
    <row r="3456" spans="8:9">
      <c r="H3456" s="1358"/>
      <c r="I3456" s="1358"/>
    </row>
    <row r="3457" spans="8:9">
      <c r="H3457" s="1358"/>
      <c r="I3457" s="1358"/>
    </row>
    <row r="3458" spans="8:9">
      <c r="H3458" s="1358"/>
      <c r="I3458" s="1358"/>
    </row>
    <row r="3459" spans="8:9">
      <c r="H3459" s="1358"/>
      <c r="I3459" s="1358"/>
    </row>
    <row r="3460" spans="8:9">
      <c r="H3460" s="1358"/>
      <c r="I3460" s="1358"/>
    </row>
    <row r="3461" spans="8:9">
      <c r="H3461" s="1358"/>
      <c r="I3461" s="1358"/>
    </row>
    <row r="3462" spans="8:9">
      <c r="H3462" s="1358"/>
      <c r="I3462" s="1358"/>
    </row>
    <row r="3463" spans="8:9">
      <c r="H3463" s="1358"/>
      <c r="I3463" s="1358"/>
    </row>
    <row r="3464" spans="8:9">
      <c r="H3464" s="1358"/>
      <c r="I3464" s="1358"/>
    </row>
    <row r="3465" spans="8:9">
      <c r="H3465" s="1358"/>
      <c r="I3465" s="1358"/>
    </row>
    <row r="3466" spans="8:9">
      <c r="H3466" s="1358"/>
      <c r="I3466" s="1358"/>
    </row>
    <row r="3467" spans="8:9">
      <c r="H3467" s="1358"/>
      <c r="I3467" s="1358"/>
    </row>
    <row r="3468" spans="8:9">
      <c r="H3468" s="1358"/>
      <c r="I3468" s="1358"/>
    </row>
    <row r="3469" spans="8:9">
      <c r="H3469" s="1358"/>
      <c r="I3469" s="1358"/>
    </row>
    <row r="3470" spans="8:9">
      <c r="H3470" s="1358"/>
      <c r="I3470" s="1358"/>
    </row>
    <row r="3471" spans="8:9">
      <c r="H3471" s="1358"/>
      <c r="I3471" s="1358"/>
    </row>
    <row r="3472" spans="8:9">
      <c r="H3472" s="1358"/>
      <c r="I3472" s="1358"/>
    </row>
    <row r="3473" spans="8:9">
      <c r="H3473" s="1358"/>
      <c r="I3473" s="1358"/>
    </row>
    <row r="3474" spans="8:9">
      <c r="H3474" s="1358"/>
      <c r="I3474" s="1358"/>
    </row>
    <row r="3475" spans="8:9">
      <c r="H3475" s="1358"/>
      <c r="I3475" s="1358"/>
    </row>
    <row r="3476" spans="8:9">
      <c r="H3476" s="1358"/>
      <c r="I3476" s="1358"/>
    </row>
    <row r="3477" spans="8:9">
      <c r="H3477" s="1358"/>
      <c r="I3477" s="1358"/>
    </row>
    <row r="3478" spans="8:9">
      <c r="H3478" s="1358"/>
      <c r="I3478" s="1358"/>
    </row>
    <row r="3479" spans="8:9">
      <c r="H3479" s="1358"/>
      <c r="I3479" s="1358"/>
    </row>
    <row r="3480" spans="8:9">
      <c r="H3480" s="1358"/>
      <c r="I3480" s="1358"/>
    </row>
    <row r="3481" spans="8:9">
      <c r="H3481" s="1358"/>
      <c r="I3481" s="1358"/>
    </row>
    <row r="3482" spans="8:9">
      <c r="H3482" s="1358"/>
      <c r="I3482" s="1358"/>
    </row>
    <row r="3483" spans="8:9">
      <c r="H3483" s="1358"/>
      <c r="I3483" s="1358"/>
    </row>
    <row r="3484" spans="8:9">
      <c r="H3484" s="1358"/>
      <c r="I3484" s="1358"/>
    </row>
    <row r="3485" spans="8:9">
      <c r="H3485" s="1358"/>
      <c r="I3485" s="1358"/>
    </row>
    <row r="3486" spans="8:9">
      <c r="H3486" s="1358"/>
      <c r="I3486" s="1358"/>
    </row>
    <row r="3487" spans="8:9">
      <c r="H3487" s="1358"/>
      <c r="I3487" s="1358"/>
    </row>
    <row r="3488" spans="8:9">
      <c r="H3488" s="1358"/>
      <c r="I3488" s="1358"/>
    </row>
    <row r="3489" spans="8:9">
      <c r="H3489" s="1358"/>
      <c r="I3489" s="1358"/>
    </row>
    <row r="3490" spans="8:9">
      <c r="H3490" s="1358"/>
      <c r="I3490" s="1358"/>
    </row>
    <row r="3491" spans="8:9">
      <c r="H3491" s="1358"/>
      <c r="I3491" s="1358"/>
    </row>
    <row r="3492" spans="8:9">
      <c r="H3492" s="1358"/>
      <c r="I3492" s="1358"/>
    </row>
    <row r="3493" spans="8:9">
      <c r="H3493" s="1358"/>
      <c r="I3493" s="1358"/>
    </row>
    <row r="3494" spans="8:9">
      <c r="H3494" s="1358"/>
      <c r="I3494" s="1358"/>
    </row>
    <row r="3495" spans="8:9">
      <c r="H3495" s="1358"/>
      <c r="I3495" s="1358"/>
    </row>
    <row r="3496" spans="8:9">
      <c r="H3496" s="1358"/>
      <c r="I3496" s="1358"/>
    </row>
    <row r="3497" spans="8:9">
      <c r="H3497" s="1358"/>
      <c r="I3497" s="1358"/>
    </row>
    <row r="3498" spans="8:9">
      <c r="H3498" s="1358"/>
      <c r="I3498" s="1358"/>
    </row>
    <row r="3499" spans="8:9">
      <c r="H3499" s="1358"/>
      <c r="I3499" s="1358"/>
    </row>
    <row r="3500" spans="8:9">
      <c r="H3500" s="1358"/>
      <c r="I3500" s="1358"/>
    </row>
    <row r="3501" spans="8:9">
      <c r="H3501" s="1358"/>
      <c r="I3501" s="1358"/>
    </row>
    <row r="3502" spans="8:9">
      <c r="H3502" s="1358"/>
      <c r="I3502" s="1358"/>
    </row>
    <row r="3503" spans="8:9">
      <c r="H3503" s="1358"/>
      <c r="I3503" s="1358"/>
    </row>
    <row r="3504" spans="8:9">
      <c r="H3504" s="1358"/>
      <c r="I3504" s="1358"/>
    </row>
    <row r="3505" spans="8:9">
      <c r="H3505" s="1358"/>
      <c r="I3505" s="1358"/>
    </row>
    <row r="3506" spans="8:9">
      <c r="H3506" s="1358"/>
      <c r="I3506" s="1358"/>
    </row>
    <row r="3507" spans="8:9">
      <c r="H3507" s="1358"/>
      <c r="I3507" s="1358"/>
    </row>
    <row r="3508" spans="8:9">
      <c r="H3508" s="1358"/>
      <c r="I3508" s="1358"/>
    </row>
    <row r="3509" spans="8:9">
      <c r="H3509" s="1358"/>
      <c r="I3509" s="1358"/>
    </row>
    <row r="3510" spans="8:9">
      <c r="H3510" s="1358"/>
      <c r="I3510" s="1358"/>
    </row>
    <row r="3511" spans="8:9">
      <c r="H3511" s="1358"/>
      <c r="I3511" s="1358"/>
    </row>
    <row r="3512" spans="8:9">
      <c r="H3512" s="1358"/>
      <c r="I3512" s="1358"/>
    </row>
    <row r="3513" spans="8:9">
      <c r="H3513" s="1358"/>
      <c r="I3513" s="1358"/>
    </row>
    <row r="3514" spans="8:9">
      <c r="H3514" s="1358"/>
      <c r="I3514" s="1358"/>
    </row>
    <row r="3515" spans="8:9">
      <c r="H3515" s="1358"/>
      <c r="I3515" s="1358"/>
    </row>
    <row r="3516" spans="8:9">
      <c r="H3516" s="1358"/>
      <c r="I3516" s="1358"/>
    </row>
    <row r="3517" spans="8:9">
      <c r="H3517" s="1358"/>
      <c r="I3517" s="1358"/>
    </row>
    <row r="3518" spans="8:9">
      <c r="H3518" s="1358"/>
      <c r="I3518" s="1358"/>
    </row>
    <row r="3519" spans="8:9">
      <c r="H3519" s="1358"/>
      <c r="I3519" s="1358"/>
    </row>
    <row r="3520" spans="8:9">
      <c r="H3520" s="1358"/>
      <c r="I3520" s="1358"/>
    </row>
    <row r="3521" spans="8:9">
      <c r="H3521" s="1358"/>
      <c r="I3521" s="1358"/>
    </row>
    <row r="3522" spans="8:9">
      <c r="H3522" s="1358"/>
      <c r="I3522" s="1358"/>
    </row>
    <row r="3523" spans="8:9">
      <c r="H3523" s="1358"/>
      <c r="I3523" s="1358"/>
    </row>
    <row r="3524" spans="8:9">
      <c r="H3524" s="1358"/>
      <c r="I3524" s="1358"/>
    </row>
    <row r="3525" spans="8:9">
      <c r="H3525" s="1358"/>
      <c r="I3525" s="1358"/>
    </row>
    <row r="3526" spans="8:9">
      <c r="H3526" s="1358"/>
      <c r="I3526" s="1358"/>
    </row>
    <row r="3527" spans="8:9">
      <c r="H3527" s="1358"/>
      <c r="I3527" s="1358"/>
    </row>
    <row r="3528" spans="8:9">
      <c r="H3528" s="1358"/>
      <c r="I3528" s="1358"/>
    </row>
    <row r="3529" spans="8:9">
      <c r="H3529" s="1358"/>
      <c r="I3529" s="1358"/>
    </row>
    <row r="3530" spans="8:9">
      <c r="H3530" s="1358"/>
      <c r="I3530" s="1358"/>
    </row>
    <row r="3531" spans="8:9">
      <c r="H3531" s="1358"/>
      <c r="I3531" s="1358"/>
    </row>
    <row r="3532" spans="8:9">
      <c r="H3532" s="1358"/>
      <c r="I3532" s="1358"/>
    </row>
    <row r="3533" spans="8:9">
      <c r="H3533" s="1358"/>
      <c r="I3533" s="1358"/>
    </row>
    <row r="3534" spans="8:9">
      <c r="H3534" s="1358"/>
      <c r="I3534" s="1358"/>
    </row>
    <row r="3535" spans="8:9">
      <c r="H3535" s="1358"/>
      <c r="I3535" s="1358"/>
    </row>
    <row r="3536" spans="8:9">
      <c r="H3536" s="1358"/>
      <c r="I3536" s="1358"/>
    </row>
    <row r="3537" spans="8:9">
      <c r="H3537" s="1358"/>
      <c r="I3537" s="1358"/>
    </row>
    <row r="3538" spans="8:9">
      <c r="H3538" s="1358"/>
      <c r="I3538" s="1358"/>
    </row>
    <row r="3539" spans="8:9">
      <c r="H3539" s="1358"/>
      <c r="I3539" s="1358"/>
    </row>
    <row r="3540" spans="8:9">
      <c r="H3540" s="1358"/>
      <c r="I3540" s="1358"/>
    </row>
    <row r="3541" spans="8:9">
      <c r="H3541" s="1358"/>
      <c r="I3541" s="1358"/>
    </row>
    <row r="3542" spans="8:9">
      <c r="H3542" s="1358"/>
      <c r="I3542" s="1358"/>
    </row>
    <row r="3543" spans="8:9">
      <c r="H3543" s="1358"/>
      <c r="I3543" s="1358"/>
    </row>
    <row r="3544" spans="8:9">
      <c r="H3544" s="1358"/>
      <c r="I3544" s="1358"/>
    </row>
    <row r="3545" spans="8:9">
      <c r="H3545" s="1358"/>
      <c r="I3545" s="1358"/>
    </row>
    <row r="3546" spans="8:9">
      <c r="H3546" s="1358"/>
      <c r="I3546" s="1358"/>
    </row>
    <row r="3547" spans="8:9">
      <c r="H3547" s="1358"/>
      <c r="I3547" s="1358"/>
    </row>
    <row r="3548" spans="8:9">
      <c r="H3548" s="1358"/>
      <c r="I3548" s="1358"/>
    </row>
    <row r="3549" spans="8:9">
      <c r="H3549" s="1358"/>
      <c r="I3549" s="1358"/>
    </row>
    <row r="3550" spans="8:9">
      <c r="H3550" s="1358"/>
      <c r="I3550" s="1358"/>
    </row>
    <row r="3551" spans="8:9">
      <c r="H3551" s="1358"/>
      <c r="I3551" s="1358"/>
    </row>
    <row r="3552" spans="8:9">
      <c r="H3552" s="1358"/>
      <c r="I3552" s="1358"/>
    </row>
    <row r="3553" spans="8:9">
      <c r="H3553" s="1358"/>
      <c r="I3553" s="1358"/>
    </row>
    <row r="3554" spans="8:9">
      <c r="H3554" s="1358"/>
      <c r="I3554" s="1358"/>
    </row>
    <row r="3555" spans="8:9">
      <c r="H3555" s="1358"/>
      <c r="I3555" s="1358"/>
    </row>
    <row r="3556" spans="8:9">
      <c r="H3556" s="1358"/>
      <c r="I3556" s="1358"/>
    </row>
    <row r="3557" spans="8:9">
      <c r="H3557" s="1358"/>
      <c r="I3557" s="1358"/>
    </row>
    <row r="3558" spans="8:9">
      <c r="H3558" s="1358"/>
      <c r="I3558" s="1358"/>
    </row>
    <row r="3559" spans="8:9">
      <c r="H3559" s="1358"/>
      <c r="I3559" s="1358"/>
    </row>
    <row r="3560" spans="8:9">
      <c r="H3560" s="1358"/>
      <c r="I3560" s="1358"/>
    </row>
    <row r="3561" spans="8:9">
      <c r="H3561" s="1358"/>
      <c r="I3561" s="1358"/>
    </row>
    <row r="3562" spans="8:9">
      <c r="H3562" s="1358"/>
      <c r="I3562" s="1358"/>
    </row>
    <row r="3563" spans="8:9">
      <c r="H3563" s="1358"/>
      <c r="I3563" s="1358"/>
    </row>
    <row r="3564" spans="8:9">
      <c r="H3564" s="1358"/>
      <c r="I3564" s="1358"/>
    </row>
    <row r="3565" spans="8:9">
      <c r="H3565" s="1358"/>
      <c r="I3565" s="1358"/>
    </row>
    <row r="3566" spans="8:9">
      <c r="H3566" s="1358"/>
      <c r="I3566" s="1358"/>
    </row>
    <row r="3567" spans="8:9">
      <c r="H3567" s="1358"/>
      <c r="I3567" s="1358"/>
    </row>
    <row r="3568" spans="8:9">
      <c r="H3568" s="1358"/>
      <c r="I3568" s="1358"/>
    </row>
    <row r="3569" spans="8:9">
      <c r="H3569" s="1358"/>
      <c r="I3569" s="1358"/>
    </row>
    <row r="3570" spans="8:9">
      <c r="H3570" s="1358"/>
      <c r="I3570" s="1358"/>
    </row>
    <row r="3571" spans="8:9">
      <c r="H3571" s="1358"/>
      <c r="I3571" s="1358"/>
    </row>
    <row r="3572" spans="8:9">
      <c r="H3572" s="1358"/>
      <c r="I3572" s="1358"/>
    </row>
    <row r="3573" spans="8:9">
      <c r="H3573" s="1358"/>
      <c r="I3573" s="1358"/>
    </row>
    <row r="3574" spans="8:9">
      <c r="H3574" s="1358"/>
      <c r="I3574" s="1358"/>
    </row>
    <row r="3575" spans="8:9">
      <c r="H3575" s="1358"/>
      <c r="I3575" s="1358"/>
    </row>
    <row r="3576" spans="8:9">
      <c r="H3576" s="1358"/>
      <c r="I3576" s="1358"/>
    </row>
    <row r="3577" spans="8:9">
      <c r="H3577" s="1358"/>
      <c r="I3577" s="1358"/>
    </row>
    <row r="3578" spans="8:9">
      <c r="H3578" s="1358"/>
      <c r="I3578" s="1358"/>
    </row>
    <row r="3579" spans="8:9">
      <c r="H3579" s="1358"/>
      <c r="I3579" s="1358"/>
    </row>
    <row r="3580" spans="8:9">
      <c r="H3580" s="1358"/>
      <c r="I3580" s="1358"/>
    </row>
    <row r="3581" spans="8:9">
      <c r="H3581" s="1358"/>
      <c r="I3581" s="1358"/>
    </row>
    <row r="3582" spans="8:9">
      <c r="H3582" s="1358"/>
      <c r="I3582" s="1358"/>
    </row>
    <row r="3583" spans="8:9">
      <c r="H3583" s="1358"/>
      <c r="I3583" s="1358"/>
    </row>
    <row r="3584" spans="8:9">
      <c r="H3584" s="1358"/>
      <c r="I3584" s="1358"/>
    </row>
    <row r="3585" spans="8:9">
      <c r="H3585" s="1358"/>
      <c r="I3585" s="1358"/>
    </row>
    <row r="3586" spans="8:9">
      <c r="H3586" s="1358"/>
      <c r="I3586" s="1358"/>
    </row>
    <row r="3587" spans="8:9">
      <c r="H3587" s="1358"/>
      <c r="I3587" s="1358"/>
    </row>
    <row r="3588" spans="8:9">
      <c r="H3588" s="1358"/>
      <c r="I3588" s="1358"/>
    </row>
    <row r="3589" spans="8:9">
      <c r="H3589" s="1358"/>
      <c r="I3589" s="1358"/>
    </row>
    <row r="3590" spans="8:9">
      <c r="H3590" s="1358"/>
      <c r="I3590" s="1358"/>
    </row>
    <row r="3591" spans="8:9">
      <c r="H3591" s="1358"/>
      <c r="I3591" s="1358"/>
    </row>
    <row r="3592" spans="8:9">
      <c r="H3592" s="1358"/>
      <c r="I3592" s="1358"/>
    </row>
    <row r="3593" spans="8:9">
      <c r="H3593" s="1358"/>
      <c r="I3593" s="1358"/>
    </row>
    <row r="3594" spans="8:9">
      <c r="H3594" s="1358"/>
      <c r="I3594" s="1358"/>
    </row>
    <row r="3595" spans="8:9">
      <c r="H3595" s="1358"/>
      <c r="I3595" s="1358"/>
    </row>
    <row r="3596" spans="8:9">
      <c r="H3596" s="1358"/>
      <c r="I3596" s="1358"/>
    </row>
    <row r="3597" spans="8:9">
      <c r="H3597" s="1358"/>
      <c r="I3597" s="1358"/>
    </row>
    <row r="3598" spans="8:9">
      <c r="H3598" s="1358"/>
      <c r="I3598" s="1358"/>
    </row>
    <row r="3599" spans="8:9">
      <c r="H3599" s="1358"/>
      <c r="I3599" s="1358"/>
    </row>
    <row r="3600" spans="8:9">
      <c r="H3600" s="1358"/>
      <c r="I3600" s="1358"/>
    </row>
    <row r="3601" spans="8:9">
      <c r="H3601" s="1358"/>
      <c r="I3601" s="1358"/>
    </row>
    <row r="3602" spans="8:9">
      <c r="H3602" s="1358"/>
      <c r="I3602" s="1358"/>
    </row>
    <row r="3603" spans="8:9">
      <c r="H3603" s="1358"/>
      <c r="I3603" s="1358"/>
    </row>
    <row r="3604" spans="8:9">
      <c r="H3604" s="1358"/>
      <c r="I3604" s="1358"/>
    </row>
    <row r="3605" spans="8:9">
      <c r="H3605" s="1358"/>
      <c r="I3605" s="1358"/>
    </row>
    <row r="3606" spans="8:9">
      <c r="H3606" s="1358"/>
      <c r="I3606" s="1358"/>
    </row>
    <row r="3607" spans="8:9">
      <c r="H3607" s="1358"/>
      <c r="I3607" s="1358"/>
    </row>
    <row r="3608" spans="8:9">
      <c r="H3608" s="1358"/>
      <c r="I3608" s="1358"/>
    </row>
    <row r="3609" spans="8:9">
      <c r="H3609" s="1358"/>
      <c r="I3609" s="1358"/>
    </row>
    <row r="3610" spans="8:9">
      <c r="H3610" s="1358"/>
      <c r="I3610" s="1358"/>
    </row>
    <row r="3611" spans="8:9">
      <c r="H3611" s="1358"/>
      <c r="I3611" s="1358"/>
    </row>
    <row r="3612" spans="8:9">
      <c r="H3612" s="1358"/>
      <c r="I3612" s="1358"/>
    </row>
    <row r="3613" spans="8:9">
      <c r="H3613" s="1358"/>
      <c r="I3613" s="1358"/>
    </row>
    <row r="3614" spans="8:9">
      <c r="H3614" s="1358"/>
      <c r="I3614" s="1358"/>
    </row>
    <row r="3615" spans="8:9">
      <c r="H3615" s="1358"/>
      <c r="I3615" s="1358"/>
    </row>
    <row r="3616" spans="8:9">
      <c r="H3616" s="1358"/>
      <c r="I3616" s="1358"/>
    </row>
    <row r="3617" spans="8:9">
      <c r="H3617" s="1358"/>
      <c r="I3617" s="1358"/>
    </row>
    <row r="3618" spans="8:9">
      <c r="H3618" s="1358"/>
      <c r="I3618" s="1358"/>
    </row>
    <row r="3619" spans="8:9">
      <c r="H3619" s="1358"/>
      <c r="I3619" s="1358"/>
    </row>
    <row r="3620" spans="8:9">
      <c r="H3620" s="1358"/>
      <c r="I3620" s="1358"/>
    </row>
    <row r="3621" spans="8:9">
      <c r="H3621" s="1358"/>
      <c r="I3621" s="1358"/>
    </row>
    <row r="3622" spans="8:9">
      <c r="H3622" s="1358"/>
      <c r="I3622" s="1358"/>
    </row>
    <row r="3623" spans="8:9">
      <c r="H3623" s="1358"/>
      <c r="I3623" s="1358"/>
    </row>
    <row r="3624" spans="8:9">
      <c r="H3624" s="1358"/>
      <c r="I3624" s="1358"/>
    </row>
    <row r="3625" spans="8:9">
      <c r="H3625" s="1358"/>
      <c r="I3625" s="1358"/>
    </row>
    <row r="3626" spans="8:9">
      <c r="H3626" s="1358"/>
      <c r="I3626" s="1358"/>
    </row>
    <row r="3627" spans="8:9">
      <c r="H3627" s="1358"/>
      <c r="I3627" s="1358"/>
    </row>
    <row r="3628" spans="8:9">
      <c r="H3628" s="1358"/>
      <c r="I3628" s="1358"/>
    </row>
    <row r="3629" spans="8:9">
      <c r="H3629" s="1358"/>
      <c r="I3629" s="1358"/>
    </row>
    <row r="3630" spans="8:9">
      <c r="H3630" s="1358"/>
      <c r="I3630" s="1358"/>
    </row>
    <row r="3631" spans="8:9">
      <c r="H3631" s="1358"/>
      <c r="I3631" s="1358"/>
    </row>
    <row r="3632" spans="8:9">
      <c r="H3632" s="1358"/>
      <c r="I3632" s="1358"/>
    </row>
    <row r="3633" spans="8:9">
      <c r="H3633" s="1358"/>
      <c r="I3633" s="1358"/>
    </row>
    <row r="3634" spans="8:9">
      <c r="H3634" s="1358"/>
      <c r="I3634" s="1358"/>
    </row>
    <row r="3635" spans="8:9">
      <c r="H3635" s="1358"/>
      <c r="I3635" s="1358"/>
    </row>
    <row r="3636" spans="8:9">
      <c r="H3636" s="1358"/>
      <c r="I3636" s="1358"/>
    </row>
    <row r="3637" spans="8:9">
      <c r="H3637" s="1358"/>
      <c r="I3637" s="1358"/>
    </row>
    <row r="3638" spans="8:9">
      <c r="H3638" s="1358"/>
      <c r="I3638" s="1358"/>
    </row>
    <row r="3639" spans="8:9">
      <c r="H3639" s="1358"/>
      <c r="I3639" s="1358"/>
    </row>
    <row r="3640" spans="8:9">
      <c r="H3640" s="1358"/>
      <c r="I3640" s="1358"/>
    </row>
    <row r="3641" spans="8:9">
      <c r="H3641" s="1358"/>
      <c r="I3641" s="1358"/>
    </row>
    <row r="3642" spans="8:9">
      <c r="H3642" s="1358"/>
      <c r="I3642" s="1358"/>
    </row>
    <row r="3643" spans="8:9">
      <c r="H3643" s="1358"/>
      <c r="I3643" s="1358"/>
    </row>
    <row r="3644" spans="8:9">
      <c r="H3644" s="1358"/>
      <c r="I3644" s="1358"/>
    </row>
    <row r="3645" spans="8:9">
      <c r="H3645" s="1358"/>
      <c r="I3645" s="1358"/>
    </row>
    <row r="3646" spans="8:9">
      <c r="H3646" s="1358"/>
      <c r="I3646" s="1358"/>
    </row>
    <row r="3647" spans="8:9">
      <c r="H3647" s="1358"/>
      <c r="I3647" s="1358"/>
    </row>
    <row r="3648" spans="8:9">
      <c r="H3648" s="1358"/>
      <c r="I3648" s="1358"/>
    </row>
    <row r="3649" spans="8:9">
      <c r="H3649" s="1358"/>
      <c r="I3649" s="1358"/>
    </row>
    <row r="3650" spans="8:9">
      <c r="H3650" s="1358"/>
      <c r="I3650" s="1358"/>
    </row>
    <row r="3651" spans="8:9">
      <c r="H3651" s="1358"/>
      <c r="I3651" s="1358"/>
    </row>
    <row r="3652" spans="8:9">
      <c r="H3652" s="1358"/>
      <c r="I3652" s="1358"/>
    </row>
    <row r="3653" spans="8:9">
      <c r="H3653" s="1358"/>
      <c r="I3653" s="1358"/>
    </row>
    <row r="3654" spans="8:9">
      <c r="H3654" s="1358"/>
      <c r="I3654" s="1358"/>
    </row>
    <row r="3655" spans="8:9">
      <c r="H3655" s="1358"/>
      <c r="I3655" s="1358"/>
    </row>
    <row r="3656" spans="8:9">
      <c r="H3656" s="1358"/>
      <c r="I3656" s="1358"/>
    </row>
    <row r="3657" spans="8:9">
      <c r="H3657" s="1358"/>
      <c r="I3657" s="1358"/>
    </row>
    <row r="3658" spans="8:9">
      <c r="H3658" s="1358"/>
      <c r="I3658" s="1358"/>
    </row>
    <row r="3659" spans="8:9">
      <c r="H3659" s="1358"/>
      <c r="I3659" s="1358"/>
    </row>
    <row r="3660" spans="8:9">
      <c r="H3660" s="1358"/>
      <c r="I3660" s="1358"/>
    </row>
    <row r="3661" spans="8:9">
      <c r="H3661" s="1358"/>
      <c r="I3661" s="1358"/>
    </row>
    <row r="3662" spans="8:9">
      <c r="H3662" s="1358"/>
      <c r="I3662" s="1358"/>
    </row>
    <row r="3663" spans="8:9">
      <c r="H3663" s="1358"/>
      <c r="I3663" s="1358"/>
    </row>
    <row r="3664" spans="8:9">
      <c r="H3664" s="1358"/>
      <c r="I3664" s="1358"/>
    </row>
    <row r="3665" spans="8:9">
      <c r="H3665" s="1358"/>
      <c r="I3665" s="1358"/>
    </row>
    <row r="3666" spans="8:9">
      <c r="H3666" s="1358"/>
      <c r="I3666" s="1358"/>
    </row>
    <row r="3667" spans="8:9">
      <c r="H3667" s="1358"/>
      <c r="I3667" s="1358"/>
    </row>
    <row r="3668" spans="8:9">
      <c r="H3668" s="1358"/>
      <c r="I3668" s="1358"/>
    </row>
    <row r="3669" spans="8:9">
      <c r="H3669" s="1358"/>
      <c r="I3669" s="1358"/>
    </row>
    <row r="3670" spans="8:9">
      <c r="H3670" s="1358"/>
      <c r="I3670" s="1358"/>
    </row>
    <row r="3671" spans="8:9">
      <c r="H3671" s="1358"/>
      <c r="I3671" s="1358"/>
    </row>
    <row r="3672" spans="8:9">
      <c r="H3672" s="1358"/>
      <c r="I3672" s="1358"/>
    </row>
    <row r="3673" spans="8:9">
      <c r="H3673" s="1358"/>
      <c r="I3673" s="1358"/>
    </row>
    <row r="3674" spans="8:9">
      <c r="H3674" s="1358"/>
      <c r="I3674" s="1358"/>
    </row>
    <row r="3675" spans="8:9">
      <c r="H3675" s="1358"/>
      <c r="I3675" s="1358"/>
    </row>
    <row r="3676" spans="8:9">
      <c r="H3676" s="1358"/>
      <c r="I3676" s="1358"/>
    </row>
    <row r="3677" spans="8:9">
      <c r="H3677" s="1358"/>
      <c r="I3677" s="1358"/>
    </row>
    <row r="3678" spans="8:9">
      <c r="H3678" s="1358"/>
      <c r="I3678" s="1358"/>
    </row>
    <row r="3679" spans="8:9">
      <c r="H3679" s="1358"/>
      <c r="I3679" s="1358"/>
    </row>
    <row r="3680" spans="8:9">
      <c r="H3680" s="1358"/>
      <c r="I3680" s="1358"/>
    </row>
    <row r="3681" spans="8:9">
      <c r="H3681" s="1358"/>
      <c r="I3681" s="1358"/>
    </row>
    <row r="3682" spans="8:9">
      <c r="H3682" s="1358"/>
      <c r="I3682" s="1358"/>
    </row>
    <row r="3683" spans="8:9">
      <c r="H3683" s="1358"/>
      <c r="I3683" s="1358"/>
    </row>
    <row r="3684" spans="8:9">
      <c r="H3684" s="1358"/>
      <c r="I3684" s="1358"/>
    </row>
    <row r="3685" spans="8:9">
      <c r="H3685" s="1358"/>
      <c r="I3685" s="1358"/>
    </row>
    <row r="3686" spans="8:9">
      <c r="H3686" s="1358"/>
      <c r="I3686" s="1358"/>
    </row>
    <row r="3687" spans="8:9">
      <c r="H3687" s="1358"/>
      <c r="I3687" s="1358"/>
    </row>
    <row r="3688" spans="8:9">
      <c r="H3688" s="1358"/>
      <c r="I3688" s="1358"/>
    </row>
    <row r="3689" spans="8:9">
      <c r="H3689" s="1358"/>
      <c r="I3689" s="1358"/>
    </row>
    <row r="3690" spans="8:9">
      <c r="H3690" s="1358"/>
      <c r="I3690" s="1358"/>
    </row>
    <row r="3691" spans="8:9">
      <c r="H3691" s="1358"/>
      <c r="I3691" s="1358"/>
    </row>
    <row r="3692" spans="8:9">
      <c r="H3692" s="1358"/>
      <c r="I3692" s="1358"/>
    </row>
    <row r="3693" spans="8:9">
      <c r="H3693" s="1358"/>
      <c r="I3693" s="1358"/>
    </row>
    <row r="3694" spans="8:9">
      <c r="H3694" s="1358"/>
      <c r="I3694" s="1358"/>
    </row>
    <row r="3695" spans="8:9">
      <c r="H3695" s="1358"/>
      <c r="I3695" s="1358"/>
    </row>
    <row r="3696" spans="8:9">
      <c r="H3696" s="1358"/>
      <c r="I3696" s="1358"/>
    </row>
    <row r="3697" spans="8:9">
      <c r="H3697" s="1358"/>
      <c r="I3697" s="1358"/>
    </row>
    <row r="3698" spans="8:9">
      <c r="H3698" s="1358"/>
      <c r="I3698" s="1358"/>
    </row>
    <row r="3699" spans="8:9">
      <c r="H3699" s="1358"/>
      <c r="I3699" s="1358"/>
    </row>
    <row r="3700" spans="8:9">
      <c r="H3700" s="1358"/>
      <c r="I3700" s="1358"/>
    </row>
    <row r="3701" spans="8:9">
      <c r="H3701" s="1358"/>
      <c r="I3701" s="1358"/>
    </row>
    <row r="3702" spans="8:9">
      <c r="H3702" s="1358"/>
      <c r="I3702" s="1358"/>
    </row>
    <row r="3703" spans="8:9">
      <c r="H3703" s="1358"/>
      <c r="I3703" s="1358"/>
    </row>
    <row r="3704" spans="8:9">
      <c r="H3704" s="1358"/>
      <c r="I3704" s="1358"/>
    </row>
    <row r="3705" spans="8:9">
      <c r="H3705" s="1358"/>
      <c r="I3705" s="1358"/>
    </row>
    <row r="3706" spans="8:9">
      <c r="H3706" s="1358"/>
      <c r="I3706" s="1358"/>
    </row>
    <row r="3707" spans="8:9">
      <c r="H3707" s="1358"/>
      <c r="I3707" s="1358"/>
    </row>
    <row r="3708" spans="8:9">
      <c r="H3708" s="1358"/>
      <c r="I3708" s="1358"/>
    </row>
    <row r="3709" spans="8:9">
      <c r="H3709" s="1358"/>
      <c r="I3709" s="1358"/>
    </row>
    <row r="3710" spans="8:9">
      <c r="H3710" s="1358"/>
      <c r="I3710" s="1358"/>
    </row>
    <row r="3711" spans="8:9">
      <c r="H3711" s="1358"/>
      <c r="I3711" s="1358"/>
    </row>
    <row r="3712" spans="8:9">
      <c r="H3712" s="1358"/>
      <c r="I3712" s="1358"/>
    </row>
    <row r="3713" spans="8:9">
      <c r="H3713" s="1358"/>
      <c r="I3713" s="1358"/>
    </row>
    <row r="3714" spans="8:9">
      <c r="H3714" s="1358"/>
      <c r="I3714" s="1358"/>
    </row>
    <row r="3715" spans="8:9">
      <c r="H3715" s="1358"/>
      <c r="I3715" s="1358"/>
    </row>
    <row r="3716" spans="8:9">
      <c r="H3716" s="1358"/>
      <c r="I3716" s="1358"/>
    </row>
    <row r="3717" spans="8:9">
      <c r="H3717" s="1358"/>
      <c r="I3717" s="1358"/>
    </row>
    <row r="3718" spans="8:9">
      <c r="H3718" s="1358"/>
      <c r="I3718" s="1358"/>
    </row>
    <row r="3719" spans="8:9">
      <c r="H3719" s="1358"/>
      <c r="I3719" s="1358"/>
    </row>
    <row r="3720" spans="8:9">
      <c r="H3720" s="1358"/>
      <c r="I3720" s="1358"/>
    </row>
    <row r="3721" spans="8:9">
      <c r="H3721" s="1358"/>
      <c r="I3721" s="1358"/>
    </row>
    <row r="3722" spans="8:9">
      <c r="H3722" s="1358"/>
      <c r="I3722" s="1358"/>
    </row>
    <row r="3723" spans="8:9">
      <c r="H3723" s="1358"/>
      <c r="I3723" s="1358"/>
    </row>
    <row r="3724" spans="8:9">
      <c r="H3724" s="1358"/>
      <c r="I3724" s="1358"/>
    </row>
    <row r="3725" spans="8:9">
      <c r="H3725" s="1358"/>
      <c r="I3725" s="1358"/>
    </row>
    <row r="3726" spans="8:9">
      <c r="H3726" s="1358"/>
      <c r="I3726" s="1358"/>
    </row>
    <row r="3727" spans="8:9">
      <c r="H3727" s="1358"/>
      <c r="I3727" s="1358"/>
    </row>
    <row r="3728" spans="8:9">
      <c r="H3728" s="1358"/>
      <c r="I3728" s="1358"/>
    </row>
    <row r="3729" spans="8:9">
      <c r="H3729" s="1358"/>
      <c r="I3729" s="1358"/>
    </row>
    <row r="3730" spans="8:9">
      <c r="H3730" s="1358"/>
      <c r="I3730" s="1358"/>
    </row>
    <row r="3731" spans="8:9">
      <c r="H3731" s="1358"/>
      <c r="I3731" s="1358"/>
    </row>
    <row r="3732" spans="8:9">
      <c r="H3732" s="1358"/>
      <c r="I3732" s="1358"/>
    </row>
    <row r="3733" spans="8:9">
      <c r="H3733" s="1358"/>
      <c r="I3733" s="1358"/>
    </row>
    <row r="3734" spans="8:9">
      <c r="H3734" s="1358"/>
      <c r="I3734" s="1358"/>
    </row>
    <row r="3735" spans="8:9">
      <c r="H3735" s="1358"/>
      <c r="I3735" s="1358"/>
    </row>
    <row r="3736" spans="8:9">
      <c r="H3736" s="1358"/>
      <c r="I3736" s="1358"/>
    </row>
    <row r="3737" spans="8:9">
      <c r="H3737" s="1358"/>
      <c r="I3737" s="1358"/>
    </row>
    <row r="3738" spans="8:9">
      <c r="H3738" s="1358"/>
      <c r="I3738" s="1358"/>
    </row>
    <row r="3739" spans="8:9">
      <c r="H3739" s="1358"/>
      <c r="I3739" s="1358"/>
    </row>
    <row r="3740" spans="8:9">
      <c r="H3740" s="1358"/>
      <c r="I3740" s="1358"/>
    </row>
    <row r="3741" spans="8:9">
      <c r="H3741" s="1358"/>
      <c r="I3741" s="1358"/>
    </row>
    <row r="3742" spans="8:9">
      <c r="H3742" s="1358"/>
      <c r="I3742" s="1358"/>
    </row>
    <row r="3743" spans="8:9">
      <c r="H3743" s="1358"/>
      <c r="I3743" s="1358"/>
    </row>
    <row r="3744" spans="8:9">
      <c r="H3744" s="1358"/>
      <c r="I3744" s="1358"/>
    </row>
    <row r="3745" spans="8:9">
      <c r="H3745" s="1358"/>
      <c r="I3745" s="1358"/>
    </row>
    <row r="3746" spans="8:9">
      <c r="H3746" s="1358"/>
      <c r="I3746" s="1358"/>
    </row>
    <row r="3747" spans="8:9">
      <c r="H3747" s="1358"/>
      <c r="I3747" s="1358"/>
    </row>
    <row r="3748" spans="8:9">
      <c r="H3748" s="1358"/>
      <c r="I3748" s="1358"/>
    </row>
    <row r="3749" spans="8:9">
      <c r="H3749" s="1358"/>
      <c r="I3749" s="1358"/>
    </row>
    <row r="3750" spans="8:9">
      <c r="H3750" s="1358"/>
      <c r="I3750" s="1358"/>
    </row>
    <row r="3751" spans="8:9">
      <c r="H3751" s="1358"/>
      <c r="I3751" s="1358"/>
    </row>
    <row r="3752" spans="8:9">
      <c r="H3752" s="1358"/>
      <c r="I3752" s="1358"/>
    </row>
    <row r="3753" spans="8:9">
      <c r="H3753" s="1358"/>
      <c r="I3753" s="1358"/>
    </row>
    <row r="3754" spans="8:9">
      <c r="H3754" s="1358"/>
      <c r="I3754" s="1358"/>
    </row>
    <row r="3755" spans="8:9">
      <c r="H3755" s="1358"/>
      <c r="I3755" s="1358"/>
    </row>
    <row r="3756" spans="8:9">
      <c r="H3756" s="1358"/>
      <c r="I3756" s="1358"/>
    </row>
    <row r="3757" spans="8:9">
      <c r="H3757" s="1358"/>
      <c r="I3757" s="1358"/>
    </row>
    <row r="3758" spans="8:9">
      <c r="H3758" s="1358"/>
      <c r="I3758" s="1358"/>
    </row>
    <row r="3759" spans="8:9">
      <c r="H3759" s="1358"/>
      <c r="I3759" s="1358"/>
    </row>
    <row r="3760" spans="8:9">
      <c r="H3760" s="1358"/>
      <c r="I3760" s="1358"/>
    </row>
    <row r="3761" spans="8:9">
      <c r="H3761" s="1358"/>
      <c r="I3761" s="1358"/>
    </row>
    <row r="3762" spans="8:9">
      <c r="H3762" s="1358"/>
      <c r="I3762" s="1358"/>
    </row>
    <row r="3763" spans="8:9">
      <c r="H3763" s="1358"/>
      <c r="I3763" s="1358"/>
    </row>
    <row r="3764" spans="8:9">
      <c r="H3764" s="1358"/>
      <c r="I3764" s="1358"/>
    </row>
    <row r="3765" spans="8:9">
      <c r="H3765" s="1358"/>
      <c r="I3765" s="1358"/>
    </row>
    <row r="3766" spans="8:9">
      <c r="H3766" s="1358"/>
      <c r="I3766" s="1358"/>
    </row>
    <row r="3767" spans="8:9">
      <c r="H3767" s="1358"/>
      <c r="I3767" s="1358"/>
    </row>
    <row r="3768" spans="8:9">
      <c r="H3768" s="1358"/>
      <c r="I3768" s="1358"/>
    </row>
    <row r="3769" spans="8:9">
      <c r="H3769" s="1358"/>
      <c r="I3769" s="1358"/>
    </row>
    <row r="3770" spans="8:9">
      <c r="H3770" s="1358"/>
      <c r="I3770" s="1358"/>
    </row>
    <row r="3771" spans="8:9">
      <c r="H3771" s="1358"/>
      <c r="I3771" s="1358"/>
    </row>
    <row r="3772" spans="8:9">
      <c r="H3772" s="1358"/>
      <c r="I3772" s="1358"/>
    </row>
    <row r="3773" spans="8:9">
      <c r="H3773" s="1358"/>
      <c r="I3773" s="1358"/>
    </row>
    <row r="3774" spans="8:9">
      <c r="H3774" s="1358"/>
      <c r="I3774" s="1358"/>
    </row>
    <row r="3775" spans="8:9">
      <c r="H3775" s="1358"/>
      <c r="I3775" s="1358"/>
    </row>
    <row r="3776" spans="8:9">
      <c r="H3776" s="1358"/>
      <c r="I3776" s="1358"/>
    </row>
    <row r="3777" spans="8:9">
      <c r="H3777" s="1358"/>
      <c r="I3777" s="1358"/>
    </row>
    <row r="3778" spans="8:9">
      <c r="H3778" s="1358"/>
      <c r="I3778" s="1358"/>
    </row>
    <row r="3779" spans="8:9">
      <c r="H3779" s="1358"/>
      <c r="I3779" s="1358"/>
    </row>
    <row r="3780" spans="8:9">
      <c r="H3780" s="1358"/>
      <c r="I3780" s="1358"/>
    </row>
    <row r="3781" spans="8:9">
      <c r="H3781" s="1358"/>
      <c r="I3781" s="1358"/>
    </row>
    <row r="3782" spans="8:9">
      <c r="H3782" s="1358"/>
      <c r="I3782" s="1358"/>
    </row>
    <row r="3783" spans="8:9">
      <c r="H3783" s="1358"/>
      <c r="I3783" s="1358"/>
    </row>
    <row r="3784" spans="8:9">
      <c r="H3784" s="1358"/>
      <c r="I3784" s="1358"/>
    </row>
    <row r="3785" spans="8:9">
      <c r="H3785" s="1358"/>
      <c r="I3785" s="1358"/>
    </row>
    <row r="3786" spans="8:9">
      <c r="H3786" s="1358"/>
      <c r="I3786" s="1358"/>
    </row>
    <row r="3787" spans="8:9">
      <c r="H3787" s="1358"/>
      <c r="I3787" s="1358"/>
    </row>
    <row r="3788" spans="8:9">
      <c r="H3788" s="1358"/>
      <c r="I3788" s="1358"/>
    </row>
    <row r="3789" spans="8:9">
      <c r="H3789" s="1358"/>
      <c r="I3789" s="1358"/>
    </row>
    <row r="3790" spans="8:9">
      <c r="H3790" s="1358"/>
      <c r="I3790" s="1358"/>
    </row>
    <row r="3791" spans="8:9">
      <c r="H3791" s="1358"/>
      <c r="I3791" s="1358"/>
    </row>
    <row r="3792" spans="8:9">
      <c r="H3792" s="1358"/>
      <c r="I3792" s="1358"/>
    </row>
    <row r="3793" spans="8:9">
      <c r="H3793" s="1358"/>
      <c r="I3793" s="1358"/>
    </row>
    <row r="3794" spans="8:9">
      <c r="H3794" s="1358"/>
      <c r="I3794" s="1358"/>
    </row>
    <row r="3795" spans="8:9">
      <c r="H3795" s="1358"/>
      <c r="I3795" s="1358"/>
    </row>
    <row r="3796" spans="8:9">
      <c r="H3796" s="1358"/>
      <c r="I3796" s="1358"/>
    </row>
    <row r="3797" spans="8:9">
      <c r="H3797" s="1358"/>
      <c r="I3797" s="1358"/>
    </row>
    <row r="3798" spans="8:9">
      <c r="H3798" s="1358"/>
      <c r="I3798" s="1358"/>
    </row>
    <row r="3799" spans="8:9">
      <c r="H3799" s="1358"/>
      <c r="I3799" s="1358"/>
    </row>
    <row r="3800" spans="8:9">
      <c r="H3800" s="1358"/>
      <c r="I3800" s="1358"/>
    </row>
    <row r="3801" spans="8:9">
      <c r="H3801" s="1358"/>
      <c r="I3801" s="1358"/>
    </row>
    <row r="3802" spans="8:9">
      <c r="H3802" s="1358"/>
      <c r="I3802" s="1358"/>
    </row>
    <row r="3803" spans="8:9">
      <c r="H3803" s="1358"/>
      <c r="I3803" s="1358"/>
    </row>
    <row r="3804" spans="8:9">
      <c r="H3804" s="1358"/>
      <c r="I3804" s="1358"/>
    </row>
    <row r="3805" spans="8:9">
      <c r="H3805" s="1358"/>
      <c r="I3805" s="1358"/>
    </row>
    <row r="3806" spans="8:9">
      <c r="H3806" s="1358"/>
      <c r="I3806" s="1358"/>
    </row>
    <row r="3807" spans="8:9">
      <c r="H3807" s="1358"/>
      <c r="I3807" s="1358"/>
    </row>
    <row r="3808" spans="8:9">
      <c r="H3808" s="1358"/>
      <c r="I3808" s="1358"/>
    </row>
    <row r="3809" spans="8:9">
      <c r="H3809" s="1358"/>
      <c r="I3809" s="1358"/>
    </row>
    <row r="3810" spans="8:9">
      <c r="H3810" s="1358"/>
      <c r="I3810" s="1358"/>
    </row>
    <row r="3811" spans="8:9">
      <c r="H3811" s="1358"/>
      <c r="I3811" s="1358"/>
    </row>
    <row r="3812" spans="8:9">
      <c r="H3812" s="1358"/>
      <c r="I3812" s="1358"/>
    </row>
    <row r="3813" spans="8:9">
      <c r="H3813" s="1358"/>
      <c r="I3813" s="1358"/>
    </row>
    <row r="3814" spans="8:9">
      <c r="H3814" s="1358"/>
      <c r="I3814" s="1358"/>
    </row>
    <row r="3815" spans="8:9">
      <c r="H3815" s="1358"/>
      <c r="I3815" s="1358"/>
    </row>
    <row r="3816" spans="8:9">
      <c r="H3816" s="1358"/>
      <c r="I3816" s="1358"/>
    </row>
    <row r="3817" spans="8:9">
      <c r="H3817" s="1358"/>
      <c r="I3817" s="1358"/>
    </row>
    <row r="3818" spans="8:9">
      <c r="H3818" s="1358"/>
      <c r="I3818" s="1358"/>
    </row>
    <row r="3819" spans="8:9">
      <c r="H3819" s="1358"/>
      <c r="I3819" s="1358"/>
    </row>
    <row r="3820" spans="8:9">
      <c r="H3820" s="1358"/>
      <c r="I3820" s="1358"/>
    </row>
    <row r="3821" spans="8:9">
      <c r="H3821" s="1358"/>
      <c r="I3821" s="1358"/>
    </row>
    <row r="3822" spans="8:9">
      <c r="H3822" s="1358"/>
      <c r="I3822" s="1358"/>
    </row>
    <row r="3823" spans="8:9">
      <c r="H3823" s="1358"/>
      <c r="I3823" s="1358"/>
    </row>
    <row r="3824" spans="8:9">
      <c r="H3824" s="1358"/>
      <c r="I3824" s="1358"/>
    </row>
    <row r="3825" spans="8:9">
      <c r="H3825" s="1358"/>
      <c r="I3825" s="1358"/>
    </row>
    <row r="3826" spans="8:9">
      <c r="H3826" s="1358"/>
      <c r="I3826" s="1358"/>
    </row>
    <row r="3827" spans="8:9">
      <c r="H3827" s="1358"/>
      <c r="I3827" s="1358"/>
    </row>
    <row r="3828" spans="8:9">
      <c r="H3828" s="1358"/>
      <c r="I3828" s="1358"/>
    </row>
    <row r="3829" spans="8:9">
      <c r="H3829" s="1358"/>
      <c r="I3829" s="1358"/>
    </row>
    <row r="3830" spans="8:9">
      <c r="H3830" s="1358"/>
      <c r="I3830" s="1358"/>
    </row>
    <row r="3831" spans="8:9">
      <c r="H3831" s="1358"/>
      <c r="I3831" s="1358"/>
    </row>
    <row r="3832" spans="8:9">
      <c r="H3832" s="1358"/>
      <c r="I3832" s="1358"/>
    </row>
    <row r="3833" spans="8:9">
      <c r="H3833" s="1358"/>
      <c r="I3833" s="1358"/>
    </row>
    <row r="3834" spans="8:9">
      <c r="H3834" s="1358"/>
      <c r="I3834" s="1358"/>
    </row>
    <row r="3835" spans="8:9">
      <c r="H3835" s="1358"/>
      <c r="I3835" s="1358"/>
    </row>
    <row r="3836" spans="8:9">
      <c r="H3836" s="1358"/>
      <c r="I3836" s="1358"/>
    </row>
    <row r="3837" spans="8:9">
      <c r="H3837" s="1358"/>
      <c r="I3837" s="1358"/>
    </row>
    <row r="3838" spans="8:9">
      <c r="H3838" s="1358"/>
      <c r="I3838" s="1358"/>
    </row>
    <row r="3839" spans="8:9">
      <c r="H3839" s="1358"/>
      <c r="I3839" s="1358"/>
    </row>
    <row r="3840" spans="8:9">
      <c r="H3840" s="1358"/>
      <c r="I3840" s="1358"/>
    </row>
    <row r="3841" spans="8:9">
      <c r="H3841" s="1358"/>
      <c r="I3841" s="1358"/>
    </row>
    <row r="3842" spans="8:9">
      <c r="H3842" s="1358"/>
      <c r="I3842" s="1358"/>
    </row>
    <row r="3843" spans="8:9">
      <c r="H3843" s="1358"/>
      <c r="I3843" s="1358"/>
    </row>
    <row r="3844" spans="8:9">
      <c r="H3844" s="1358"/>
      <c r="I3844" s="1358"/>
    </row>
    <row r="3845" spans="8:9">
      <c r="H3845" s="1358"/>
      <c r="I3845" s="1358"/>
    </row>
    <row r="3846" spans="8:9">
      <c r="H3846" s="1358"/>
      <c r="I3846" s="1358"/>
    </row>
    <row r="3847" spans="8:9">
      <c r="H3847" s="1358"/>
      <c r="I3847" s="1358"/>
    </row>
    <row r="3848" spans="8:9">
      <c r="H3848" s="1358"/>
      <c r="I3848" s="1358"/>
    </row>
    <row r="3849" spans="8:9">
      <c r="H3849" s="1358"/>
      <c r="I3849" s="1358"/>
    </row>
    <row r="3850" spans="8:9">
      <c r="H3850" s="1358"/>
      <c r="I3850" s="1358"/>
    </row>
    <row r="3851" spans="8:9">
      <c r="H3851" s="1358"/>
      <c r="I3851" s="1358"/>
    </row>
    <row r="3852" spans="8:9">
      <c r="H3852" s="1358"/>
      <c r="I3852" s="1358"/>
    </row>
    <row r="3853" spans="8:9">
      <c r="H3853" s="1358"/>
      <c r="I3853" s="1358"/>
    </row>
    <row r="3854" spans="8:9">
      <c r="H3854" s="1358"/>
      <c r="I3854" s="1358"/>
    </row>
    <row r="3855" spans="8:9">
      <c r="H3855" s="1358"/>
      <c r="I3855" s="1358"/>
    </row>
    <row r="3856" spans="8:9">
      <c r="H3856" s="1358"/>
      <c r="I3856" s="1358"/>
    </row>
    <row r="3857" spans="8:9">
      <c r="H3857" s="1358"/>
      <c r="I3857" s="1358"/>
    </row>
    <row r="3858" spans="8:9">
      <c r="H3858" s="1358"/>
      <c r="I3858" s="1358"/>
    </row>
    <row r="3859" spans="8:9">
      <c r="H3859" s="1358"/>
      <c r="I3859" s="1358"/>
    </row>
    <row r="3860" spans="8:9">
      <c r="H3860" s="1358"/>
      <c r="I3860" s="1358"/>
    </row>
    <row r="3861" spans="8:9">
      <c r="H3861" s="1358"/>
      <c r="I3861" s="1358"/>
    </row>
    <row r="3862" spans="8:9">
      <c r="H3862" s="1358"/>
      <c r="I3862" s="1358"/>
    </row>
    <row r="3863" spans="8:9">
      <c r="H3863" s="1358"/>
      <c r="I3863" s="1358"/>
    </row>
    <row r="3864" spans="8:9">
      <c r="H3864" s="1358"/>
      <c r="I3864" s="1358"/>
    </row>
    <row r="3865" spans="8:9">
      <c r="H3865" s="1358"/>
      <c r="I3865" s="1358"/>
    </row>
    <row r="3866" spans="8:9">
      <c r="H3866" s="1358"/>
      <c r="I3866" s="1358"/>
    </row>
    <row r="3867" spans="8:9">
      <c r="H3867" s="1358"/>
      <c r="I3867" s="1358"/>
    </row>
    <row r="3868" spans="8:9">
      <c r="H3868" s="1358"/>
      <c r="I3868" s="1358"/>
    </row>
    <row r="3869" spans="8:9">
      <c r="H3869" s="1358"/>
      <c r="I3869" s="1358"/>
    </row>
    <row r="3870" spans="8:9">
      <c r="H3870" s="1358"/>
      <c r="I3870" s="1358"/>
    </row>
    <row r="3871" spans="8:9">
      <c r="H3871" s="1358"/>
      <c r="I3871" s="1358"/>
    </row>
    <row r="3872" spans="8:9">
      <c r="H3872" s="1358"/>
      <c r="I3872" s="1358"/>
    </row>
    <row r="3873" spans="8:9">
      <c r="H3873" s="1358"/>
      <c r="I3873" s="1358"/>
    </row>
    <row r="3874" spans="8:9">
      <c r="H3874" s="1358"/>
      <c r="I3874" s="1358"/>
    </row>
    <row r="3875" spans="8:9">
      <c r="H3875" s="1358"/>
      <c r="I3875" s="1358"/>
    </row>
    <row r="3876" spans="8:9">
      <c r="H3876" s="1358"/>
      <c r="I3876" s="1358"/>
    </row>
    <row r="3877" spans="8:9">
      <c r="H3877" s="1358"/>
      <c r="I3877" s="1358"/>
    </row>
    <row r="3878" spans="8:9">
      <c r="H3878" s="1358"/>
      <c r="I3878" s="1358"/>
    </row>
    <row r="3879" spans="8:9">
      <c r="H3879" s="1358"/>
      <c r="I3879" s="1358"/>
    </row>
    <row r="3880" spans="8:9">
      <c r="H3880" s="1358"/>
      <c r="I3880" s="1358"/>
    </row>
    <row r="3881" spans="8:9">
      <c r="H3881" s="1358"/>
      <c r="I3881" s="1358"/>
    </row>
    <row r="3882" spans="8:9">
      <c r="H3882" s="1358"/>
      <c r="I3882" s="1358"/>
    </row>
    <row r="3883" spans="8:9">
      <c r="H3883" s="1358"/>
      <c r="I3883" s="1358"/>
    </row>
    <row r="3884" spans="8:9">
      <c r="H3884" s="1358"/>
      <c r="I3884" s="1358"/>
    </row>
    <row r="3885" spans="8:9">
      <c r="H3885" s="1358"/>
      <c r="I3885" s="1358"/>
    </row>
    <row r="3886" spans="8:9">
      <c r="H3886" s="1358"/>
      <c r="I3886" s="1358"/>
    </row>
    <row r="3887" spans="8:9">
      <c r="H3887" s="1358"/>
      <c r="I3887" s="1358"/>
    </row>
    <row r="3888" spans="8:9">
      <c r="H3888" s="1358"/>
      <c r="I3888" s="1358"/>
    </row>
    <row r="3889" spans="8:9">
      <c r="H3889" s="1358"/>
      <c r="I3889" s="1358"/>
    </row>
    <row r="3890" spans="8:9">
      <c r="H3890" s="1358"/>
      <c r="I3890" s="1358"/>
    </row>
    <row r="3891" spans="8:9">
      <c r="H3891" s="1358"/>
      <c r="I3891" s="1358"/>
    </row>
    <row r="3892" spans="8:9">
      <c r="H3892" s="1358"/>
      <c r="I3892" s="1358"/>
    </row>
    <row r="3893" spans="8:9">
      <c r="H3893" s="1358"/>
      <c r="I3893" s="1358"/>
    </row>
    <row r="3894" spans="8:9">
      <c r="H3894" s="1358"/>
      <c r="I3894" s="1358"/>
    </row>
    <row r="3895" spans="8:9">
      <c r="H3895" s="1358"/>
      <c r="I3895" s="1358"/>
    </row>
    <row r="3896" spans="8:9">
      <c r="H3896" s="1358"/>
      <c r="I3896" s="1358"/>
    </row>
    <row r="3897" spans="8:9">
      <c r="H3897" s="1358"/>
      <c r="I3897" s="1358"/>
    </row>
    <row r="3898" spans="8:9">
      <c r="H3898" s="1358"/>
      <c r="I3898" s="1358"/>
    </row>
    <row r="3899" spans="8:9">
      <c r="H3899" s="1358"/>
      <c r="I3899" s="1358"/>
    </row>
    <row r="3900" spans="8:9">
      <c r="H3900" s="1358"/>
      <c r="I3900" s="1358"/>
    </row>
    <row r="3901" spans="8:9">
      <c r="H3901" s="1358"/>
      <c r="I3901" s="1358"/>
    </row>
    <row r="3902" spans="8:9">
      <c r="H3902" s="1358"/>
      <c r="I3902" s="1358"/>
    </row>
    <row r="3903" spans="8:9">
      <c r="H3903" s="1358"/>
      <c r="I3903" s="1358"/>
    </row>
    <row r="3904" spans="8:9">
      <c r="H3904" s="1358"/>
      <c r="I3904" s="1358"/>
    </row>
    <row r="3905" spans="8:9">
      <c r="H3905" s="1358"/>
      <c r="I3905" s="1358"/>
    </row>
    <row r="3906" spans="8:9">
      <c r="H3906" s="1358"/>
      <c r="I3906" s="1358"/>
    </row>
    <row r="3907" spans="8:9">
      <c r="H3907" s="1358"/>
      <c r="I3907" s="1358"/>
    </row>
    <row r="3908" spans="8:9">
      <c r="H3908" s="1358"/>
      <c r="I3908" s="1358"/>
    </row>
    <row r="3909" spans="8:9">
      <c r="H3909" s="1358"/>
      <c r="I3909" s="1358"/>
    </row>
    <row r="3910" spans="8:9">
      <c r="H3910" s="1358"/>
      <c r="I3910" s="1358"/>
    </row>
    <row r="3911" spans="8:9">
      <c r="H3911" s="1358"/>
      <c r="I3911" s="1358"/>
    </row>
    <row r="3912" spans="8:9">
      <c r="H3912" s="1358"/>
      <c r="I3912" s="1358"/>
    </row>
    <row r="3913" spans="8:9">
      <c r="H3913" s="1358"/>
      <c r="I3913" s="1358"/>
    </row>
    <row r="3914" spans="8:9">
      <c r="H3914" s="1358"/>
      <c r="I3914" s="1358"/>
    </row>
    <row r="3915" spans="8:9">
      <c r="H3915" s="1358"/>
      <c r="I3915" s="1358"/>
    </row>
    <row r="3916" spans="8:9">
      <c r="H3916" s="1358"/>
      <c r="I3916" s="1358"/>
    </row>
    <row r="3917" spans="8:9">
      <c r="H3917" s="1358"/>
      <c r="I3917" s="1358"/>
    </row>
    <row r="3918" spans="8:9">
      <c r="H3918" s="1358"/>
      <c r="I3918" s="1358"/>
    </row>
    <row r="3919" spans="8:9">
      <c r="H3919" s="1358"/>
      <c r="I3919" s="1358"/>
    </row>
    <row r="3920" spans="8:9">
      <c r="H3920" s="1358"/>
      <c r="I3920" s="1358"/>
    </row>
    <row r="3921" spans="8:9">
      <c r="H3921" s="1358"/>
      <c r="I3921" s="1358"/>
    </row>
    <row r="3922" spans="8:9">
      <c r="H3922" s="1358"/>
      <c r="I3922" s="1358"/>
    </row>
    <row r="3923" spans="8:9">
      <c r="H3923" s="1358"/>
      <c r="I3923" s="1358"/>
    </row>
    <row r="3924" spans="8:9">
      <c r="H3924" s="1358"/>
      <c r="I3924" s="1358"/>
    </row>
    <row r="3925" spans="8:9">
      <c r="H3925" s="1358"/>
      <c r="I3925" s="1358"/>
    </row>
    <row r="3926" spans="8:9">
      <c r="H3926" s="1358"/>
      <c r="I3926" s="1358"/>
    </row>
    <row r="3927" spans="8:9">
      <c r="H3927" s="1358"/>
      <c r="I3927" s="1358"/>
    </row>
    <row r="3928" spans="8:9">
      <c r="H3928" s="1358"/>
      <c r="I3928" s="1358"/>
    </row>
    <row r="3929" spans="8:9">
      <c r="H3929" s="1358"/>
      <c r="I3929" s="1358"/>
    </row>
    <row r="3930" spans="8:9">
      <c r="H3930" s="1358"/>
      <c r="I3930" s="1358"/>
    </row>
    <row r="3931" spans="8:9">
      <c r="H3931" s="1358"/>
      <c r="I3931" s="1358"/>
    </row>
    <row r="3932" spans="8:9">
      <c r="H3932" s="1358"/>
      <c r="I3932" s="1358"/>
    </row>
    <row r="3933" spans="8:9">
      <c r="H3933" s="1358"/>
      <c r="I3933" s="1358"/>
    </row>
    <row r="3934" spans="8:9">
      <c r="H3934" s="1358"/>
      <c r="I3934" s="1358"/>
    </row>
    <row r="3935" spans="8:9">
      <c r="H3935" s="1358"/>
      <c r="I3935" s="1358"/>
    </row>
    <row r="3936" spans="8:9">
      <c r="H3936" s="1358"/>
      <c r="I3936" s="1358"/>
    </row>
    <row r="3937" spans="8:9">
      <c r="H3937" s="1358"/>
      <c r="I3937" s="1358"/>
    </row>
    <row r="3938" spans="8:9">
      <c r="H3938" s="1358"/>
      <c r="I3938" s="1358"/>
    </row>
    <row r="3939" spans="8:9">
      <c r="H3939" s="1358"/>
      <c r="I3939" s="1358"/>
    </row>
    <row r="3940" spans="8:9">
      <c r="H3940" s="1358"/>
      <c r="I3940" s="1358"/>
    </row>
    <row r="3941" spans="8:9">
      <c r="H3941" s="1358"/>
      <c r="I3941" s="1358"/>
    </row>
    <row r="3942" spans="8:9">
      <c r="H3942" s="1358"/>
      <c r="I3942" s="1358"/>
    </row>
    <row r="3943" spans="8:9">
      <c r="H3943" s="1358"/>
      <c r="I3943" s="1358"/>
    </row>
    <row r="3944" spans="8:9">
      <c r="H3944" s="1358"/>
      <c r="I3944" s="1358"/>
    </row>
    <row r="3945" spans="8:9">
      <c r="H3945" s="1358"/>
      <c r="I3945" s="1358"/>
    </row>
    <row r="3946" spans="8:9">
      <c r="H3946" s="1358"/>
      <c r="I3946" s="1358"/>
    </row>
    <row r="3947" spans="8:9">
      <c r="H3947" s="1358"/>
      <c r="I3947" s="1358"/>
    </row>
    <row r="3948" spans="8:9">
      <c r="H3948" s="1358"/>
      <c r="I3948" s="1358"/>
    </row>
    <row r="3949" spans="8:9">
      <c r="H3949" s="1358"/>
      <c r="I3949" s="1358"/>
    </row>
    <row r="3950" spans="8:9">
      <c r="H3950" s="1358"/>
      <c r="I3950" s="1358"/>
    </row>
    <row r="3951" spans="8:9">
      <c r="H3951" s="1358"/>
      <c r="I3951" s="1358"/>
    </row>
    <row r="3952" spans="8:9">
      <c r="H3952" s="1358"/>
      <c r="I3952" s="1358"/>
    </row>
    <row r="3953" spans="8:9">
      <c r="H3953" s="1358"/>
      <c r="I3953" s="1358"/>
    </row>
    <row r="3954" spans="8:9">
      <c r="H3954" s="1358"/>
      <c r="I3954" s="1358"/>
    </row>
    <row r="3955" spans="8:9">
      <c r="H3955" s="1358"/>
      <c r="I3955" s="1358"/>
    </row>
    <row r="3956" spans="8:9">
      <c r="H3956" s="1358"/>
      <c r="I3956" s="1358"/>
    </row>
    <row r="3957" spans="8:9">
      <c r="H3957" s="1358"/>
      <c r="I3957" s="1358"/>
    </row>
    <row r="3958" spans="8:9">
      <c r="H3958" s="1358"/>
      <c r="I3958" s="1358"/>
    </row>
    <row r="3959" spans="8:9">
      <c r="H3959" s="1358"/>
      <c r="I3959" s="1358"/>
    </row>
    <row r="3960" spans="8:9">
      <c r="H3960" s="1358"/>
      <c r="I3960" s="1358"/>
    </row>
    <row r="3961" spans="8:9">
      <c r="H3961" s="1358"/>
      <c r="I3961" s="1358"/>
    </row>
    <row r="3962" spans="8:9">
      <c r="H3962" s="1358"/>
      <c r="I3962" s="1358"/>
    </row>
    <row r="3963" spans="8:9">
      <c r="H3963" s="1358"/>
      <c r="I3963" s="1358"/>
    </row>
    <row r="3964" spans="8:9">
      <c r="H3964" s="1358"/>
      <c r="I3964" s="1358"/>
    </row>
    <row r="3965" spans="8:9">
      <c r="H3965" s="1358"/>
      <c r="I3965" s="1358"/>
    </row>
    <row r="3966" spans="8:9">
      <c r="H3966" s="1358"/>
      <c r="I3966" s="1358"/>
    </row>
    <row r="3967" spans="8:9">
      <c r="H3967" s="1358"/>
      <c r="I3967" s="1358"/>
    </row>
    <row r="3968" spans="8:9">
      <c r="H3968" s="1358"/>
      <c r="I3968" s="1358"/>
    </row>
    <row r="3969" spans="8:9">
      <c r="H3969" s="1358"/>
      <c r="I3969" s="1358"/>
    </row>
    <row r="3970" spans="8:9">
      <c r="H3970" s="1358"/>
      <c r="I3970" s="1358"/>
    </row>
    <row r="3971" spans="8:9">
      <c r="H3971" s="1358"/>
      <c r="I3971" s="1358"/>
    </row>
    <row r="3972" spans="8:9">
      <c r="H3972" s="1358"/>
      <c r="I3972" s="1358"/>
    </row>
    <row r="3973" spans="8:9">
      <c r="H3973" s="1358"/>
      <c r="I3973" s="1358"/>
    </row>
    <row r="3974" spans="8:9">
      <c r="H3974" s="1358"/>
      <c r="I3974" s="1358"/>
    </row>
    <row r="3975" spans="8:9">
      <c r="H3975" s="1358"/>
      <c r="I3975" s="1358"/>
    </row>
    <row r="3976" spans="8:9">
      <c r="H3976" s="1358"/>
      <c r="I3976" s="1358"/>
    </row>
    <row r="3977" spans="8:9">
      <c r="H3977" s="1358"/>
      <c r="I3977" s="1358"/>
    </row>
    <row r="3978" spans="8:9">
      <c r="H3978" s="1358"/>
      <c r="I3978" s="1358"/>
    </row>
    <row r="3979" spans="8:9">
      <c r="H3979" s="1358"/>
      <c r="I3979" s="1358"/>
    </row>
    <row r="3980" spans="8:9">
      <c r="H3980" s="1358"/>
      <c r="I3980" s="1358"/>
    </row>
    <row r="3981" spans="8:9">
      <c r="H3981" s="1358"/>
      <c r="I3981" s="1358"/>
    </row>
    <row r="3982" spans="8:9">
      <c r="H3982" s="1358"/>
      <c r="I3982" s="1358"/>
    </row>
    <row r="3983" spans="8:9">
      <c r="H3983" s="1358"/>
      <c r="I3983" s="1358"/>
    </row>
    <row r="3984" spans="8:9">
      <c r="H3984" s="1358"/>
      <c r="I3984" s="1358"/>
    </row>
    <row r="3985" spans="8:9">
      <c r="H3985" s="1358"/>
      <c r="I3985" s="1358"/>
    </row>
    <row r="3986" spans="8:9">
      <c r="H3986" s="1358"/>
      <c r="I3986" s="1358"/>
    </row>
    <row r="3987" spans="8:9">
      <c r="H3987" s="1358"/>
      <c r="I3987" s="1358"/>
    </row>
    <row r="3988" spans="8:9">
      <c r="H3988" s="1358"/>
      <c r="I3988" s="1358"/>
    </row>
    <row r="3989" spans="8:9">
      <c r="H3989" s="1358"/>
      <c r="I3989" s="1358"/>
    </row>
    <row r="3990" spans="8:9">
      <c r="H3990" s="1358"/>
      <c r="I3990" s="1358"/>
    </row>
    <row r="3991" spans="8:9">
      <c r="H3991" s="1358"/>
      <c r="I3991" s="1358"/>
    </row>
    <row r="3992" spans="8:9">
      <c r="H3992" s="1358"/>
      <c r="I3992" s="1358"/>
    </row>
    <row r="3993" spans="8:9">
      <c r="H3993" s="1358"/>
      <c r="I3993" s="1358"/>
    </row>
    <row r="3994" spans="8:9">
      <c r="H3994" s="1358"/>
      <c r="I3994" s="1358"/>
    </row>
    <row r="3995" spans="8:9">
      <c r="H3995" s="1358"/>
      <c r="I3995" s="1358"/>
    </row>
    <row r="3996" spans="8:9">
      <c r="H3996" s="1358"/>
      <c r="I3996" s="1358"/>
    </row>
    <row r="3997" spans="8:9">
      <c r="H3997" s="1358"/>
      <c r="I3997" s="1358"/>
    </row>
    <row r="3998" spans="8:9">
      <c r="H3998" s="1358"/>
      <c r="I3998" s="1358"/>
    </row>
    <row r="3999" spans="8:9">
      <c r="H3999" s="1358"/>
      <c r="I3999" s="1358"/>
    </row>
    <row r="4000" spans="8:9">
      <c r="H4000" s="1358"/>
      <c r="I4000" s="1358"/>
    </row>
    <row r="4001" spans="8:9">
      <c r="H4001" s="1358"/>
      <c r="I4001" s="1358"/>
    </row>
    <row r="4002" spans="8:9">
      <c r="H4002" s="1358"/>
      <c r="I4002" s="1358"/>
    </row>
    <row r="4003" spans="8:9">
      <c r="H4003" s="1358"/>
      <c r="I4003" s="1358"/>
    </row>
    <row r="4004" spans="8:9">
      <c r="H4004" s="1358"/>
      <c r="I4004" s="1358"/>
    </row>
    <row r="4005" spans="8:9">
      <c r="H4005" s="1358"/>
      <c r="I4005" s="1358"/>
    </row>
    <row r="4006" spans="8:9">
      <c r="H4006" s="1358"/>
      <c r="I4006" s="1358"/>
    </row>
    <row r="4007" spans="8:9">
      <c r="H4007" s="1358"/>
      <c r="I4007" s="1358"/>
    </row>
    <row r="4008" spans="8:9">
      <c r="H4008" s="1358"/>
      <c r="I4008" s="1358"/>
    </row>
    <row r="4009" spans="8:9">
      <c r="H4009" s="1358"/>
      <c r="I4009" s="1358"/>
    </row>
    <row r="4010" spans="8:9">
      <c r="H4010" s="1358"/>
      <c r="I4010" s="1358"/>
    </row>
    <row r="4011" spans="8:9">
      <c r="H4011" s="1358"/>
      <c r="I4011" s="1358"/>
    </row>
    <row r="4012" spans="8:9">
      <c r="H4012" s="1358"/>
      <c r="I4012" s="1358"/>
    </row>
    <row r="4013" spans="8:9">
      <c r="H4013" s="1358"/>
      <c r="I4013" s="1358"/>
    </row>
    <row r="4014" spans="8:9">
      <c r="H4014" s="1358"/>
      <c r="I4014" s="1358"/>
    </row>
    <row r="4015" spans="8:9">
      <c r="H4015" s="1358"/>
      <c r="I4015" s="1358"/>
    </row>
    <row r="4016" spans="8:9">
      <c r="H4016" s="1358"/>
      <c r="I4016" s="1358"/>
    </row>
    <row r="4017" spans="8:9">
      <c r="H4017" s="1358"/>
      <c r="I4017" s="1358"/>
    </row>
    <row r="4018" spans="8:9">
      <c r="H4018" s="1358"/>
      <c r="I4018" s="1358"/>
    </row>
    <row r="4019" spans="8:9">
      <c r="H4019" s="1358"/>
      <c r="I4019" s="1358"/>
    </row>
    <row r="4020" spans="8:9">
      <c r="H4020" s="1358"/>
      <c r="I4020" s="1358"/>
    </row>
    <row r="4021" spans="8:9">
      <c r="H4021" s="1358"/>
      <c r="I4021" s="1358"/>
    </row>
    <row r="4022" spans="8:9">
      <c r="H4022" s="1358"/>
      <c r="I4022" s="1358"/>
    </row>
    <row r="4023" spans="8:9">
      <c r="H4023" s="1358"/>
      <c r="I4023" s="1358"/>
    </row>
    <row r="4024" spans="8:9">
      <c r="H4024" s="1358"/>
      <c r="I4024" s="1358"/>
    </row>
    <row r="4025" spans="8:9">
      <c r="H4025" s="1358"/>
      <c r="I4025" s="1358"/>
    </row>
    <row r="4026" spans="8:9">
      <c r="H4026" s="1358"/>
      <c r="I4026" s="1358"/>
    </row>
    <row r="4027" spans="8:9">
      <c r="H4027" s="1358"/>
      <c r="I4027" s="1358"/>
    </row>
    <row r="4028" spans="8:9">
      <c r="H4028" s="1358"/>
      <c r="I4028" s="1358"/>
    </row>
    <row r="4029" spans="8:9">
      <c r="H4029" s="1358"/>
      <c r="I4029" s="1358"/>
    </row>
    <row r="4030" spans="8:9">
      <c r="H4030" s="1358"/>
      <c r="I4030" s="1358"/>
    </row>
    <row r="4031" spans="8:9">
      <c r="H4031" s="1358"/>
      <c r="I4031" s="1358"/>
    </row>
    <row r="4032" spans="8:9">
      <c r="H4032" s="1358"/>
      <c r="I4032" s="1358"/>
    </row>
    <row r="4033" spans="8:9">
      <c r="H4033" s="1358"/>
      <c r="I4033" s="1358"/>
    </row>
    <row r="4034" spans="8:9">
      <c r="H4034" s="1358"/>
      <c r="I4034" s="1358"/>
    </row>
    <row r="4035" spans="8:9">
      <c r="H4035" s="1358"/>
      <c r="I4035" s="1358"/>
    </row>
    <row r="4036" spans="8:9">
      <c r="H4036" s="1358"/>
      <c r="I4036" s="1358"/>
    </row>
    <row r="4037" spans="8:9">
      <c r="H4037" s="1358"/>
      <c r="I4037" s="1358"/>
    </row>
    <row r="4038" spans="8:9">
      <c r="H4038" s="1358"/>
      <c r="I4038" s="1358"/>
    </row>
    <row r="4039" spans="8:9">
      <c r="H4039" s="1358"/>
      <c r="I4039" s="1358"/>
    </row>
    <row r="4040" spans="8:9">
      <c r="H4040" s="1358"/>
      <c r="I4040" s="1358"/>
    </row>
    <row r="4041" spans="8:9">
      <c r="H4041" s="1358"/>
      <c r="I4041" s="1358"/>
    </row>
    <row r="4042" spans="8:9">
      <c r="H4042" s="1358"/>
      <c r="I4042" s="1358"/>
    </row>
    <row r="4043" spans="8:9">
      <c r="H4043" s="1358"/>
      <c r="I4043" s="1358"/>
    </row>
    <row r="4044" spans="8:9">
      <c r="H4044" s="1358"/>
      <c r="I4044" s="1358"/>
    </row>
    <row r="4045" spans="8:9">
      <c r="H4045" s="1358"/>
      <c r="I4045" s="1358"/>
    </row>
    <row r="4046" spans="8:9">
      <c r="H4046" s="1358"/>
      <c r="I4046" s="1358"/>
    </row>
    <row r="4047" spans="8:9">
      <c r="H4047" s="1358"/>
      <c r="I4047" s="1358"/>
    </row>
    <row r="4048" spans="8:9">
      <c r="H4048" s="1358"/>
      <c r="I4048" s="1358"/>
    </row>
    <row r="4049" spans="8:9">
      <c r="H4049" s="1358"/>
      <c r="I4049" s="1358"/>
    </row>
    <row r="4050" spans="8:9">
      <c r="H4050" s="1358"/>
      <c r="I4050" s="1358"/>
    </row>
    <row r="4051" spans="8:9">
      <c r="H4051" s="1358"/>
      <c r="I4051" s="1358"/>
    </row>
    <row r="4052" spans="8:9">
      <c r="H4052" s="1358"/>
      <c r="I4052" s="1358"/>
    </row>
    <row r="4053" spans="8:9">
      <c r="H4053" s="1358"/>
      <c r="I4053" s="1358"/>
    </row>
    <row r="4054" spans="8:9">
      <c r="H4054" s="1358"/>
      <c r="I4054" s="1358"/>
    </row>
    <row r="4055" spans="8:9">
      <c r="H4055" s="1358"/>
      <c r="I4055" s="1358"/>
    </row>
    <row r="4056" spans="8:9">
      <c r="H4056" s="1358"/>
      <c r="I4056" s="1358"/>
    </row>
    <row r="4057" spans="8:9">
      <c r="H4057" s="1358"/>
      <c r="I4057" s="1358"/>
    </row>
    <row r="4058" spans="8:9">
      <c r="H4058" s="1358"/>
      <c r="I4058" s="1358"/>
    </row>
    <row r="4059" spans="8:9">
      <c r="H4059" s="1358"/>
      <c r="I4059" s="1358"/>
    </row>
    <row r="4060" spans="8:9">
      <c r="H4060" s="1358"/>
      <c r="I4060" s="1358"/>
    </row>
    <row r="4061" spans="8:9">
      <c r="H4061" s="1358"/>
      <c r="I4061" s="1358"/>
    </row>
    <row r="4062" spans="8:9">
      <c r="H4062" s="1358"/>
      <c r="I4062" s="1358"/>
    </row>
    <row r="4063" spans="8:9">
      <c r="H4063" s="1358"/>
      <c r="I4063" s="1358"/>
    </row>
    <row r="4064" spans="8:9">
      <c r="H4064" s="1358"/>
      <c r="I4064" s="1358"/>
    </row>
    <row r="4065" spans="8:9">
      <c r="H4065" s="1358"/>
      <c r="I4065" s="1358"/>
    </row>
    <row r="4066" spans="8:9">
      <c r="H4066" s="1358"/>
      <c r="I4066" s="1358"/>
    </row>
    <row r="4067" spans="8:9">
      <c r="H4067" s="1358"/>
      <c r="I4067" s="1358"/>
    </row>
    <row r="4068" spans="8:9">
      <c r="H4068" s="1358"/>
      <c r="I4068" s="1358"/>
    </row>
    <row r="4069" spans="8:9">
      <c r="H4069" s="1358"/>
      <c r="I4069" s="1358"/>
    </row>
    <row r="4070" spans="8:9">
      <c r="H4070" s="1358"/>
      <c r="I4070" s="1358"/>
    </row>
    <row r="4071" spans="8:9">
      <c r="H4071" s="1358"/>
      <c r="I4071" s="1358"/>
    </row>
    <row r="4072" spans="8:9">
      <c r="H4072" s="1358"/>
      <c r="I4072" s="1358"/>
    </row>
    <row r="4073" spans="8:9">
      <c r="H4073" s="1358"/>
      <c r="I4073" s="1358"/>
    </row>
    <row r="4074" spans="8:9">
      <c r="H4074" s="1358"/>
      <c r="I4074" s="1358"/>
    </row>
    <row r="4075" spans="8:9">
      <c r="H4075" s="1358"/>
      <c r="I4075" s="1358"/>
    </row>
    <row r="4076" spans="8:9">
      <c r="H4076" s="1358"/>
      <c r="I4076" s="1358"/>
    </row>
    <row r="4077" spans="8:9">
      <c r="H4077" s="1358"/>
      <c r="I4077" s="1358"/>
    </row>
    <row r="4078" spans="8:9">
      <c r="H4078" s="1358"/>
      <c r="I4078" s="1358"/>
    </row>
    <row r="4079" spans="8:9">
      <c r="H4079" s="1358"/>
      <c r="I4079" s="1358"/>
    </row>
    <row r="4080" spans="8:9">
      <c r="H4080" s="1358"/>
      <c r="I4080" s="1358"/>
    </row>
    <row r="4081" spans="8:9">
      <c r="H4081" s="1358"/>
      <c r="I4081" s="1358"/>
    </row>
    <row r="4082" spans="8:9">
      <c r="H4082" s="1358"/>
      <c r="I4082" s="1358"/>
    </row>
    <row r="4083" spans="8:9">
      <c r="H4083" s="1358"/>
      <c r="I4083" s="1358"/>
    </row>
    <row r="4084" spans="8:9">
      <c r="H4084" s="1358"/>
      <c r="I4084" s="1358"/>
    </row>
    <row r="4085" spans="8:9">
      <c r="H4085" s="1358"/>
      <c r="I4085" s="1358"/>
    </row>
    <row r="4086" spans="8:9">
      <c r="H4086" s="1358"/>
      <c r="I4086" s="1358"/>
    </row>
    <row r="4087" spans="8:9">
      <c r="H4087" s="1358"/>
      <c r="I4087" s="1358"/>
    </row>
    <row r="4088" spans="8:9">
      <c r="H4088" s="1358"/>
      <c r="I4088" s="1358"/>
    </row>
    <row r="4089" spans="8:9">
      <c r="H4089" s="1358"/>
      <c r="I4089" s="1358"/>
    </row>
    <row r="4090" spans="8:9">
      <c r="H4090" s="1358"/>
      <c r="I4090" s="1358"/>
    </row>
    <row r="4091" spans="8:9">
      <c r="H4091" s="1358"/>
      <c r="I4091" s="1358"/>
    </row>
    <row r="4092" spans="8:9">
      <c r="H4092" s="1358"/>
      <c r="I4092" s="1358"/>
    </row>
    <row r="4093" spans="8:9">
      <c r="H4093" s="1358"/>
      <c r="I4093" s="1358"/>
    </row>
    <row r="4094" spans="8:9">
      <c r="H4094" s="1358"/>
      <c r="I4094" s="1358"/>
    </row>
    <row r="4095" spans="8:9">
      <c r="H4095" s="1358"/>
      <c r="I4095" s="1358"/>
    </row>
    <row r="4096" spans="8:9">
      <c r="H4096" s="1358"/>
      <c r="I4096" s="1358"/>
    </row>
    <row r="4097" spans="8:9">
      <c r="H4097" s="1358"/>
      <c r="I4097" s="1358"/>
    </row>
    <row r="4098" spans="8:9">
      <c r="H4098" s="1358"/>
      <c r="I4098" s="1358"/>
    </row>
    <row r="4099" spans="8:9">
      <c r="H4099" s="1358"/>
      <c r="I4099" s="1358"/>
    </row>
    <row r="4100" spans="8:9">
      <c r="H4100" s="1358"/>
      <c r="I4100" s="1358"/>
    </row>
    <row r="4101" spans="8:9">
      <c r="H4101" s="1358"/>
      <c r="I4101" s="1358"/>
    </row>
    <row r="4102" spans="8:9">
      <c r="H4102" s="1358"/>
      <c r="I4102" s="1358"/>
    </row>
    <row r="4103" spans="8:9">
      <c r="H4103" s="1358"/>
      <c r="I4103" s="1358"/>
    </row>
    <row r="4104" spans="8:9">
      <c r="H4104" s="1358"/>
      <c r="I4104" s="1358"/>
    </row>
    <row r="4105" spans="8:9">
      <c r="H4105" s="1358"/>
      <c r="I4105" s="1358"/>
    </row>
    <row r="4106" spans="8:9">
      <c r="H4106" s="1358"/>
      <c r="I4106" s="1358"/>
    </row>
    <row r="4107" spans="8:9">
      <c r="H4107" s="1358"/>
      <c r="I4107" s="1358"/>
    </row>
    <row r="4108" spans="8:9">
      <c r="H4108" s="1358"/>
      <c r="I4108" s="1358"/>
    </row>
    <row r="4109" spans="8:9">
      <c r="H4109" s="1358"/>
      <c r="I4109" s="1358"/>
    </row>
    <row r="4110" spans="8:9">
      <c r="H4110" s="1358"/>
      <c r="I4110" s="1358"/>
    </row>
    <row r="4111" spans="8:9">
      <c r="H4111" s="1358"/>
      <c r="I4111" s="1358"/>
    </row>
    <row r="4112" spans="8:9">
      <c r="H4112" s="1358"/>
      <c r="I4112" s="1358"/>
    </row>
    <row r="4113" spans="8:9">
      <c r="H4113" s="1358"/>
      <c r="I4113" s="1358"/>
    </row>
    <row r="4114" spans="8:9">
      <c r="H4114" s="1358"/>
      <c r="I4114" s="1358"/>
    </row>
    <row r="4115" spans="8:9">
      <c r="H4115" s="1358"/>
      <c r="I4115" s="1358"/>
    </row>
    <row r="4116" spans="8:9">
      <c r="H4116" s="1358"/>
      <c r="I4116" s="1358"/>
    </row>
    <row r="4117" spans="8:9">
      <c r="H4117" s="1358"/>
      <c r="I4117" s="1358"/>
    </row>
    <row r="4118" spans="8:9">
      <c r="H4118" s="1358"/>
      <c r="I4118" s="1358"/>
    </row>
    <row r="4119" spans="8:9">
      <c r="H4119" s="1358"/>
      <c r="I4119" s="1358"/>
    </row>
    <row r="4120" spans="8:9">
      <c r="H4120" s="1358"/>
      <c r="I4120" s="1358"/>
    </row>
    <row r="4121" spans="8:9">
      <c r="H4121" s="1358"/>
      <c r="I4121" s="1358"/>
    </row>
    <row r="4122" spans="8:9">
      <c r="H4122" s="1358"/>
      <c r="I4122" s="1358"/>
    </row>
    <row r="4123" spans="8:9">
      <c r="H4123" s="1358"/>
      <c r="I4123" s="1358"/>
    </row>
    <row r="4124" spans="8:9">
      <c r="H4124" s="1358"/>
      <c r="I4124" s="1358"/>
    </row>
    <row r="4125" spans="8:9">
      <c r="H4125" s="1358"/>
      <c r="I4125" s="1358"/>
    </row>
    <row r="4126" spans="8:9">
      <c r="H4126" s="1358"/>
      <c r="I4126" s="1358"/>
    </row>
    <row r="4127" spans="8:9">
      <c r="H4127" s="1358"/>
      <c r="I4127" s="1358"/>
    </row>
    <row r="4128" spans="8:9">
      <c r="H4128" s="1358"/>
      <c r="I4128" s="1358"/>
    </row>
    <row r="4129" spans="8:9">
      <c r="H4129" s="1358"/>
      <c r="I4129" s="1358"/>
    </row>
    <row r="4130" spans="8:9">
      <c r="H4130" s="1358"/>
      <c r="I4130" s="1358"/>
    </row>
    <row r="4131" spans="8:9">
      <c r="H4131" s="1358"/>
      <c r="I4131" s="1358"/>
    </row>
    <row r="4132" spans="8:9">
      <c r="H4132" s="1358"/>
      <c r="I4132" s="1358"/>
    </row>
    <row r="4133" spans="8:9">
      <c r="H4133" s="1358"/>
      <c r="I4133" s="1358"/>
    </row>
    <row r="4134" spans="8:9">
      <c r="H4134" s="1358"/>
      <c r="I4134" s="1358"/>
    </row>
    <row r="4135" spans="8:9">
      <c r="H4135" s="1358"/>
      <c r="I4135" s="1358"/>
    </row>
    <row r="4136" spans="8:9">
      <c r="H4136" s="1358"/>
      <c r="I4136" s="1358"/>
    </row>
    <row r="4137" spans="8:9">
      <c r="H4137" s="1358"/>
      <c r="I4137" s="1358"/>
    </row>
    <row r="4138" spans="8:9">
      <c r="H4138" s="1358"/>
      <c r="I4138" s="1358"/>
    </row>
    <row r="4139" spans="8:9">
      <c r="H4139" s="1358"/>
      <c r="I4139" s="1358"/>
    </row>
    <row r="4140" spans="8:9">
      <c r="H4140" s="1358"/>
      <c r="I4140" s="1358"/>
    </row>
    <row r="4141" spans="8:9">
      <c r="H4141" s="1358"/>
      <c r="I4141" s="1358"/>
    </row>
    <row r="4142" spans="8:9">
      <c r="H4142" s="1358"/>
      <c r="I4142" s="1358"/>
    </row>
    <row r="4143" spans="8:9">
      <c r="H4143" s="1358"/>
      <c r="I4143" s="1358"/>
    </row>
    <row r="4144" spans="8:9">
      <c r="H4144" s="1358"/>
      <c r="I4144" s="1358"/>
    </row>
    <row r="4145" spans="8:9">
      <c r="H4145" s="1358"/>
      <c r="I4145" s="1358"/>
    </row>
    <row r="4146" spans="8:9">
      <c r="H4146" s="1358"/>
      <c r="I4146" s="1358"/>
    </row>
    <row r="4147" spans="8:9">
      <c r="H4147" s="1358"/>
      <c r="I4147" s="1358"/>
    </row>
    <row r="4148" spans="8:9">
      <c r="H4148" s="1358"/>
      <c r="I4148" s="1358"/>
    </row>
    <row r="4149" spans="8:9">
      <c r="H4149" s="1358"/>
      <c r="I4149" s="1358"/>
    </row>
    <row r="4150" spans="8:9">
      <c r="H4150" s="1358"/>
      <c r="I4150" s="1358"/>
    </row>
    <row r="4151" spans="8:9">
      <c r="H4151" s="1358"/>
      <c r="I4151" s="1358"/>
    </row>
    <row r="4152" spans="8:9">
      <c r="H4152" s="1358"/>
      <c r="I4152" s="1358"/>
    </row>
    <row r="4153" spans="8:9">
      <c r="H4153" s="1358"/>
      <c r="I4153" s="1358"/>
    </row>
    <row r="4154" spans="8:9">
      <c r="H4154" s="1358"/>
      <c r="I4154" s="1358"/>
    </row>
    <row r="4155" spans="8:9">
      <c r="H4155" s="1358"/>
      <c r="I4155" s="1358"/>
    </row>
    <row r="4156" spans="8:9">
      <c r="H4156" s="1358"/>
      <c r="I4156" s="1358"/>
    </row>
    <row r="4157" spans="8:9">
      <c r="H4157" s="1358"/>
      <c r="I4157" s="1358"/>
    </row>
    <row r="4158" spans="8:9">
      <c r="H4158" s="1358"/>
      <c r="I4158" s="1358"/>
    </row>
    <row r="4159" spans="8:9">
      <c r="H4159" s="1358"/>
      <c r="I4159" s="1358"/>
    </row>
    <row r="4160" spans="8:9">
      <c r="H4160" s="1358"/>
      <c r="I4160" s="1358"/>
    </row>
    <row r="4161" spans="8:9">
      <c r="H4161" s="1358"/>
      <c r="I4161" s="1358"/>
    </row>
    <row r="4162" spans="8:9">
      <c r="H4162" s="1358"/>
      <c r="I4162" s="1358"/>
    </row>
    <row r="4163" spans="8:9">
      <c r="H4163" s="1358"/>
      <c r="I4163" s="1358"/>
    </row>
    <row r="4164" spans="8:9">
      <c r="H4164" s="1358"/>
      <c r="I4164" s="1358"/>
    </row>
    <row r="4165" spans="8:9">
      <c r="H4165" s="1358"/>
      <c r="I4165" s="1358"/>
    </row>
    <row r="4166" spans="8:9">
      <c r="H4166" s="1358"/>
      <c r="I4166" s="1358"/>
    </row>
    <row r="4167" spans="8:9">
      <c r="H4167" s="1358"/>
      <c r="I4167" s="1358"/>
    </row>
    <row r="4168" spans="8:9">
      <c r="H4168" s="1358"/>
      <c r="I4168" s="1358"/>
    </row>
    <row r="4169" spans="8:9">
      <c r="H4169" s="1358"/>
      <c r="I4169" s="1358"/>
    </row>
    <row r="4170" spans="8:9">
      <c r="H4170" s="1358"/>
      <c r="I4170" s="1358"/>
    </row>
    <row r="4171" spans="8:9">
      <c r="H4171" s="1358"/>
      <c r="I4171" s="1358"/>
    </row>
    <row r="4172" spans="8:9">
      <c r="H4172" s="1358"/>
      <c r="I4172" s="1358"/>
    </row>
    <row r="4173" spans="8:9">
      <c r="H4173" s="1358"/>
      <c r="I4173" s="1358"/>
    </row>
    <row r="4174" spans="8:9">
      <c r="H4174" s="1358"/>
      <c r="I4174" s="1358"/>
    </row>
    <row r="4175" spans="8:9">
      <c r="H4175" s="1358"/>
      <c r="I4175" s="1358"/>
    </row>
    <row r="4176" spans="8:9">
      <c r="H4176" s="1358"/>
      <c r="I4176" s="1358"/>
    </row>
    <row r="4177" spans="8:9">
      <c r="H4177" s="1358"/>
      <c r="I4177" s="1358"/>
    </row>
    <row r="4178" spans="8:9">
      <c r="H4178" s="1358"/>
      <c r="I4178" s="1358"/>
    </row>
    <row r="4179" spans="8:9">
      <c r="H4179" s="1358"/>
      <c r="I4179" s="1358"/>
    </row>
    <row r="4180" spans="8:9">
      <c r="H4180" s="1358"/>
      <c r="I4180" s="1358"/>
    </row>
    <row r="4181" spans="8:9">
      <c r="H4181" s="1358"/>
      <c r="I4181" s="1358"/>
    </row>
    <row r="4182" spans="8:9">
      <c r="H4182" s="1358"/>
      <c r="I4182" s="1358"/>
    </row>
    <row r="4183" spans="8:9">
      <c r="H4183" s="1358"/>
      <c r="I4183" s="1358"/>
    </row>
    <row r="4184" spans="8:9">
      <c r="H4184" s="1358"/>
      <c r="I4184" s="1358"/>
    </row>
    <row r="4185" spans="8:9">
      <c r="H4185" s="1358"/>
      <c r="I4185" s="1358"/>
    </row>
    <row r="4186" spans="8:9">
      <c r="H4186" s="1358"/>
      <c r="I4186" s="1358"/>
    </row>
    <row r="4187" spans="8:9">
      <c r="H4187" s="1358"/>
      <c r="I4187" s="1358"/>
    </row>
    <row r="4188" spans="8:9">
      <c r="H4188" s="1358"/>
      <c r="I4188" s="1358"/>
    </row>
    <row r="4189" spans="8:9">
      <c r="H4189" s="1358"/>
      <c r="I4189" s="1358"/>
    </row>
    <row r="4190" spans="8:9">
      <c r="H4190" s="1358"/>
      <c r="I4190" s="1358"/>
    </row>
    <row r="4191" spans="8:9">
      <c r="H4191" s="1358"/>
      <c r="I4191" s="1358"/>
    </row>
    <row r="4192" spans="8:9">
      <c r="H4192" s="1358"/>
      <c r="I4192" s="1358"/>
    </row>
    <row r="4193" spans="8:9">
      <c r="H4193" s="1358"/>
      <c r="I4193" s="1358"/>
    </row>
    <row r="4194" spans="8:9">
      <c r="H4194" s="1358"/>
      <c r="I4194" s="1358"/>
    </row>
    <row r="4195" spans="8:9">
      <c r="H4195" s="1358"/>
      <c r="I4195" s="1358"/>
    </row>
    <row r="4196" spans="8:9">
      <c r="H4196" s="1358"/>
      <c r="I4196" s="1358"/>
    </row>
    <row r="4197" spans="8:9">
      <c r="H4197" s="1358"/>
      <c r="I4197" s="1358"/>
    </row>
    <row r="4198" spans="8:9">
      <c r="H4198" s="1358"/>
      <c r="I4198" s="1358"/>
    </row>
    <row r="4199" spans="8:9">
      <c r="H4199" s="1358"/>
      <c r="I4199" s="1358"/>
    </row>
    <row r="4200" spans="8:9">
      <c r="H4200" s="1358"/>
      <c r="I4200" s="1358"/>
    </row>
    <row r="4201" spans="8:9">
      <c r="H4201" s="1358"/>
      <c r="I4201" s="1358"/>
    </row>
    <row r="4202" spans="8:9">
      <c r="H4202" s="1358"/>
      <c r="I4202" s="1358"/>
    </row>
    <row r="4203" spans="8:9">
      <c r="H4203" s="1358"/>
      <c r="I4203" s="1358"/>
    </row>
    <row r="4204" spans="8:9">
      <c r="H4204" s="1358"/>
      <c r="I4204" s="1358"/>
    </row>
    <row r="4205" spans="8:9">
      <c r="H4205" s="1358"/>
      <c r="I4205" s="1358"/>
    </row>
    <row r="4206" spans="8:9">
      <c r="H4206" s="1358"/>
      <c r="I4206" s="1358"/>
    </row>
    <row r="4207" spans="8:9">
      <c r="H4207" s="1358"/>
      <c r="I4207" s="1358"/>
    </row>
    <row r="4208" spans="8:9">
      <c r="H4208" s="1358"/>
      <c r="I4208" s="1358"/>
    </row>
    <row r="4209" spans="8:9">
      <c r="H4209" s="1358"/>
      <c r="I4209" s="1358"/>
    </row>
    <row r="4210" spans="8:9">
      <c r="H4210" s="1358"/>
      <c r="I4210" s="1358"/>
    </row>
    <row r="4211" spans="8:9">
      <c r="H4211" s="1358"/>
      <c r="I4211" s="1358"/>
    </row>
    <row r="4212" spans="8:9">
      <c r="H4212" s="1358"/>
      <c r="I4212" s="1358"/>
    </row>
    <row r="4213" spans="8:9">
      <c r="H4213" s="1358"/>
      <c r="I4213" s="1358"/>
    </row>
    <row r="4214" spans="8:9">
      <c r="H4214" s="1358"/>
      <c r="I4214" s="1358"/>
    </row>
    <row r="4215" spans="8:9">
      <c r="H4215" s="1358"/>
      <c r="I4215" s="1358"/>
    </row>
    <row r="4216" spans="8:9">
      <c r="H4216" s="1358"/>
      <c r="I4216" s="1358"/>
    </row>
    <row r="4217" spans="8:9">
      <c r="H4217" s="1358"/>
      <c r="I4217" s="1358"/>
    </row>
    <row r="4218" spans="8:9">
      <c r="H4218" s="1358"/>
      <c r="I4218" s="1358"/>
    </row>
    <row r="4219" spans="8:9">
      <c r="H4219" s="1358"/>
      <c r="I4219" s="1358"/>
    </row>
    <row r="4220" spans="8:9">
      <c r="H4220" s="1358"/>
      <c r="I4220" s="1358"/>
    </row>
    <row r="4221" spans="8:9">
      <c r="H4221" s="1358"/>
      <c r="I4221" s="1358"/>
    </row>
    <row r="4222" spans="8:9">
      <c r="H4222" s="1358"/>
      <c r="I4222" s="1358"/>
    </row>
    <row r="4223" spans="8:9">
      <c r="H4223" s="1358"/>
      <c r="I4223" s="1358"/>
    </row>
    <row r="4224" spans="8:9">
      <c r="H4224" s="1358"/>
      <c r="I4224" s="1358"/>
    </row>
    <row r="4225" spans="8:9">
      <c r="H4225" s="1358"/>
      <c r="I4225" s="1358"/>
    </row>
    <row r="4226" spans="8:9">
      <c r="H4226" s="1358"/>
      <c r="I4226" s="1358"/>
    </row>
    <row r="4227" spans="8:9">
      <c r="H4227" s="1358"/>
      <c r="I4227" s="1358"/>
    </row>
    <row r="4228" spans="8:9">
      <c r="H4228" s="1358"/>
      <c r="I4228" s="1358"/>
    </row>
    <row r="4229" spans="8:9">
      <c r="H4229" s="1358"/>
      <c r="I4229" s="1358"/>
    </row>
    <row r="4230" spans="8:9">
      <c r="H4230" s="1358"/>
      <c r="I4230" s="1358"/>
    </row>
    <row r="4231" spans="8:9">
      <c r="H4231" s="1358"/>
      <c r="I4231" s="1358"/>
    </row>
    <row r="4232" spans="8:9">
      <c r="H4232" s="1358"/>
      <c r="I4232" s="1358"/>
    </row>
    <row r="4233" spans="8:9">
      <c r="H4233" s="1358"/>
      <c r="I4233" s="1358"/>
    </row>
    <row r="4234" spans="8:9">
      <c r="H4234" s="1358"/>
      <c r="I4234" s="1358"/>
    </row>
    <row r="4235" spans="8:9">
      <c r="H4235" s="1358"/>
      <c r="I4235" s="1358"/>
    </row>
    <row r="4236" spans="8:9">
      <c r="H4236" s="1358"/>
      <c r="I4236" s="1358"/>
    </row>
    <row r="4237" spans="8:9">
      <c r="H4237" s="1358"/>
      <c r="I4237" s="1358"/>
    </row>
    <row r="4238" spans="8:9">
      <c r="H4238" s="1358"/>
      <c r="I4238" s="1358"/>
    </row>
    <row r="4239" spans="8:9">
      <c r="H4239" s="1358"/>
      <c r="I4239" s="1358"/>
    </row>
    <row r="4240" spans="8:9">
      <c r="H4240" s="1358"/>
      <c r="I4240" s="1358"/>
    </row>
    <row r="4241" spans="8:9">
      <c r="H4241" s="1358"/>
      <c r="I4241" s="1358"/>
    </row>
    <row r="4242" spans="8:9">
      <c r="H4242" s="1358"/>
      <c r="I4242" s="1358"/>
    </row>
    <row r="4243" spans="8:9">
      <c r="H4243" s="1358"/>
      <c r="I4243" s="1358"/>
    </row>
    <row r="4244" spans="8:9">
      <c r="H4244" s="1358"/>
      <c r="I4244" s="1358"/>
    </row>
    <row r="4245" spans="8:9">
      <c r="H4245" s="1358"/>
      <c r="I4245" s="1358"/>
    </row>
    <row r="4246" spans="8:9">
      <c r="H4246" s="1358"/>
      <c r="I4246" s="1358"/>
    </row>
    <row r="4247" spans="8:9">
      <c r="H4247" s="1358"/>
      <c r="I4247" s="1358"/>
    </row>
    <row r="4248" spans="8:9">
      <c r="H4248" s="1358"/>
      <c r="I4248" s="1358"/>
    </row>
    <row r="4249" spans="8:9">
      <c r="H4249" s="1358"/>
      <c r="I4249" s="1358"/>
    </row>
    <row r="4250" spans="8:9">
      <c r="H4250" s="1358"/>
      <c r="I4250" s="1358"/>
    </row>
    <row r="4251" spans="8:9">
      <c r="H4251" s="1358"/>
      <c r="I4251" s="1358"/>
    </row>
    <row r="4252" spans="8:9">
      <c r="H4252" s="1358"/>
      <c r="I4252" s="1358"/>
    </row>
    <row r="4253" spans="8:9">
      <c r="H4253" s="1358"/>
      <c r="I4253" s="1358"/>
    </row>
    <row r="4254" spans="8:9">
      <c r="H4254" s="1358"/>
      <c r="I4254" s="1358"/>
    </row>
    <row r="4255" spans="8:9">
      <c r="H4255" s="1358"/>
      <c r="I4255" s="1358"/>
    </row>
    <row r="4256" spans="8:9">
      <c r="H4256" s="1358"/>
      <c r="I4256" s="1358"/>
    </row>
    <row r="4257" spans="8:9">
      <c r="H4257" s="1358"/>
      <c r="I4257" s="1358"/>
    </row>
    <row r="4258" spans="8:9">
      <c r="H4258" s="1358"/>
      <c r="I4258" s="1358"/>
    </row>
    <row r="4259" spans="8:9">
      <c r="H4259" s="1358"/>
      <c r="I4259" s="1358"/>
    </row>
    <row r="4260" spans="8:9">
      <c r="H4260" s="1358"/>
      <c r="I4260" s="1358"/>
    </row>
    <row r="4261" spans="8:9">
      <c r="H4261" s="1358"/>
      <c r="I4261" s="1358"/>
    </row>
    <row r="4262" spans="8:9">
      <c r="H4262" s="1358"/>
      <c r="I4262" s="1358"/>
    </row>
    <row r="4263" spans="8:9">
      <c r="H4263" s="1358"/>
      <c r="I4263" s="1358"/>
    </row>
    <row r="4264" spans="8:9">
      <c r="H4264" s="1358"/>
      <c r="I4264" s="1358"/>
    </row>
    <row r="4265" spans="8:9">
      <c r="H4265" s="1358"/>
      <c r="I4265" s="1358"/>
    </row>
    <row r="4266" spans="8:9">
      <c r="H4266" s="1358"/>
      <c r="I4266" s="1358"/>
    </row>
    <row r="4267" spans="8:9">
      <c r="H4267" s="1358"/>
      <c r="I4267" s="1358"/>
    </row>
    <row r="4268" spans="8:9">
      <c r="H4268" s="1358"/>
      <c r="I4268" s="1358"/>
    </row>
    <row r="4269" spans="8:9">
      <c r="H4269" s="1358"/>
      <c r="I4269" s="1358"/>
    </row>
    <row r="4270" spans="8:9">
      <c r="H4270" s="1358"/>
      <c r="I4270" s="1358"/>
    </row>
    <row r="4271" spans="8:9">
      <c r="H4271" s="1358"/>
      <c r="I4271" s="1358"/>
    </row>
    <row r="4272" spans="8:9">
      <c r="H4272" s="1358"/>
      <c r="I4272" s="1358"/>
    </row>
    <row r="4273" spans="8:9">
      <c r="H4273" s="1358"/>
      <c r="I4273" s="1358"/>
    </row>
    <row r="4274" spans="8:9">
      <c r="H4274" s="1358"/>
      <c r="I4274" s="1358"/>
    </row>
    <row r="4275" spans="8:9">
      <c r="H4275" s="1358"/>
      <c r="I4275" s="1358"/>
    </row>
    <row r="4276" spans="8:9">
      <c r="H4276" s="1358"/>
      <c r="I4276" s="1358"/>
    </row>
    <row r="4277" spans="8:9">
      <c r="H4277" s="1358"/>
      <c r="I4277" s="1358"/>
    </row>
    <row r="4278" spans="8:9">
      <c r="H4278" s="1358"/>
      <c r="I4278" s="1358"/>
    </row>
    <row r="4279" spans="8:9">
      <c r="H4279" s="1358"/>
      <c r="I4279" s="1358"/>
    </row>
    <row r="4280" spans="8:9">
      <c r="H4280" s="1358"/>
      <c r="I4280" s="1358"/>
    </row>
    <row r="4281" spans="8:9">
      <c r="H4281" s="1358"/>
      <c r="I4281" s="1358"/>
    </row>
    <row r="4282" spans="8:9">
      <c r="H4282" s="1358"/>
      <c r="I4282" s="1358"/>
    </row>
    <row r="4283" spans="8:9">
      <c r="H4283" s="1358"/>
      <c r="I4283" s="1358"/>
    </row>
    <row r="4284" spans="8:9">
      <c r="H4284" s="1358"/>
      <c r="I4284" s="1358"/>
    </row>
    <row r="4285" spans="8:9">
      <c r="H4285" s="1358"/>
      <c r="I4285" s="1358"/>
    </row>
    <row r="4286" spans="8:9">
      <c r="H4286" s="1358"/>
      <c r="I4286" s="1358"/>
    </row>
    <row r="4287" spans="8:9">
      <c r="H4287" s="1358"/>
      <c r="I4287" s="1358"/>
    </row>
    <row r="4288" spans="8:9">
      <c r="H4288" s="1358"/>
      <c r="I4288" s="1358"/>
    </row>
    <row r="4289" spans="8:9">
      <c r="H4289" s="1358"/>
      <c r="I4289" s="1358"/>
    </row>
    <row r="4290" spans="8:9">
      <c r="H4290" s="1358"/>
      <c r="I4290" s="1358"/>
    </row>
    <row r="4291" spans="8:9">
      <c r="H4291" s="1358"/>
      <c r="I4291" s="1358"/>
    </row>
    <row r="4292" spans="8:9">
      <c r="H4292" s="1358"/>
      <c r="I4292" s="1358"/>
    </row>
    <row r="4293" spans="8:9">
      <c r="H4293" s="1358"/>
      <c r="I4293" s="1358"/>
    </row>
    <row r="4294" spans="8:9">
      <c r="H4294" s="1358"/>
      <c r="I4294" s="1358"/>
    </row>
    <row r="4295" spans="8:9">
      <c r="H4295" s="1358"/>
      <c r="I4295" s="1358"/>
    </row>
    <row r="4296" spans="8:9">
      <c r="H4296" s="1358"/>
      <c r="I4296" s="1358"/>
    </row>
    <row r="4297" spans="8:9">
      <c r="H4297" s="1358"/>
      <c r="I4297" s="1358"/>
    </row>
    <row r="4298" spans="8:9">
      <c r="H4298" s="1358"/>
      <c r="I4298" s="1358"/>
    </row>
    <row r="4299" spans="8:9">
      <c r="H4299" s="1358"/>
      <c r="I4299" s="1358"/>
    </row>
    <row r="4300" spans="8:9">
      <c r="H4300" s="1358"/>
      <c r="I4300" s="1358"/>
    </row>
    <row r="4301" spans="8:9">
      <c r="H4301" s="1358"/>
      <c r="I4301" s="1358"/>
    </row>
    <row r="4302" spans="8:9">
      <c r="H4302" s="1358"/>
      <c r="I4302" s="1358"/>
    </row>
    <row r="4303" spans="8:9">
      <c r="H4303" s="1358"/>
      <c r="I4303" s="1358"/>
    </row>
    <row r="4304" spans="8:9">
      <c r="H4304" s="1358"/>
      <c r="I4304" s="1358"/>
    </row>
    <row r="4305" spans="8:9">
      <c r="H4305" s="1358"/>
      <c r="I4305" s="1358"/>
    </row>
    <row r="4306" spans="8:9">
      <c r="H4306" s="1358"/>
      <c r="I4306" s="1358"/>
    </row>
    <row r="4307" spans="8:9">
      <c r="H4307" s="1358"/>
      <c r="I4307" s="1358"/>
    </row>
    <row r="4308" spans="8:9">
      <c r="H4308" s="1358"/>
      <c r="I4308" s="1358"/>
    </row>
    <row r="4309" spans="8:9">
      <c r="H4309" s="1358"/>
      <c r="I4309" s="1358"/>
    </row>
    <row r="4310" spans="8:9">
      <c r="H4310" s="1358"/>
      <c r="I4310" s="1358"/>
    </row>
    <row r="4311" spans="8:9">
      <c r="H4311" s="1358"/>
      <c r="I4311" s="1358"/>
    </row>
    <row r="4312" spans="8:9">
      <c r="H4312" s="1358"/>
      <c r="I4312" s="1358"/>
    </row>
    <row r="4313" spans="8:9">
      <c r="H4313" s="1358"/>
      <c r="I4313" s="1358"/>
    </row>
    <row r="4314" spans="8:9">
      <c r="H4314" s="1358"/>
      <c r="I4314" s="1358"/>
    </row>
    <row r="4315" spans="8:9">
      <c r="H4315" s="1358"/>
      <c r="I4315" s="1358"/>
    </row>
    <row r="4316" spans="8:9">
      <c r="H4316" s="1358"/>
      <c r="I4316" s="1358"/>
    </row>
    <row r="4317" spans="8:9">
      <c r="H4317" s="1358"/>
      <c r="I4317" s="1358"/>
    </row>
    <row r="4318" spans="8:9">
      <c r="H4318" s="1358"/>
      <c r="I4318" s="1358"/>
    </row>
    <row r="4319" spans="8:9">
      <c r="H4319" s="1358"/>
      <c r="I4319" s="1358"/>
    </row>
    <row r="4320" spans="8:9">
      <c r="H4320" s="1358"/>
      <c r="I4320" s="1358"/>
    </row>
    <row r="4321" spans="8:9">
      <c r="H4321" s="1358"/>
      <c r="I4321" s="1358"/>
    </row>
    <row r="4322" spans="8:9">
      <c r="H4322" s="1358"/>
      <c r="I4322" s="1358"/>
    </row>
    <row r="4323" spans="8:9">
      <c r="H4323" s="1358"/>
      <c r="I4323" s="1358"/>
    </row>
    <row r="4324" spans="8:9">
      <c r="H4324" s="1358"/>
      <c r="I4324" s="1358"/>
    </row>
    <row r="4325" spans="8:9">
      <c r="H4325" s="1358"/>
      <c r="I4325" s="1358"/>
    </row>
    <row r="4326" spans="8:9">
      <c r="H4326" s="1358"/>
      <c r="I4326" s="1358"/>
    </row>
    <row r="4327" spans="8:9">
      <c r="H4327" s="1358"/>
      <c r="I4327" s="1358"/>
    </row>
    <row r="4328" spans="8:9">
      <c r="H4328" s="1358"/>
      <c r="I4328" s="1358"/>
    </row>
    <row r="4329" spans="8:9">
      <c r="H4329" s="1358"/>
      <c r="I4329" s="1358"/>
    </row>
    <row r="4330" spans="8:9">
      <c r="H4330" s="1358"/>
      <c r="I4330" s="1358"/>
    </row>
    <row r="4331" spans="8:9">
      <c r="H4331" s="1358"/>
      <c r="I4331" s="1358"/>
    </row>
    <row r="4332" spans="8:9">
      <c r="H4332" s="1358"/>
      <c r="I4332" s="1358"/>
    </row>
    <row r="4333" spans="8:9">
      <c r="H4333" s="1358"/>
      <c r="I4333" s="1358"/>
    </row>
    <row r="4334" spans="8:9">
      <c r="H4334" s="1358"/>
      <c r="I4334" s="1358"/>
    </row>
    <row r="4335" spans="8:9">
      <c r="H4335" s="1358"/>
      <c r="I4335" s="1358"/>
    </row>
    <row r="4336" spans="8:9">
      <c r="H4336" s="1358"/>
      <c r="I4336" s="1358"/>
    </row>
    <row r="4337" spans="8:9">
      <c r="H4337" s="1358"/>
      <c r="I4337" s="1358"/>
    </row>
    <row r="4338" spans="8:9">
      <c r="H4338" s="1358"/>
      <c r="I4338" s="1358"/>
    </row>
    <row r="4339" spans="8:9">
      <c r="H4339" s="1358"/>
      <c r="I4339" s="1358"/>
    </row>
    <row r="4340" spans="8:9">
      <c r="H4340" s="1358"/>
      <c r="I4340" s="1358"/>
    </row>
    <row r="4341" spans="8:9">
      <c r="H4341" s="1358"/>
      <c r="I4341" s="1358"/>
    </row>
    <row r="4342" spans="8:9">
      <c r="H4342" s="1358"/>
      <c r="I4342" s="1358"/>
    </row>
    <row r="4343" spans="8:9">
      <c r="H4343" s="1358"/>
      <c r="I4343" s="1358"/>
    </row>
    <row r="4344" spans="8:9">
      <c r="H4344" s="1358"/>
      <c r="I4344" s="1358"/>
    </row>
    <row r="4345" spans="8:9">
      <c r="H4345" s="1358"/>
      <c r="I4345" s="1358"/>
    </row>
    <row r="4346" spans="8:9">
      <c r="H4346" s="1358"/>
      <c r="I4346" s="1358"/>
    </row>
    <row r="4347" spans="8:9">
      <c r="H4347" s="1358"/>
      <c r="I4347" s="1358"/>
    </row>
    <row r="4348" spans="8:9">
      <c r="H4348" s="1358"/>
      <c r="I4348" s="1358"/>
    </row>
    <row r="4349" spans="8:9">
      <c r="H4349" s="1358"/>
      <c r="I4349" s="1358"/>
    </row>
    <row r="4350" spans="8:9">
      <c r="H4350" s="1358"/>
      <c r="I4350" s="1358"/>
    </row>
    <row r="4351" spans="8:9">
      <c r="H4351" s="1358"/>
      <c r="I4351" s="1358"/>
    </row>
    <row r="4352" spans="8:9">
      <c r="H4352" s="1358"/>
      <c r="I4352" s="1358"/>
    </row>
    <row r="4353" spans="8:9">
      <c r="H4353" s="1358"/>
      <c r="I4353" s="1358"/>
    </row>
    <row r="4354" spans="8:9">
      <c r="H4354" s="1358"/>
      <c r="I4354" s="1358"/>
    </row>
    <row r="4355" spans="8:9">
      <c r="H4355" s="1358"/>
      <c r="I4355" s="1358"/>
    </row>
    <row r="4356" spans="8:9">
      <c r="H4356" s="1358"/>
      <c r="I4356" s="1358"/>
    </row>
    <row r="4357" spans="8:9">
      <c r="H4357" s="1358"/>
      <c r="I4357" s="1358"/>
    </row>
    <row r="4358" spans="8:9">
      <c r="H4358" s="1358"/>
      <c r="I4358" s="1358"/>
    </row>
    <row r="4359" spans="8:9">
      <c r="H4359" s="1358"/>
      <c r="I4359" s="1358"/>
    </row>
    <row r="4360" spans="8:9">
      <c r="H4360" s="1358"/>
      <c r="I4360" s="1358"/>
    </row>
    <row r="4361" spans="8:9">
      <c r="H4361" s="1358"/>
      <c r="I4361" s="1358"/>
    </row>
    <row r="4362" spans="8:9">
      <c r="H4362" s="1358"/>
      <c r="I4362" s="1358"/>
    </row>
    <row r="4363" spans="8:9">
      <c r="H4363" s="1358"/>
      <c r="I4363" s="1358"/>
    </row>
    <row r="4364" spans="8:9">
      <c r="H4364" s="1358"/>
      <c r="I4364" s="1358"/>
    </row>
    <row r="4365" spans="8:9">
      <c r="H4365" s="1358"/>
      <c r="I4365" s="1358"/>
    </row>
    <row r="4366" spans="8:9">
      <c r="H4366" s="1358"/>
      <c r="I4366" s="1358"/>
    </row>
    <row r="4367" spans="8:9">
      <c r="H4367" s="1358"/>
      <c r="I4367" s="1358"/>
    </row>
    <row r="4368" spans="8:9">
      <c r="H4368" s="1358"/>
      <c r="I4368" s="1358"/>
    </row>
    <row r="4369" spans="8:9">
      <c r="H4369" s="1358"/>
      <c r="I4369" s="1358"/>
    </row>
    <row r="4370" spans="8:9">
      <c r="H4370" s="1358"/>
      <c r="I4370" s="1358"/>
    </row>
    <row r="4371" spans="8:9">
      <c r="H4371" s="1358"/>
      <c r="I4371" s="1358"/>
    </row>
    <row r="4372" spans="8:9">
      <c r="H4372" s="1358"/>
      <c r="I4372" s="1358"/>
    </row>
    <row r="4373" spans="8:9">
      <c r="H4373" s="1358"/>
      <c r="I4373" s="1358"/>
    </row>
    <row r="4374" spans="8:9">
      <c r="H4374" s="1358"/>
      <c r="I4374" s="1358"/>
    </row>
    <row r="4375" spans="8:9">
      <c r="H4375" s="1358"/>
      <c r="I4375" s="1358"/>
    </row>
    <row r="4376" spans="8:9">
      <c r="H4376" s="1358"/>
      <c r="I4376" s="1358"/>
    </row>
    <row r="4377" spans="8:9">
      <c r="H4377" s="1358"/>
      <c r="I4377" s="1358"/>
    </row>
    <row r="4378" spans="8:9">
      <c r="H4378" s="1358"/>
      <c r="I4378" s="1358"/>
    </row>
    <row r="4379" spans="8:9">
      <c r="H4379" s="1358"/>
      <c r="I4379" s="1358"/>
    </row>
    <row r="4380" spans="8:9">
      <c r="H4380" s="1358"/>
      <c r="I4380" s="1358"/>
    </row>
    <row r="4381" spans="8:9">
      <c r="H4381" s="1358"/>
      <c r="I4381" s="1358"/>
    </row>
    <row r="4382" spans="8:9">
      <c r="H4382" s="1358"/>
      <c r="I4382" s="1358"/>
    </row>
    <row r="4383" spans="8:9">
      <c r="H4383" s="1358"/>
      <c r="I4383" s="1358"/>
    </row>
    <row r="4384" spans="8:9">
      <c r="H4384" s="1358"/>
      <c r="I4384" s="1358"/>
    </row>
    <row r="4385" spans="8:9">
      <c r="H4385" s="1358"/>
      <c r="I4385" s="1358"/>
    </row>
    <row r="4386" spans="8:9">
      <c r="H4386" s="1358"/>
      <c r="I4386" s="1358"/>
    </row>
    <row r="4387" spans="8:9">
      <c r="H4387" s="1358"/>
      <c r="I4387" s="1358"/>
    </row>
    <row r="4388" spans="8:9">
      <c r="H4388" s="1358"/>
      <c r="I4388" s="1358"/>
    </row>
    <row r="4389" spans="8:9">
      <c r="H4389" s="1358"/>
      <c r="I4389" s="1358"/>
    </row>
    <row r="4390" spans="8:9">
      <c r="H4390" s="1358"/>
      <c r="I4390" s="1358"/>
    </row>
    <row r="4391" spans="8:9">
      <c r="H4391" s="1358"/>
      <c r="I4391" s="1358"/>
    </row>
    <row r="4392" spans="8:9">
      <c r="H4392" s="1358"/>
      <c r="I4392" s="1358"/>
    </row>
    <row r="4393" spans="8:9">
      <c r="H4393" s="1358"/>
      <c r="I4393" s="1358"/>
    </row>
    <row r="4394" spans="8:9">
      <c r="H4394" s="1358"/>
      <c r="I4394" s="1358"/>
    </row>
    <row r="4395" spans="8:9">
      <c r="H4395" s="1358"/>
      <c r="I4395" s="1358"/>
    </row>
    <row r="4396" spans="8:9">
      <c r="H4396" s="1358"/>
      <c r="I4396" s="1358"/>
    </row>
    <row r="4397" spans="8:9">
      <c r="H4397" s="1358"/>
      <c r="I4397" s="1358"/>
    </row>
    <row r="4398" spans="8:9">
      <c r="H4398" s="1358"/>
      <c r="I4398" s="1358"/>
    </row>
    <row r="4399" spans="8:9">
      <c r="H4399" s="1358"/>
      <c r="I4399" s="1358"/>
    </row>
    <row r="4400" spans="8:9">
      <c r="H4400" s="1358"/>
      <c r="I4400" s="1358"/>
    </row>
    <row r="4401" spans="8:9">
      <c r="H4401" s="1358"/>
      <c r="I4401" s="1358"/>
    </row>
    <row r="4402" spans="8:9">
      <c r="H4402" s="1358"/>
      <c r="I4402" s="1358"/>
    </row>
    <row r="4403" spans="8:9">
      <c r="H4403" s="1358"/>
      <c r="I4403" s="1358"/>
    </row>
    <row r="4404" spans="8:9">
      <c r="H4404" s="1358"/>
      <c r="I4404" s="1358"/>
    </row>
    <row r="4405" spans="8:9">
      <c r="H4405" s="1358"/>
      <c r="I4405" s="1358"/>
    </row>
    <row r="4406" spans="8:9">
      <c r="H4406" s="1358"/>
      <c r="I4406" s="1358"/>
    </row>
    <row r="4407" spans="8:9">
      <c r="H4407" s="1358"/>
      <c r="I4407" s="1358"/>
    </row>
    <row r="4408" spans="8:9">
      <c r="H4408" s="1358"/>
      <c r="I4408" s="1358"/>
    </row>
    <row r="4409" spans="8:9">
      <c r="H4409" s="1358"/>
      <c r="I4409" s="1358"/>
    </row>
    <row r="4410" spans="8:9">
      <c r="H4410" s="1358"/>
      <c r="I4410" s="1358"/>
    </row>
    <row r="4411" spans="8:9">
      <c r="H4411" s="1358"/>
      <c r="I4411" s="1358"/>
    </row>
    <row r="4412" spans="8:9">
      <c r="H4412" s="1358"/>
      <c r="I4412" s="1358"/>
    </row>
    <row r="4413" spans="8:9">
      <c r="H4413" s="1358"/>
      <c r="I4413" s="1358"/>
    </row>
    <row r="4414" spans="8:9">
      <c r="H4414" s="1358"/>
      <c r="I4414" s="1358"/>
    </row>
    <row r="4415" spans="8:9">
      <c r="H4415" s="1358"/>
      <c r="I4415" s="1358"/>
    </row>
    <row r="4416" spans="8:9">
      <c r="H4416" s="1358"/>
      <c r="I4416" s="1358"/>
    </row>
    <row r="4417" spans="8:9">
      <c r="H4417" s="1358"/>
      <c r="I4417" s="1358"/>
    </row>
    <row r="4418" spans="8:9">
      <c r="H4418" s="1358"/>
      <c r="I4418" s="1358"/>
    </row>
    <row r="4419" spans="8:9">
      <c r="H4419" s="1358"/>
      <c r="I4419" s="1358"/>
    </row>
    <row r="4420" spans="8:9">
      <c r="H4420" s="1358"/>
      <c r="I4420" s="1358"/>
    </row>
    <row r="4421" spans="8:9">
      <c r="H4421" s="1358"/>
      <c r="I4421" s="1358"/>
    </row>
    <row r="4422" spans="8:9">
      <c r="H4422" s="1358"/>
      <c r="I4422" s="1358"/>
    </row>
    <row r="4423" spans="8:9">
      <c r="H4423" s="1358"/>
      <c r="I4423" s="1358"/>
    </row>
    <row r="4424" spans="8:9">
      <c r="H4424" s="1358"/>
      <c r="I4424" s="1358"/>
    </row>
    <row r="4425" spans="8:9">
      <c r="H4425" s="1358"/>
      <c r="I4425" s="1358"/>
    </row>
    <row r="4426" spans="8:9">
      <c r="H4426" s="1358"/>
      <c r="I4426" s="1358"/>
    </row>
    <row r="4427" spans="8:9">
      <c r="H4427" s="1358"/>
      <c r="I4427" s="1358"/>
    </row>
    <row r="4428" spans="8:9">
      <c r="H4428" s="1358"/>
      <c r="I4428" s="1358"/>
    </row>
    <row r="4429" spans="8:9">
      <c r="H4429" s="1358"/>
      <c r="I4429" s="1358"/>
    </row>
    <row r="4430" spans="8:9">
      <c r="H4430" s="1358"/>
      <c r="I4430" s="1358"/>
    </row>
    <row r="4431" spans="8:9">
      <c r="H4431" s="1358"/>
      <c r="I4431" s="1358"/>
    </row>
    <row r="4432" spans="8:9">
      <c r="H4432" s="1358"/>
      <c r="I4432" s="1358"/>
    </row>
    <row r="4433" spans="8:9">
      <c r="H4433" s="1358"/>
      <c r="I4433" s="1358"/>
    </row>
    <row r="4434" spans="8:9">
      <c r="H4434" s="1358"/>
      <c r="I4434" s="1358"/>
    </row>
    <row r="4435" spans="8:9">
      <c r="H4435" s="1358"/>
      <c r="I4435" s="1358"/>
    </row>
    <row r="4436" spans="8:9">
      <c r="H4436" s="1358"/>
      <c r="I4436" s="1358"/>
    </row>
    <row r="4437" spans="8:9">
      <c r="H4437" s="1358"/>
      <c r="I4437" s="1358"/>
    </row>
    <row r="4438" spans="8:9">
      <c r="H4438" s="1358"/>
      <c r="I4438" s="1358"/>
    </row>
    <row r="4439" spans="8:9">
      <c r="H4439" s="1358"/>
      <c r="I4439" s="1358"/>
    </row>
    <row r="4440" spans="8:9">
      <c r="H4440" s="1358"/>
      <c r="I4440" s="1358"/>
    </row>
    <row r="4441" spans="8:9">
      <c r="H4441" s="1358"/>
      <c r="I4441" s="1358"/>
    </row>
    <row r="4442" spans="8:9">
      <c r="H4442" s="1358"/>
      <c r="I4442" s="1358"/>
    </row>
    <row r="4443" spans="8:9">
      <c r="H4443" s="1358"/>
      <c r="I4443" s="1358"/>
    </row>
    <row r="4444" spans="8:9">
      <c r="H4444" s="1358"/>
      <c r="I4444" s="1358"/>
    </row>
    <row r="4445" spans="8:9">
      <c r="H4445" s="1358"/>
      <c r="I4445" s="1358"/>
    </row>
    <row r="4446" spans="8:9">
      <c r="H4446" s="1358"/>
      <c r="I4446" s="1358"/>
    </row>
    <row r="4447" spans="8:9">
      <c r="H4447" s="1358"/>
      <c r="I4447" s="1358"/>
    </row>
    <row r="4448" spans="8:9">
      <c r="H4448" s="1358"/>
      <c r="I4448" s="1358"/>
    </row>
    <row r="4449" spans="8:9">
      <c r="H4449" s="1358"/>
      <c r="I4449" s="1358"/>
    </row>
    <row r="4450" spans="8:9">
      <c r="H4450" s="1358"/>
      <c r="I4450" s="1358"/>
    </row>
    <row r="4451" spans="8:9">
      <c r="H4451" s="1358"/>
      <c r="I4451" s="1358"/>
    </row>
    <row r="4452" spans="8:9">
      <c r="H4452" s="1358"/>
      <c r="I4452" s="1358"/>
    </row>
    <row r="4453" spans="8:9">
      <c r="H4453" s="1358"/>
      <c r="I4453" s="1358"/>
    </row>
    <row r="4454" spans="8:9">
      <c r="H4454" s="1358"/>
      <c r="I4454" s="1358"/>
    </row>
    <row r="4455" spans="8:9">
      <c r="H4455" s="1358"/>
      <c r="I4455" s="1358"/>
    </row>
    <row r="4456" spans="8:9">
      <c r="H4456" s="1358"/>
      <c r="I4456" s="1358"/>
    </row>
    <row r="4457" spans="8:9">
      <c r="H4457" s="1358"/>
      <c r="I4457" s="1358"/>
    </row>
    <row r="4458" spans="8:9">
      <c r="H4458" s="1358"/>
      <c r="I4458" s="1358"/>
    </row>
    <row r="4459" spans="8:9">
      <c r="H4459" s="1358"/>
      <c r="I4459" s="1358"/>
    </row>
    <row r="4460" spans="8:9">
      <c r="H4460" s="1358"/>
      <c r="I4460" s="1358"/>
    </row>
    <row r="4461" spans="8:9">
      <c r="H4461" s="1358"/>
      <c r="I4461" s="1358"/>
    </row>
    <row r="4462" spans="8:9">
      <c r="H4462" s="1358"/>
      <c r="I4462" s="1358"/>
    </row>
    <row r="4463" spans="8:9">
      <c r="H4463" s="1358"/>
      <c r="I4463" s="1358"/>
    </row>
    <row r="4464" spans="8:9">
      <c r="H4464" s="1358"/>
      <c r="I4464" s="1358"/>
    </row>
    <row r="4465" spans="8:9">
      <c r="H4465" s="1358"/>
      <c r="I4465" s="1358"/>
    </row>
    <row r="4466" spans="8:9">
      <c r="H4466" s="1358"/>
      <c r="I4466" s="1358"/>
    </row>
    <row r="4467" spans="8:9">
      <c r="H4467" s="1358"/>
      <c r="I4467" s="1358"/>
    </row>
    <row r="4468" spans="8:9">
      <c r="H4468" s="1358"/>
      <c r="I4468" s="1358"/>
    </row>
    <row r="4469" spans="8:9">
      <c r="H4469" s="1358"/>
      <c r="I4469" s="1358"/>
    </row>
    <row r="4470" spans="8:9">
      <c r="H4470" s="1358"/>
      <c r="I4470" s="1358"/>
    </row>
    <row r="4471" spans="8:9">
      <c r="H4471" s="1358"/>
      <c r="I4471" s="1358"/>
    </row>
    <row r="4472" spans="8:9">
      <c r="H4472" s="1358"/>
      <c r="I4472" s="1358"/>
    </row>
    <row r="4473" spans="8:9">
      <c r="H4473" s="1358"/>
      <c r="I4473" s="1358"/>
    </row>
    <row r="4474" spans="8:9">
      <c r="H4474" s="1358"/>
      <c r="I4474" s="1358"/>
    </row>
    <row r="4475" spans="8:9">
      <c r="H4475" s="1358"/>
      <c r="I4475" s="1358"/>
    </row>
    <row r="4476" spans="8:9">
      <c r="H4476" s="1358"/>
      <c r="I4476" s="1358"/>
    </row>
    <row r="4477" spans="8:9">
      <c r="H4477" s="1358"/>
      <c r="I4477" s="1358"/>
    </row>
    <row r="4478" spans="8:9">
      <c r="H4478" s="1358"/>
      <c r="I4478" s="1358"/>
    </row>
    <row r="4479" spans="8:9">
      <c r="H4479" s="1358"/>
      <c r="I4479" s="1358"/>
    </row>
    <row r="4480" spans="8:9">
      <c r="H4480" s="1358"/>
      <c r="I4480" s="1358"/>
    </row>
    <row r="4481" spans="8:9">
      <c r="H4481" s="1358"/>
      <c r="I4481" s="1358"/>
    </row>
    <row r="4482" spans="8:9">
      <c r="H4482" s="1358"/>
      <c r="I4482" s="1358"/>
    </row>
    <row r="4483" spans="8:9">
      <c r="H4483" s="1358"/>
      <c r="I4483" s="1358"/>
    </row>
    <row r="4484" spans="8:9">
      <c r="H4484" s="1358"/>
      <c r="I4484" s="1358"/>
    </row>
    <row r="4485" spans="8:9">
      <c r="H4485" s="1358"/>
      <c r="I4485" s="1358"/>
    </row>
    <row r="4486" spans="8:9">
      <c r="H4486" s="1358"/>
      <c r="I4486" s="1358"/>
    </row>
    <row r="4487" spans="8:9">
      <c r="H4487" s="1358"/>
      <c r="I4487" s="1358"/>
    </row>
    <row r="4488" spans="8:9">
      <c r="H4488" s="1358"/>
      <c r="I4488" s="1358"/>
    </row>
    <row r="4489" spans="8:9">
      <c r="H4489" s="1358"/>
      <c r="I4489" s="1358"/>
    </row>
    <row r="4490" spans="8:9">
      <c r="H4490" s="1358"/>
      <c r="I4490" s="1358"/>
    </row>
    <row r="4491" spans="8:9">
      <c r="H4491" s="1358"/>
      <c r="I4491" s="1358"/>
    </row>
    <row r="4492" spans="8:9">
      <c r="H4492" s="1358"/>
      <c r="I4492" s="1358"/>
    </row>
    <row r="4493" spans="8:9">
      <c r="H4493" s="1358"/>
      <c r="I4493" s="1358"/>
    </row>
    <row r="4494" spans="8:9">
      <c r="H4494" s="1358"/>
      <c r="I4494" s="1358"/>
    </row>
    <row r="4495" spans="8:9">
      <c r="H4495" s="1358"/>
      <c r="I4495" s="1358"/>
    </row>
    <row r="4496" spans="8:9">
      <c r="H4496" s="1358"/>
      <c r="I4496" s="1358"/>
    </row>
    <row r="4497" spans="8:9">
      <c r="H4497" s="1358"/>
      <c r="I4497" s="1358"/>
    </row>
    <row r="4498" spans="8:9">
      <c r="H4498" s="1358"/>
      <c r="I4498" s="1358"/>
    </row>
    <row r="4499" spans="8:9">
      <c r="H4499" s="1358"/>
      <c r="I4499" s="1358"/>
    </row>
    <row r="4500" spans="8:9">
      <c r="H4500" s="1358"/>
      <c r="I4500" s="1358"/>
    </row>
    <row r="4501" spans="8:9">
      <c r="H4501" s="1358"/>
      <c r="I4501" s="1358"/>
    </row>
    <row r="4502" spans="8:9">
      <c r="H4502" s="1358"/>
      <c r="I4502" s="1358"/>
    </row>
    <row r="4503" spans="8:9">
      <c r="H4503" s="1358"/>
      <c r="I4503" s="1358"/>
    </row>
    <row r="4504" spans="8:9">
      <c r="H4504" s="1358"/>
      <c r="I4504" s="1358"/>
    </row>
    <row r="4505" spans="8:9">
      <c r="H4505" s="1358"/>
      <c r="I4505" s="1358"/>
    </row>
    <row r="4506" spans="8:9">
      <c r="H4506" s="1358"/>
      <c r="I4506" s="1358"/>
    </row>
    <row r="4507" spans="8:9">
      <c r="H4507" s="1358"/>
      <c r="I4507" s="1358"/>
    </row>
    <row r="4508" spans="8:9">
      <c r="H4508" s="1358"/>
      <c r="I4508" s="1358"/>
    </row>
    <row r="4509" spans="8:9">
      <c r="H4509" s="1358"/>
      <c r="I4509" s="1358"/>
    </row>
    <row r="4510" spans="8:9">
      <c r="H4510" s="1358"/>
      <c r="I4510" s="1358"/>
    </row>
    <row r="4511" spans="8:9">
      <c r="H4511" s="1358"/>
      <c r="I4511" s="1358"/>
    </row>
    <row r="4512" spans="8:9">
      <c r="H4512" s="1358"/>
      <c r="I4512" s="1358"/>
    </row>
    <row r="4513" spans="8:9">
      <c r="H4513" s="1358"/>
      <c r="I4513" s="1358"/>
    </row>
    <row r="4514" spans="8:9">
      <c r="H4514" s="1358"/>
      <c r="I4514" s="1358"/>
    </row>
    <row r="4515" spans="8:9">
      <c r="H4515" s="1358"/>
      <c r="I4515" s="1358"/>
    </row>
    <row r="4516" spans="8:9">
      <c r="H4516" s="1358"/>
      <c r="I4516" s="1358"/>
    </row>
    <row r="4517" spans="8:9">
      <c r="H4517" s="1358"/>
      <c r="I4517" s="1358"/>
    </row>
    <row r="4518" spans="8:9">
      <c r="H4518" s="1358"/>
      <c r="I4518" s="1358"/>
    </row>
    <row r="4519" spans="8:9">
      <c r="H4519" s="1358"/>
      <c r="I4519" s="1358"/>
    </row>
    <row r="4520" spans="8:9">
      <c r="H4520" s="1358"/>
      <c r="I4520" s="1358"/>
    </row>
    <row r="4521" spans="8:9">
      <c r="H4521" s="1358"/>
      <c r="I4521" s="1358"/>
    </row>
    <row r="4522" spans="8:9">
      <c r="H4522" s="1358"/>
      <c r="I4522" s="1358"/>
    </row>
    <row r="4523" spans="8:9">
      <c r="H4523" s="1358"/>
      <c r="I4523" s="1358"/>
    </row>
    <row r="4524" spans="8:9">
      <c r="H4524" s="1358"/>
      <c r="I4524" s="1358"/>
    </row>
    <row r="4525" spans="8:9">
      <c r="H4525" s="1358"/>
      <c r="I4525" s="1358"/>
    </row>
    <row r="4526" spans="8:9">
      <c r="H4526" s="1358"/>
      <c r="I4526" s="1358"/>
    </row>
    <row r="4527" spans="8:9">
      <c r="H4527" s="1358"/>
      <c r="I4527" s="1358"/>
    </row>
    <row r="4528" spans="8:9">
      <c r="H4528" s="1358"/>
      <c r="I4528" s="1358"/>
    </row>
    <row r="4529" spans="8:9">
      <c r="H4529" s="1358"/>
      <c r="I4529" s="1358"/>
    </row>
    <row r="4530" spans="8:9">
      <c r="H4530" s="1358"/>
      <c r="I4530" s="1358"/>
    </row>
    <row r="4531" spans="8:9">
      <c r="H4531" s="1358"/>
      <c r="I4531" s="1358"/>
    </row>
    <row r="4532" spans="8:9">
      <c r="H4532" s="1358"/>
      <c r="I4532" s="1358"/>
    </row>
    <row r="4533" spans="8:9">
      <c r="H4533" s="1358"/>
      <c r="I4533" s="1358"/>
    </row>
    <row r="4534" spans="8:9">
      <c r="H4534" s="1358"/>
      <c r="I4534" s="1358"/>
    </row>
    <row r="4535" spans="8:9">
      <c r="H4535" s="1358"/>
      <c r="I4535" s="1358"/>
    </row>
    <row r="4536" spans="8:9">
      <c r="H4536" s="1358"/>
      <c r="I4536" s="1358"/>
    </row>
    <row r="4537" spans="8:9">
      <c r="H4537" s="1358"/>
      <c r="I4537" s="1358"/>
    </row>
    <row r="4538" spans="8:9">
      <c r="H4538" s="1358"/>
      <c r="I4538" s="1358"/>
    </row>
    <row r="4539" spans="8:9">
      <c r="H4539" s="1358"/>
      <c r="I4539" s="1358"/>
    </row>
    <row r="4540" spans="8:9">
      <c r="H4540" s="1358"/>
      <c r="I4540" s="1358"/>
    </row>
    <row r="4541" spans="8:9">
      <c r="H4541" s="1358"/>
      <c r="I4541" s="1358"/>
    </row>
    <row r="4542" spans="8:9">
      <c r="H4542" s="1358"/>
      <c r="I4542" s="1358"/>
    </row>
    <row r="4543" spans="8:9">
      <c r="H4543" s="1358"/>
      <c r="I4543" s="1358"/>
    </row>
    <row r="4544" spans="8:9">
      <c r="H4544" s="1358"/>
      <c r="I4544" s="1358"/>
    </row>
    <row r="4545" spans="8:9">
      <c r="H4545" s="1358"/>
      <c r="I4545" s="1358"/>
    </row>
    <row r="4546" spans="8:9">
      <c r="H4546" s="1358"/>
      <c r="I4546" s="1358"/>
    </row>
    <row r="4547" spans="8:9">
      <c r="H4547" s="1358"/>
      <c r="I4547" s="1358"/>
    </row>
    <row r="4548" spans="8:9">
      <c r="H4548" s="1358"/>
      <c r="I4548" s="1358"/>
    </row>
    <row r="4549" spans="8:9">
      <c r="H4549" s="1358"/>
      <c r="I4549" s="1358"/>
    </row>
    <row r="4550" spans="8:9">
      <c r="H4550" s="1358"/>
      <c r="I4550" s="1358"/>
    </row>
    <row r="4551" spans="8:9">
      <c r="H4551" s="1358"/>
      <c r="I4551" s="1358"/>
    </row>
    <row r="4552" spans="8:9">
      <c r="H4552" s="1358"/>
      <c r="I4552" s="1358"/>
    </row>
    <row r="4553" spans="8:9">
      <c r="H4553" s="1358"/>
      <c r="I4553" s="1358"/>
    </row>
    <row r="4554" spans="8:9">
      <c r="H4554" s="1358"/>
      <c r="I4554" s="1358"/>
    </row>
    <row r="4555" spans="8:9">
      <c r="H4555" s="1358"/>
      <c r="I4555" s="1358"/>
    </row>
    <row r="4556" spans="8:9">
      <c r="H4556" s="1358"/>
      <c r="I4556" s="1358"/>
    </row>
    <row r="4557" spans="8:9">
      <c r="H4557" s="1358"/>
      <c r="I4557" s="1358"/>
    </row>
    <row r="4558" spans="8:9">
      <c r="H4558" s="1358"/>
      <c r="I4558" s="1358"/>
    </row>
    <row r="4559" spans="8:9">
      <c r="H4559" s="1358"/>
      <c r="I4559" s="1358"/>
    </row>
    <row r="4560" spans="8:9">
      <c r="H4560" s="1358"/>
      <c r="I4560" s="1358"/>
    </row>
    <row r="4561" spans="8:9">
      <c r="H4561" s="1358"/>
      <c r="I4561" s="1358"/>
    </row>
    <row r="4562" spans="8:9">
      <c r="H4562" s="1358"/>
      <c r="I4562" s="1358"/>
    </row>
    <row r="4563" spans="8:9">
      <c r="H4563" s="1358"/>
      <c r="I4563" s="1358"/>
    </row>
    <row r="4564" spans="8:9">
      <c r="H4564" s="1358"/>
      <c r="I4564" s="1358"/>
    </row>
    <row r="4565" spans="8:9">
      <c r="H4565" s="1358"/>
      <c r="I4565" s="1358"/>
    </row>
    <row r="4566" spans="8:9">
      <c r="H4566" s="1358"/>
      <c r="I4566" s="1358"/>
    </row>
    <row r="4567" spans="8:9">
      <c r="H4567" s="1358"/>
      <c r="I4567" s="1358"/>
    </row>
    <row r="4568" spans="8:9">
      <c r="H4568" s="1358"/>
      <c r="I4568" s="1358"/>
    </row>
    <row r="4569" spans="8:9">
      <c r="H4569" s="1358"/>
      <c r="I4569" s="1358"/>
    </row>
    <row r="4570" spans="8:9">
      <c r="H4570" s="1358"/>
      <c r="I4570" s="1358"/>
    </row>
    <row r="4571" spans="8:9">
      <c r="H4571" s="1358"/>
      <c r="I4571" s="1358"/>
    </row>
    <row r="4572" spans="8:9">
      <c r="H4572" s="1358"/>
      <c r="I4572" s="1358"/>
    </row>
    <row r="4573" spans="8:9">
      <c r="H4573" s="1358"/>
      <c r="I4573" s="1358"/>
    </row>
    <row r="4574" spans="8:9">
      <c r="H4574" s="1358"/>
      <c r="I4574" s="1358"/>
    </row>
    <row r="4575" spans="8:9">
      <c r="H4575" s="1358"/>
      <c r="I4575" s="1358"/>
    </row>
    <row r="4576" spans="8:9">
      <c r="H4576" s="1358"/>
      <c r="I4576" s="1358"/>
    </row>
    <row r="4577" spans="8:9">
      <c r="H4577" s="1358"/>
      <c r="I4577" s="1358"/>
    </row>
    <row r="4578" spans="8:9">
      <c r="H4578" s="1358"/>
      <c r="I4578" s="1358"/>
    </row>
    <row r="4579" spans="8:9">
      <c r="H4579" s="1358"/>
      <c r="I4579" s="1358"/>
    </row>
    <row r="4580" spans="8:9">
      <c r="H4580" s="1358"/>
      <c r="I4580" s="1358"/>
    </row>
    <row r="4581" spans="8:9">
      <c r="H4581" s="1358"/>
      <c r="I4581" s="1358"/>
    </row>
    <row r="4582" spans="8:9">
      <c r="H4582" s="1358"/>
      <c r="I4582" s="1358"/>
    </row>
    <row r="4583" spans="8:9">
      <c r="H4583" s="1358"/>
      <c r="I4583" s="1358"/>
    </row>
    <row r="4584" spans="8:9">
      <c r="H4584" s="1358"/>
      <c r="I4584" s="1358"/>
    </row>
    <row r="4585" spans="8:9">
      <c r="H4585" s="1358"/>
      <c r="I4585" s="1358"/>
    </row>
    <row r="4586" spans="8:9">
      <c r="H4586" s="1358"/>
      <c r="I4586" s="1358"/>
    </row>
    <row r="4587" spans="8:9">
      <c r="H4587" s="1358"/>
      <c r="I4587" s="1358"/>
    </row>
    <row r="4588" spans="8:9">
      <c r="H4588" s="1358"/>
      <c r="I4588" s="1358"/>
    </row>
    <row r="4589" spans="8:9">
      <c r="H4589" s="1358"/>
      <c r="I4589" s="1358"/>
    </row>
    <row r="4590" spans="8:9">
      <c r="H4590" s="1358"/>
      <c r="I4590" s="1358"/>
    </row>
    <row r="4591" spans="8:9">
      <c r="H4591" s="1358"/>
      <c r="I4591" s="1358"/>
    </row>
    <row r="4592" spans="8:9">
      <c r="H4592" s="1358"/>
      <c r="I4592" s="1358"/>
    </row>
    <row r="4593" spans="8:9">
      <c r="H4593" s="1358"/>
      <c r="I4593" s="1358"/>
    </row>
    <row r="4594" spans="8:9">
      <c r="H4594" s="1358"/>
      <c r="I4594" s="1358"/>
    </row>
    <row r="4595" spans="8:9">
      <c r="H4595" s="1358"/>
      <c r="I4595" s="1358"/>
    </row>
    <row r="4596" spans="8:9">
      <c r="H4596" s="1358"/>
      <c r="I4596" s="1358"/>
    </row>
    <row r="4597" spans="8:9">
      <c r="H4597" s="1358"/>
      <c r="I4597" s="1358"/>
    </row>
    <row r="4598" spans="8:9">
      <c r="H4598" s="1358"/>
      <c r="I4598" s="1358"/>
    </row>
    <row r="4599" spans="8:9">
      <c r="H4599" s="1358"/>
      <c r="I4599" s="1358"/>
    </row>
    <row r="4600" spans="8:9">
      <c r="H4600" s="1358"/>
      <c r="I4600" s="1358"/>
    </row>
    <row r="4601" spans="8:9">
      <c r="H4601" s="1358"/>
      <c r="I4601" s="1358"/>
    </row>
    <row r="4602" spans="8:9">
      <c r="H4602" s="1358"/>
      <c r="I4602" s="1358"/>
    </row>
    <row r="4603" spans="8:9">
      <c r="H4603" s="1358"/>
      <c r="I4603" s="1358"/>
    </row>
    <row r="4604" spans="8:9">
      <c r="H4604" s="1358"/>
      <c r="I4604" s="1358"/>
    </row>
    <row r="4605" spans="8:9">
      <c r="H4605" s="1358"/>
      <c r="I4605" s="1358"/>
    </row>
    <row r="4606" spans="8:9">
      <c r="H4606" s="1358"/>
      <c r="I4606" s="1358"/>
    </row>
    <row r="4607" spans="8:9">
      <c r="H4607" s="1358"/>
      <c r="I4607" s="1358"/>
    </row>
    <row r="4608" spans="8:9">
      <c r="H4608" s="1358"/>
      <c r="I4608" s="1358"/>
    </row>
    <row r="4609" spans="8:9">
      <c r="H4609" s="1358"/>
      <c r="I4609" s="1358"/>
    </row>
    <row r="4610" spans="8:9">
      <c r="H4610" s="1358"/>
      <c r="I4610" s="1358"/>
    </row>
    <row r="4611" spans="8:9">
      <c r="H4611" s="1358"/>
      <c r="I4611" s="1358"/>
    </row>
    <row r="4612" spans="8:9">
      <c r="H4612" s="1358"/>
      <c r="I4612" s="1358"/>
    </row>
    <row r="4613" spans="8:9">
      <c r="H4613" s="1358"/>
      <c r="I4613" s="1358"/>
    </row>
    <row r="4614" spans="8:9">
      <c r="H4614" s="1358"/>
      <c r="I4614" s="1358"/>
    </row>
    <row r="4615" spans="8:9">
      <c r="H4615" s="1358"/>
      <c r="I4615" s="1358"/>
    </row>
    <row r="4616" spans="8:9">
      <c r="H4616" s="1358"/>
      <c r="I4616" s="1358"/>
    </row>
    <row r="4617" spans="8:9">
      <c r="H4617" s="1358"/>
      <c r="I4617" s="1358"/>
    </row>
    <row r="4618" spans="8:9">
      <c r="H4618" s="1358"/>
      <c r="I4618" s="1358"/>
    </row>
    <row r="4619" spans="8:9">
      <c r="H4619" s="1358"/>
      <c r="I4619" s="1358"/>
    </row>
    <row r="4620" spans="8:9">
      <c r="H4620" s="1358"/>
      <c r="I4620" s="1358"/>
    </row>
    <row r="4621" spans="8:9">
      <c r="H4621" s="1358"/>
      <c r="I4621" s="1358"/>
    </row>
    <row r="4622" spans="8:9">
      <c r="H4622" s="1358"/>
      <c r="I4622" s="1358"/>
    </row>
    <row r="4623" spans="8:9">
      <c r="H4623" s="1358"/>
      <c r="I4623" s="1358"/>
    </row>
    <row r="4624" spans="8:9">
      <c r="H4624" s="1358"/>
      <c r="I4624" s="1358"/>
    </row>
    <row r="4625" spans="8:9">
      <c r="H4625" s="1358"/>
      <c r="I4625" s="1358"/>
    </row>
    <row r="4626" spans="8:9">
      <c r="H4626" s="1358"/>
      <c r="I4626" s="1358"/>
    </row>
    <row r="4627" spans="8:9">
      <c r="H4627" s="1358"/>
      <c r="I4627" s="1358"/>
    </row>
    <row r="4628" spans="8:9">
      <c r="H4628" s="1358"/>
      <c r="I4628" s="1358"/>
    </row>
    <row r="4629" spans="8:9">
      <c r="H4629" s="1358"/>
      <c r="I4629" s="1358"/>
    </row>
    <row r="4630" spans="8:9">
      <c r="H4630" s="1358"/>
      <c r="I4630" s="1358"/>
    </row>
    <row r="4631" spans="8:9">
      <c r="H4631" s="1358"/>
      <c r="I4631" s="1358"/>
    </row>
    <row r="4632" spans="8:9">
      <c r="H4632" s="1358"/>
      <c r="I4632" s="1358"/>
    </row>
    <row r="4633" spans="8:9">
      <c r="H4633" s="1358"/>
      <c r="I4633" s="1358"/>
    </row>
    <row r="4634" spans="8:9">
      <c r="H4634" s="1358"/>
      <c r="I4634" s="1358"/>
    </row>
    <row r="4635" spans="8:9">
      <c r="H4635" s="1358"/>
      <c r="I4635" s="1358"/>
    </row>
    <row r="4636" spans="8:9">
      <c r="H4636" s="1358"/>
      <c r="I4636" s="1358"/>
    </row>
    <row r="4637" spans="8:9">
      <c r="H4637" s="1358"/>
      <c r="I4637" s="1358"/>
    </row>
    <row r="4638" spans="8:9">
      <c r="H4638" s="1358"/>
      <c r="I4638" s="1358"/>
    </row>
    <row r="4639" spans="8:9">
      <c r="H4639" s="1358"/>
      <c r="I4639" s="1358"/>
    </row>
    <row r="4640" spans="8:9">
      <c r="H4640" s="1358"/>
      <c r="I4640" s="1358"/>
    </row>
    <row r="4641" spans="8:9">
      <c r="H4641" s="1358"/>
      <c r="I4641" s="1358"/>
    </row>
    <row r="4642" spans="8:9">
      <c r="H4642" s="1358"/>
      <c r="I4642" s="1358"/>
    </row>
    <row r="4643" spans="8:9">
      <c r="H4643" s="1358"/>
      <c r="I4643" s="1358"/>
    </row>
    <row r="4644" spans="8:9">
      <c r="H4644" s="1358"/>
      <c r="I4644" s="1358"/>
    </row>
    <row r="4645" spans="8:9">
      <c r="H4645" s="1358"/>
      <c r="I4645" s="1358"/>
    </row>
    <row r="4646" spans="8:9">
      <c r="H4646" s="1358"/>
      <c r="I4646" s="1358"/>
    </row>
    <row r="4647" spans="8:9">
      <c r="H4647" s="1358"/>
      <c r="I4647" s="1358"/>
    </row>
    <row r="4648" spans="8:9">
      <c r="H4648" s="1358"/>
      <c r="I4648" s="1358"/>
    </row>
    <row r="4649" spans="8:9">
      <c r="H4649" s="1358"/>
      <c r="I4649" s="1358"/>
    </row>
    <row r="4650" spans="8:9">
      <c r="H4650" s="1358"/>
      <c r="I4650" s="1358"/>
    </row>
    <row r="4651" spans="8:9">
      <c r="H4651" s="1358"/>
      <c r="I4651" s="1358"/>
    </row>
    <row r="4652" spans="8:9">
      <c r="H4652" s="1358"/>
      <c r="I4652" s="1358"/>
    </row>
    <row r="4653" spans="8:9">
      <c r="H4653" s="1358"/>
      <c r="I4653" s="1358"/>
    </row>
    <row r="4654" spans="8:9">
      <c r="H4654" s="1358"/>
      <c r="I4654" s="1358"/>
    </row>
    <row r="4655" spans="8:9">
      <c r="H4655" s="1358"/>
      <c r="I4655" s="1358"/>
    </row>
    <row r="4656" spans="8:9">
      <c r="H4656" s="1358"/>
      <c r="I4656" s="1358"/>
    </row>
    <row r="4657" spans="8:9">
      <c r="H4657" s="1358"/>
      <c r="I4657" s="1358"/>
    </row>
    <row r="4658" spans="8:9">
      <c r="H4658" s="1358"/>
      <c r="I4658" s="1358"/>
    </row>
    <row r="4659" spans="8:9">
      <c r="H4659" s="1358"/>
      <c r="I4659" s="1358"/>
    </row>
    <row r="4660" spans="8:9">
      <c r="H4660" s="1358"/>
      <c r="I4660" s="1358"/>
    </row>
    <row r="4661" spans="8:9">
      <c r="H4661" s="1358"/>
      <c r="I4661" s="1358"/>
    </row>
    <row r="4662" spans="8:9">
      <c r="H4662" s="1358"/>
      <c r="I4662" s="1358"/>
    </row>
    <row r="4663" spans="8:9">
      <c r="H4663" s="1358"/>
      <c r="I4663" s="1358"/>
    </row>
    <row r="4664" spans="8:9">
      <c r="H4664" s="1358"/>
      <c r="I4664" s="1358"/>
    </row>
    <row r="4665" spans="8:9">
      <c r="H4665" s="1358"/>
      <c r="I4665" s="1358"/>
    </row>
    <row r="4666" spans="8:9">
      <c r="H4666" s="1358"/>
      <c r="I4666" s="1358"/>
    </row>
    <row r="4667" spans="8:9">
      <c r="H4667" s="1358"/>
      <c r="I4667" s="1358"/>
    </row>
    <row r="4668" spans="8:9">
      <c r="H4668" s="1358"/>
      <c r="I4668" s="1358"/>
    </row>
    <row r="4669" spans="8:9">
      <c r="H4669" s="1358"/>
      <c r="I4669" s="1358"/>
    </row>
    <row r="4670" spans="8:9">
      <c r="H4670" s="1358"/>
      <c r="I4670" s="1358"/>
    </row>
    <row r="4671" spans="8:9">
      <c r="H4671" s="1358"/>
      <c r="I4671" s="1358"/>
    </row>
    <row r="4672" spans="8:9">
      <c r="H4672" s="1358"/>
      <c r="I4672" s="1358"/>
    </row>
    <row r="4673" spans="8:9">
      <c r="H4673" s="1358"/>
      <c r="I4673" s="1358"/>
    </row>
    <row r="4674" spans="8:9">
      <c r="H4674" s="1358"/>
      <c r="I4674" s="1358"/>
    </row>
    <row r="4675" spans="8:9">
      <c r="H4675" s="1358"/>
      <c r="I4675" s="1358"/>
    </row>
    <row r="4676" spans="8:9">
      <c r="H4676" s="1358"/>
      <c r="I4676" s="1358"/>
    </row>
    <row r="4677" spans="8:9">
      <c r="H4677" s="1358"/>
      <c r="I4677" s="1358"/>
    </row>
    <row r="4678" spans="8:9">
      <c r="H4678" s="1358"/>
      <c r="I4678" s="1358"/>
    </row>
    <row r="4679" spans="8:9">
      <c r="H4679" s="1358"/>
      <c r="I4679" s="1358"/>
    </row>
    <row r="4680" spans="8:9">
      <c r="H4680" s="1358"/>
      <c r="I4680" s="1358"/>
    </row>
    <row r="4681" spans="8:9">
      <c r="H4681" s="1358"/>
      <c r="I4681" s="1358"/>
    </row>
    <row r="4682" spans="8:9">
      <c r="H4682" s="1358"/>
      <c r="I4682" s="1358"/>
    </row>
    <row r="4683" spans="8:9">
      <c r="H4683" s="1358"/>
      <c r="I4683" s="1358"/>
    </row>
    <row r="4684" spans="8:9">
      <c r="H4684" s="1358"/>
      <c r="I4684" s="1358"/>
    </row>
    <row r="4685" spans="8:9">
      <c r="H4685" s="1358"/>
      <c r="I4685" s="1358"/>
    </row>
    <row r="4686" spans="8:9">
      <c r="H4686" s="1358"/>
      <c r="I4686" s="1358"/>
    </row>
    <row r="4687" spans="8:9">
      <c r="H4687" s="1358"/>
      <c r="I4687" s="1358"/>
    </row>
    <row r="4688" spans="8:9">
      <c r="H4688" s="1358"/>
      <c r="I4688" s="1358"/>
    </row>
    <row r="4689" spans="8:9">
      <c r="H4689" s="1358"/>
      <c r="I4689" s="1358"/>
    </row>
    <row r="4690" spans="8:9">
      <c r="H4690" s="1358"/>
      <c r="I4690" s="1358"/>
    </row>
    <row r="4691" spans="8:9">
      <c r="H4691" s="1358"/>
      <c r="I4691" s="1358"/>
    </row>
    <row r="4692" spans="8:9">
      <c r="H4692" s="1358"/>
      <c r="I4692" s="1358"/>
    </row>
    <row r="4693" spans="8:9">
      <c r="H4693" s="1358"/>
      <c r="I4693" s="1358"/>
    </row>
    <row r="4694" spans="8:9">
      <c r="H4694" s="1358"/>
      <c r="I4694" s="1358"/>
    </row>
    <row r="4695" spans="8:9">
      <c r="H4695" s="1358"/>
      <c r="I4695" s="1358"/>
    </row>
    <row r="4696" spans="8:9">
      <c r="H4696" s="1358"/>
      <c r="I4696" s="1358"/>
    </row>
    <row r="4697" spans="8:9">
      <c r="H4697" s="1358"/>
      <c r="I4697" s="1358"/>
    </row>
    <row r="4698" spans="8:9">
      <c r="H4698" s="1358"/>
      <c r="I4698" s="1358"/>
    </row>
    <row r="4699" spans="8:9">
      <c r="H4699" s="1358"/>
      <c r="I4699" s="1358"/>
    </row>
    <row r="4700" spans="8:9">
      <c r="H4700" s="1358"/>
      <c r="I4700" s="1358"/>
    </row>
    <row r="4701" spans="8:9">
      <c r="H4701" s="1358"/>
      <c r="I4701" s="1358"/>
    </row>
    <row r="4702" spans="8:9">
      <c r="H4702" s="1358"/>
      <c r="I4702" s="1358"/>
    </row>
    <row r="4703" spans="8:9">
      <c r="H4703" s="1358"/>
      <c r="I4703" s="1358"/>
    </row>
    <row r="4704" spans="8:9">
      <c r="H4704" s="1358"/>
      <c r="I4704" s="1358"/>
    </row>
    <row r="4705" spans="8:9">
      <c r="H4705" s="1358"/>
      <c r="I4705" s="1358"/>
    </row>
    <row r="4706" spans="8:9">
      <c r="H4706" s="1358"/>
      <c r="I4706" s="1358"/>
    </row>
    <row r="4707" spans="8:9">
      <c r="H4707" s="1358"/>
      <c r="I4707" s="1358"/>
    </row>
    <row r="4708" spans="8:9">
      <c r="H4708" s="1358"/>
      <c r="I4708" s="1358"/>
    </row>
    <row r="4709" spans="8:9">
      <c r="H4709" s="1358"/>
      <c r="I4709" s="1358"/>
    </row>
    <row r="4710" spans="8:9">
      <c r="H4710" s="1358"/>
      <c r="I4710" s="1358"/>
    </row>
    <row r="4711" spans="8:9">
      <c r="H4711" s="1358"/>
      <c r="I4711" s="1358"/>
    </row>
    <row r="4712" spans="8:9">
      <c r="H4712" s="1358"/>
      <c r="I4712" s="1358"/>
    </row>
    <row r="4713" spans="8:9">
      <c r="H4713" s="1358"/>
      <c r="I4713" s="1358"/>
    </row>
    <row r="4714" spans="8:9">
      <c r="H4714" s="1358"/>
      <c r="I4714" s="1358"/>
    </row>
    <row r="4715" spans="8:9">
      <c r="H4715" s="1358"/>
      <c r="I4715" s="1358"/>
    </row>
    <row r="4716" spans="8:9">
      <c r="H4716" s="1358"/>
      <c r="I4716" s="1358"/>
    </row>
    <row r="4717" spans="8:9">
      <c r="H4717" s="1358"/>
      <c r="I4717" s="1358"/>
    </row>
    <row r="4718" spans="8:9">
      <c r="H4718" s="1358"/>
      <c r="I4718" s="1358"/>
    </row>
    <row r="4719" spans="8:9">
      <c r="H4719" s="1358"/>
      <c r="I4719" s="1358"/>
    </row>
    <row r="4720" spans="8:9">
      <c r="H4720" s="1358"/>
      <c r="I4720" s="1358"/>
    </row>
    <row r="4721" spans="8:9">
      <c r="H4721" s="1358"/>
      <c r="I4721" s="1358"/>
    </row>
    <row r="4722" spans="8:9">
      <c r="H4722" s="1358"/>
      <c r="I4722" s="1358"/>
    </row>
    <row r="4723" spans="8:9">
      <c r="H4723" s="1358"/>
      <c r="I4723" s="1358"/>
    </row>
    <row r="4724" spans="8:9">
      <c r="H4724" s="1358"/>
      <c r="I4724" s="1358"/>
    </row>
    <row r="4725" spans="8:9">
      <c r="H4725" s="1358"/>
      <c r="I4725" s="1358"/>
    </row>
    <row r="4726" spans="8:9">
      <c r="H4726" s="1358"/>
      <c r="I4726" s="1358"/>
    </row>
    <row r="4727" spans="8:9">
      <c r="H4727" s="1358"/>
      <c r="I4727" s="1358"/>
    </row>
    <row r="4728" spans="8:9">
      <c r="H4728" s="1358"/>
      <c r="I4728" s="1358"/>
    </row>
    <row r="4729" spans="8:9">
      <c r="H4729" s="1358"/>
      <c r="I4729" s="1358"/>
    </row>
    <row r="4730" spans="8:9">
      <c r="H4730" s="1358"/>
      <c r="I4730" s="1358"/>
    </row>
    <row r="4731" spans="8:9">
      <c r="H4731" s="1358"/>
      <c r="I4731" s="1358"/>
    </row>
    <row r="4732" spans="8:9">
      <c r="H4732" s="1358"/>
      <c r="I4732" s="1358"/>
    </row>
    <row r="4733" spans="8:9">
      <c r="H4733" s="1358"/>
      <c r="I4733" s="1358"/>
    </row>
    <row r="4734" spans="8:9">
      <c r="H4734" s="1358"/>
      <c r="I4734" s="1358"/>
    </row>
    <row r="4735" spans="8:9">
      <c r="H4735" s="1358"/>
      <c r="I4735" s="1358"/>
    </row>
    <row r="4736" spans="8:9">
      <c r="H4736" s="1358"/>
      <c r="I4736" s="1358"/>
    </row>
    <row r="4737" spans="8:9">
      <c r="H4737" s="1358"/>
      <c r="I4737" s="1358"/>
    </row>
    <row r="4738" spans="8:9">
      <c r="H4738" s="1358"/>
      <c r="I4738" s="1358"/>
    </row>
    <row r="4739" spans="8:9">
      <c r="H4739" s="1358"/>
      <c r="I4739" s="1358"/>
    </row>
    <row r="4740" spans="8:9">
      <c r="H4740" s="1358"/>
      <c r="I4740" s="1358"/>
    </row>
    <row r="4741" spans="8:9">
      <c r="H4741" s="1358"/>
      <c r="I4741" s="1358"/>
    </row>
    <row r="4742" spans="8:9">
      <c r="H4742" s="1358"/>
      <c r="I4742" s="1358"/>
    </row>
    <row r="4743" spans="8:9">
      <c r="H4743" s="1358"/>
      <c r="I4743" s="1358"/>
    </row>
    <row r="4744" spans="8:9">
      <c r="H4744" s="1358"/>
      <c r="I4744" s="1358"/>
    </row>
    <row r="4745" spans="8:9">
      <c r="H4745" s="1358"/>
      <c r="I4745" s="1358"/>
    </row>
    <row r="4746" spans="8:9">
      <c r="H4746" s="1358"/>
      <c r="I4746" s="1358"/>
    </row>
    <row r="4747" spans="8:9">
      <c r="H4747" s="1358"/>
      <c r="I4747" s="1358"/>
    </row>
    <row r="4748" spans="8:9">
      <c r="H4748" s="1358"/>
      <c r="I4748" s="1358"/>
    </row>
    <row r="4749" spans="8:9">
      <c r="H4749" s="1358"/>
      <c r="I4749" s="1358"/>
    </row>
    <row r="4750" spans="8:9">
      <c r="H4750" s="1358"/>
      <c r="I4750" s="1358"/>
    </row>
    <row r="4751" spans="8:9">
      <c r="H4751" s="1358"/>
      <c r="I4751" s="1358"/>
    </row>
    <row r="4752" spans="8:9">
      <c r="H4752" s="1358"/>
      <c r="I4752" s="1358"/>
    </row>
    <row r="4753" spans="8:9">
      <c r="H4753" s="1358"/>
      <c r="I4753" s="1358"/>
    </row>
    <row r="4754" spans="8:9">
      <c r="H4754" s="1358"/>
      <c r="I4754" s="1358"/>
    </row>
    <row r="4755" spans="8:9">
      <c r="H4755" s="1358"/>
      <c r="I4755" s="1358"/>
    </row>
    <row r="4756" spans="8:9">
      <c r="H4756" s="1358"/>
      <c r="I4756" s="1358"/>
    </row>
    <row r="4757" spans="8:9">
      <c r="H4757" s="1358"/>
      <c r="I4757" s="1358"/>
    </row>
    <row r="4758" spans="8:9">
      <c r="H4758" s="1358"/>
      <c r="I4758" s="1358"/>
    </row>
    <row r="4759" spans="8:9">
      <c r="H4759" s="1358"/>
      <c r="I4759" s="1358"/>
    </row>
    <row r="4760" spans="8:9">
      <c r="H4760" s="1358"/>
      <c r="I4760" s="1358"/>
    </row>
    <row r="4761" spans="8:9">
      <c r="H4761" s="1358"/>
      <c r="I4761" s="1358"/>
    </row>
    <row r="4762" spans="8:9">
      <c r="H4762" s="1358"/>
      <c r="I4762" s="1358"/>
    </row>
    <row r="4763" spans="8:9">
      <c r="H4763" s="1358"/>
      <c r="I4763" s="1358"/>
    </row>
    <row r="4764" spans="8:9">
      <c r="H4764" s="1358"/>
      <c r="I4764" s="1358"/>
    </row>
    <row r="4765" spans="8:9">
      <c r="H4765" s="1358"/>
      <c r="I4765" s="1358"/>
    </row>
    <row r="4766" spans="8:9">
      <c r="H4766" s="1358"/>
      <c r="I4766" s="1358"/>
    </row>
    <row r="4767" spans="8:9">
      <c r="H4767" s="1358"/>
      <c r="I4767" s="1358"/>
    </row>
    <row r="4768" spans="8:9">
      <c r="H4768" s="1358"/>
      <c r="I4768" s="1358"/>
    </row>
    <row r="4769" spans="8:9">
      <c r="H4769" s="1358"/>
      <c r="I4769" s="1358"/>
    </row>
    <row r="4770" spans="8:9">
      <c r="H4770" s="1358"/>
      <c r="I4770" s="1358"/>
    </row>
    <row r="4771" spans="8:9">
      <c r="H4771" s="1358"/>
      <c r="I4771" s="1358"/>
    </row>
    <row r="4772" spans="8:9">
      <c r="H4772" s="1358"/>
      <c r="I4772" s="1358"/>
    </row>
    <row r="4773" spans="8:9">
      <c r="H4773" s="1358"/>
      <c r="I4773" s="1358"/>
    </row>
    <row r="4774" spans="8:9">
      <c r="H4774" s="1358"/>
      <c r="I4774" s="1358"/>
    </row>
    <row r="4775" spans="8:9">
      <c r="H4775" s="1358"/>
      <c r="I4775" s="1358"/>
    </row>
    <row r="4776" spans="8:9">
      <c r="H4776" s="1358"/>
      <c r="I4776" s="1358"/>
    </row>
    <row r="4777" spans="8:9">
      <c r="H4777" s="1358"/>
      <c r="I4777" s="1358"/>
    </row>
    <row r="4778" spans="8:9">
      <c r="H4778" s="1358"/>
      <c r="I4778" s="1358"/>
    </row>
    <row r="4779" spans="8:9">
      <c r="H4779" s="1358"/>
      <c r="I4779" s="1358"/>
    </row>
    <row r="4780" spans="8:9">
      <c r="H4780" s="1358"/>
      <c r="I4780" s="1358"/>
    </row>
    <row r="4781" spans="8:9">
      <c r="H4781" s="1358"/>
      <c r="I4781" s="1358"/>
    </row>
    <row r="4782" spans="8:9">
      <c r="H4782" s="1358"/>
      <c r="I4782" s="1358"/>
    </row>
    <row r="4783" spans="8:9">
      <c r="H4783" s="1358"/>
      <c r="I4783" s="1358"/>
    </row>
    <row r="4784" spans="8:9">
      <c r="H4784" s="1358"/>
      <c r="I4784" s="1358"/>
    </row>
    <row r="4785" spans="8:9">
      <c r="H4785" s="1358"/>
      <c r="I4785" s="1358"/>
    </row>
    <row r="4786" spans="8:9">
      <c r="H4786" s="1358"/>
      <c r="I4786" s="1358"/>
    </row>
    <row r="4787" spans="8:9">
      <c r="H4787" s="1358"/>
      <c r="I4787" s="1358"/>
    </row>
    <row r="4788" spans="8:9">
      <c r="H4788" s="1358"/>
      <c r="I4788" s="1358"/>
    </row>
    <row r="4789" spans="8:9">
      <c r="H4789" s="1358"/>
      <c r="I4789" s="1358"/>
    </row>
    <row r="4790" spans="8:9">
      <c r="H4790" s="1358"/>
      <c r="I4790" s="1358"/>
    </row>
    <row r="4791" spans="8:9">
      <c r="H4791" s="1358"/>
      <c r="I4791" s="1358"/>
    </row>
    <row r="4792" spans="8:9">
      <c r="H4792" s="1358"/>
      <c r="I4792" s="1358"/>
    </row>
    <row r="4793" spans="8:9">
      <c r="H4793" s="1358"/>
      <c r="I4793" s="1358"/>
    </row>
    <row r="4794" spans="8:9">
      <c r="H4794" s="1358"/>
      <c r="I4794" s="1358"/>
    </row>
    <row r="4795" spans="8:9">
      <c r="H4795" s="1358"/>
      <c r="I4795" s="1358"/>
    </row>
    <row r="4796" spans="8:9">
      <c r="H4796" s="1358"/>
      <c r="I4796" s="1358"/>
    </row>
    <row r="4797" spans="8:9">
      <c r="H4797" s="1358"/>
      <c r="I4797" s="1358"/>
    </row>
    <row r="4798" spans="8:9">
      <c r="H4798" s="1358"/>
      <c r="I4798" s="1358"/>
    </row>
    <row r="4799" spans="8:9">
      <c r="H4799" s="1358"/>
      <c r="I4799" s="1358"/>
    </row>
    <row r="4800" spans="8:9">
      <c r="H4800" s="1358"/>
      <c r="I4800" s="1358"/>
    </row>
    <row r="4801" spans="8:9">
      <c r="H4801" s="1358"/>
      <c r="I4801" s="1358"/>
    </row>
    <row r="4802" spans="8:9">
      <c r="H4802" s="1358"/>
      <c r="I4802" s="1358"/>
    </row>
    <row r="4803" spans="8:9">
      <c r="H4803" s="1358"/>
      <c r="I4803" s="1358"/>
    </row>
    <row r="4804" spans="8:9">
      <c r="H4804" s="1358"/>
      <c r="I4804" s="1358"/>
    </row>
    <row r="4805" spans="8:9">
      <c r="H4805" s="1358"/>
      <c r="I4805" s="1358"/>
    </row>
    <row r="4806" spans="8:9">
      <c r="H4806" s="1358"/>
      <c r="I4806" s="1358"/>
    </row>
    <row r="4807" spans="8:9">
      <c r="H4807" s="1358"/>
      <c r="I4807" s="1358"/>
    </row>
    <row r="4808" spans="8:9">
      <c r="H4808" s="1358"/>
      <c r="I4808" s="1358"/>
    </row>
    <row r="4809" spans="8:9">
      <c r="H4809" s="1358"/>
      <c r="I4809" s="1358"/>
    </row>
    <row r="4810" spans="8:9">
      <c r="H4810" s="1358"/>
      <c r="I4810" s="1358"/>
    </row>
    <row r="4811" spans="8:9">
      <c r="H4811" s="1358"/>
      <c r="I4811" s="1358"/>
    </row>
    <row r="4812" spans="8:9">
      <c r="H4812" s="1358"/>
      <c r="I4812" s="1358"/>
    </row>
    <row r="4813" spans="8:9">
      <c r="H4813" s="1358"/>
      <c r="I4813" s="1358"/>
    </row>
    <row r="4814" spans="8:9">
      <c r="H4814" s="1358"/>
      <c r="I4814" s="1358"/>
    </row>
    <row r="4815" spans="8:9">
      <c r="H4815" s="1358"/>
      <c r="I4815" s="1358"/>
    </row>
    <row r="4816" spans="8:9">
      <c r="H4816" s="1358"/>
      <c r="I4816" s="1358"/>
    </row>
    <row r="4817" spans="8:9">
      <c r="H4817" s="1358"/>
      <c r="I4817" s="1358"/>
    </row>
    <row r="4818" spans="8:9">
      <c r="H4818" s="1358"/>
      <c r="I4818" s="1358"/>
    </row>
    <row r="4819" spans="8:9">
      <c r="H4819" s="1358"/>
      <c r="I4819" s="1358"/>
    </row>
    <row r="4820" spans="8:9">
      <c r="H4820" s="1358"/>
      <c r="I4820" s="1358"/>
    </row>
    <row r="4821" spans="8:9">
      <c r="H4821" s="1358"/>
      <c r="I4821" s="1358"/>
    </row>
    <row r="4822" spans="8:9">
      <c r="H4822" s="1358"/>
      <c r="I4822" s="1358"/>
    </row>
    <row r="4823" spans="8:9">
      <c r="H4823" s="1358"/>
      <c r="I4823" s="1358"/>
    </row>
    <row r="4824" spans="8:9">
      <c r="H4824" s="1358"/>
      <c r="I4824" s="1358"/>
    </row>
    <row r="4825" spans="8:9">
      <c r="H4825" s="1358"/>
      <c r="I4825" s="1358"/>
    </row>
    <row r="4826" spans="8:9">
      <c r="H4826" s="1358"/>
      <c r="I4826" s="1358"/>
    </row>
    <row r="4827" spans="8:9">
      <c r="H4827" s="1358"/>
      <c r="I4827" s="1358"/>
    </row>
    <row r="4828" spans="8:9">
      <c r="H4828" s="1358"/>
      <c r="I4828" s="1358"/>
    </row>
    <row r="4829" spans="8:9">
      <c r="H4829" s="1358"/>
      <c r="I4829" s="1358"/>
    </row>
    <row r="4830" spans="8:9">
      <c r="H4830" s="1358"/>
      <c r="I4830" s="1358"/>
    </row>
    <row r="4831" spans="8:9">
      <c r="H4831" s="1358"/>
      <c r="I4831" s="1358"/>
    </row>
    <row r="4832" spans="8:9">
      <c r="H4832" s="1358"/>
      <c r="I4832" s="1358"/>
    </row>
    <row r="4833" spans="8:9">
      <c r="H4833" s="1358"/>
      <c r="I4833" s="1358"/>
    </row>
    <row r="4834" spans="8:9">
      <c r="H4834" s="1358"/>
      <c r="I4834" s="1358"/>
    </row>
    <row r="4835" spans="8:9">
      <c r="H4835" s="1358"/>
      <c r="I4835" s="1358"/>
    </row>
    <row r="4836" spans="8:9">
      <c r="H4836" s="1358"/>
      <c r="I4836" s="1358"/>
    </row>
    <row r="4837" spans="8:9">
      <c r="H4837" s="1358"/>
      <c r="I4837" s="1358"/>
    </row>
    <row r="4838" spans="8:9">
      <c r="H4838" s="1358"/>
      <c r="I4838" s="1358"/>
    </row>
    <row r="4839" spans="8:9">
      <c r="H4839" s="1358"/>
      <c r="I4839" s="1358"/>
    </row>
    <row r="4840" spans="8:9">
      <c r="H4840" s="1358"/>
      <c r="I4840" s="1358"/>
    </row>
    <row r="4841" spans="8:9">
      <c r="H4841" s="1358"/>
      <c r="I4841" s="1358"/>
    </row>
    <row r="4842" spans="8:9">
      <c r="H4842" s="1358"/>
      <c r="I4842" s="1358"/>
    </row>
    <row r="4843" spans="8:9">
      <c r="H4843" s="1358"/>
      <c r="I4843" s="1358"/>
    </row>
    <row r="4844" spans="8:9">
      <c r="H4844" s="1358"/>
      <c r="I4844" s="1358"/>
    </row>
    <row r="4845" spans="8:9">
      <c r="H4845" s="1358"/>
      <c r="I4845" s="1358"/>
    </row>
    <row r="4846" spans="8:9">
      <c r="H4846" s="1358"/>
      <c r="I4846" s="1358"/>
    </row>
    <row r="4847" spans="8:9">
      <c r="H4847" s="1358"/>
      <c r="I4847" s="1358"/>
    </row>
    <row r="4848" spans="8:9">
      <c r="H4848" s="1358"/>
      <c r="I4848" s="1358"/>
    </row>
    <row r="4849" spans="8:9">
      <c r="H4849" s="1358"/>
      <c r="I4849" s="1358"/>
    </row>
    <row r="4850" spans="8:9">
      <c r="H4850" s="1358"/>
      <c r="I4850" s="1358"/>
    </row>
    <row r="4851" spans="8:9">
      <c r="H4851" s="1358"/>
      <c r="I4851" s="1358"/>
    </row>
    <row r="4852" spans="8:9">
      <c r="H4852" s="1358"/>
      <c r="I4852" s="1358"/>
    </row>
    <row r="4853" spans="8:9">
      <c r="H4853" s="1358"/>
      <c r="I4853" s="1358"/>
    </row>
    <row r="4854" spans="8:9">
      <c r="H4854" s="1358"/>
      <c r="I4854" s="1358"/>
    </row>
    <row r="4855" spans="8:9">
      <c r="H4855" s="1358"/>
      <c r="I4855" s="1358"/>
    </row>
    <row r="4856" spans="8:9">
      <c r="H4856" s="1358"/>
      <c r="I4856" s="1358"/>
    </row>
    <row r="4857" spans="8:9">
      <c r="H4857" s="1358"/>
      <c r="I4857" s="1358"/>
    </row>
    <row r="4858" spans="8:9">
      <c r="H4858" s="1358"/>
      <c r="I4858" s="1358"/>
    </row>
    <row r="4859" spans="8:9">
      <c r="H4859" s="1358"/>
      <c r="I4859" s="1358"/>
    </row>
    <row r="4860" spans="8:9">
      <c r="H4860" s="1358"/>
      <c r="I4860" s="1358"/>
    </row>
    <row r="4861" spans="8:9">
      <c r="H4861" s="1358"/>
      <c r="I4861" s="1358"/>
    </row>
    <row r="4862" spans="8:9">
      <c r="H4862" s="1358"/>
      <c r="I4862" s="1358"/>
    </row>
    <row r="4863" spans="8:9">
      <c r="H4863" s="1358"/>
      <c r="I4863" s="1358"/>
    </row>
    <row r="4864" spans="8:9">
      <c r="H4864" s="1358"/>
      <c r="I4864" s="1358"/>
    </row>
    <row r="4865" spans="8:9">
      <c r="H4865" s="1358"/>
      <c r="I4865" s="1358"/>
    </row>
    <row r="4866" spans="8:9">
      <c r="H4866" s="1358"/>
      <c r="I4866" s="1358"/>
    </row>
    <row r="4867" spans="8:9">
      <c r="H4867" s="1358"/>
      <c r="I4867" s="1358"/>
    </row>
    <row r="4868" spans="8:9">
      <c r="H4868" s="1358"/>
      <c r="I4868" s="1358"/>
    </row>
    <row r="4869" spans="8:9">
      <c r="H4869" s="1358"/>
      <c r="I4869" s="1358"/>
    </row>
    <row r="4870" spans="8:9">
      <c r="H4870" s="1358"/>
      <c r="I4870" s="1358"/>
    </row>
    <row r="4871" spans="8:9">
      <c r="H4871" s="1358"/>
      <c r="I4871" s="1358"/>
    </row>
    <row r="4872" spans="8:9">
      <c r="H4872" s="1358"/>
      <c r="I4872" s="1358"/>
    </row>
    <row r="4873" spans="8:9">
      <c r="H4873" s="1358"/>
      <c r="I4873" s="1358"/>
    </row>
    <row r="4874" spans="8:9">
      <c r="H4874" s="1358"/>
      <c r="I4874" s="1358"/>
    </row>
    <row r="4875" spans="8:9">
      <c r="H4875" s="1358"/>
      <c r="I4875" s="1358"/>
    </row>
    <row r="4876" spans="8:9">
      <c r="H4876" s="1358"/>
      <c r="I4876" s="1358"/>
    </row>
    <row r="4877" spans="8:9">
      <c r="H4877" s="1358"/>
      <c r="I4877" s="1358"/>
    </row>
    <row r="4878" spans="8:9">
      <c r="H4878" s="1358"/>
      <c r="I4878" s="1358"/>
    </row>
    <row r="4879" spans="8:9">
      <c r="H4879" s="1358"/>
      <c r="I4879" s="1358"/>
    </row>
    <row r="4880" spans="8:9">
      <c r="H4880" s="1358"/>
      <c r="I4880" s="1358"/>
    </row>
    <row r="4881" spans="8:9">
      <c r="H4881" s="1358"/>
      <c r="I4881" s="1358"/>
    </row>
    <row r="4882" spans="8:9">
      <c r="H4882" s="1358"/>
      <c r="I4882" s="1358"/>
    </row>
    <row r="4883" spans="8:9">
      <c r="H4883" s="1358"/>
      <c r="I4883" s="1358"/>
    </row>
    <row r="4884" spans="8:9">
      <c r="H4884" s="1358"/>
      <c r="I4884" s="1358"/>
    </row>
    <row r="4885" spans="8:9">
      <c r="H4885" s="1358"/>
      <c r="I4885" s="1358"/>
    </row>
    <row r="4886" spans="8:9">
      <c r="H4886" s="1358"/>
      <c r="I4886" s="1358"/>
    </row>
    <row r="4887" spans="8:9">
      <c r="H4887" s="1358"/>
      <c r="I4887" s="1358"/>
    </row>
    <row r="4888" spans="8:9">
      <c r="H4888" s="1358"/>
      <c r="I4888" s="1358"/>
    </row>
    <row r="4889" spans="8:9">
      <c r="H4889" s="1358"/>
      <c r="I4889" s="1358"/>
    </row>
    <row r="4890" spans="8:9">
      <c r="H4890" s="1358"/>
      <c r="I4890" s="1358"/>
    </row>
    <row r="4891" spans="8:9">
      <c r="H4891" s="1358"/>
      <c r="I4891" s="1358"/>
    </row>
    <row r="4892" spans="8:9">
      <c r="H4892" s="1358"/>
      <c r="I4892" s="1358"/>
    </row>
    <row r="4893" spans="8:9">
      <c r="H4893" s="1358"/>
      <c r="I4893" s="1358"/>
    </row>
    <row r="4894" spans="8:9">
      <c r="H4894" s="1358"/>
      <c r="I4894" s="1358"/>
    </row>
    <row r="4895" spans="8:9">
      <c r="H4895" s="1358"/>
      <c r="I4895" s="1358"/>
    </row>
    <row r="4896" spans="8:9">
      <c r="H4896" s="1358"/>
      <c r="I4896" s="1358"/>
    </row>
    <row r="4897" spans="8:9">
      <c r="H4897" s="1358"/>
      <c r="I4897" s="1358"/>
    </row>
    <row r="4898" spans="8:9">
      <c r="H4898" s="1358"/>
      <c r="I4898" s="1358"/>
    </row>
    <row r="4899" spans="8:9">
      <c r="H4899" s="1358"/>
      <c r="I4899" s="1358"/>
    </row>
    <row r="4900" spans="8:9">
      <c r="H4900" s="1358"/>
      <c r="I4900" s="1358"/>
    </row>
    <row r="4901" spans="8:9">
      <c r="H4901" s="1358"/>
      <c r="I4901" s="1358"/>
    </row>
    <row r="4902" spans="8:9">
      <c r="H4902" s="1358"/>
      <c r="I4902" s="1358"/>
    </row>
    <row r="4903" spans="8:9">
      <c r="H4903" s="1358"/>
      <c r="I4903" s="1358"/>
    </row>
    <row r="4904" spans="8:9">
      <c r="H4904" s="1358"/>
      <c r="I4904" s="1358"/>
    </row>
    <row r="4905" spans="8:9">
      <c r="H4905" s="1358"/>
      <c r="I4905" s="1358"/>
    </row>
    <row r="4906" spans="8:9">
      <c r="H4906" s="1358"/>
      <c r="I4906" s="1358"/>
    </row>
    <row r="4907" spans="8:9">
      <c r="H4907" s="1358"/>
      <c r="I4907" s="1358"/>
    </row>
    <row r="4908" spans="8:9">
      <c r="H4908" s="1358"/>
      <c r="I4908" s="1358"/>
    </row>
    <row r="4909" spans="8:9">
      <c r="H4909" s="1358"/>
      <c r="I4909" s="1358"/>
    </row>
    <row r="4910" spans="8:9">
      <c r="H4910" s="1358"/>
      <c r="I4910" s="1358"/>
    </row>
    <row r="4911" spans="8:9">
      <c r="H4911" s="1358"/>
      <c r="I4911" s="1358"/>
    </row>
    <row r="4912" spans="8:9">
      <c r="H4912" s="1358"/>
      <c r="I4912" s="1358"/>
    </row>
    <row r="4913" spans="8:9">
      <c r="H4913" s="1358"/>
      <c r="I4913" s="1358"/>
    </row>
    <row r="4914" spans="8:9">
      <c r="H4914" s="1358"/>
      <c r="I4914" s="1358"/>
    </row>
    <row r="4915" spans="8:9">
      <c r="H4915" s="1358"/>
      <c r="I4915" s="1358"/>
    </row>
    <row r="4916" spans="8:9">
      <c r="H4916" s="1358"/>
      <c r="I4916" s="1358"/>
    </row>
    <row r="4917" spans="8:9">
      <c r="H4917" s="1358"/>
      <c r="I4917" s="1358"/>
    </row>
    <row r="4918" spans="8:9">
      <c r="H4918" s="1358"/>
      <c r="I4918" s="1358"/>
    </row>
    <row r="4919" spans="8:9">
      <c r="H4919" s="1358"/>
      <c r="I4919" s="1358"/>
    </row>
    <row r="4920" spans="8:9">
      <c r="H4920" s="1358"/>
      <c r="I4920" s="1358"/>
    </row>
    <row r="4921" spans="8:9">
      <c r="H4921" s="1358"/>
      <c r="I4921" s="1358"/>
    </row>
    <row r="4922" spans="8:9">
      <c r="H4922" s="1358"/>
      <c r="I4922" s="1358"/>
    </row>
    <row r="4923" spans="8:9">
      <c r="H4923" s="1358"/>
      <c r="I4923" s="1358"/>
    </row>
    <row r="4924" spans="8:9">
      <c r="H4924" s="1358"/>
      <c r="I4924" s="1358"/>
    </row>
    <row r="4925" spans="8:9">
      <c r="H4925" s="1358"/>
      <c r="I4925" s="1358"/>
    </row>
    <row r="4926" spans="8:9">
      <c r="H4926" s="1358"/>
      <c r="I4926" s="1358"/>
    </row>
    <row r="4927" spans="8:9">
      <c r="H4927" s="1358"/>
      <c r="I4927" s="1358"/>
    </row>
    <row r="4928" spans="8:9">
      <c r="H4928" s="1358"/>
      <c r="I4928" s="1358"/>
    </row>
    <row r="4929" spans="8:9">
      <c r="H4929" s="1358"/>
      <c r="I4929" s="1358"/>
    </row>
    <row r="4930" spans="8:9">
      <c r="H4930" s="1358"/>
      <c r="I4930" s="1358"/>
    </row>
    <row r="4931" spans="8:9">
      <c r="H4931" s="1358"/>
      <c r="I4931" s="1358"/>
    </row>
    <row r="4932" spans="8:9">
      <c r="H4932" s="1358"/>
      <c r="I4932" s="1358"/>
    </row>
    <row r="4933" spans="8:9">
      <c r="H4933" s="1358"/>
      <c r="I4933" s="1358"/>
    </row>
    <row r="4934" spans="8:9">
      <c r="H4934" s="1358"/>
      <c r="I4934" s="1358"/>
    </row>
    <row r="4935" spans="8:9">
      <c r="H4935" s="1358"/>
      <c r="I4935" s="1358"/>
    </row>
    <row r="4936" spans="8:9">
      <c r="H4936" s="1358"/>
      <c r="I4936" s="1358"/>
    </row>
    <row r="4937" spans="8:9">
      <c r="H4937" s="1358"/>
      <c r="I4937" s="1358"/>
    </row>
    <row r="4938" spans="8:9">
      <c r="H4938" s="1358"/>
      <c r="I4938" s="1358"/>
    </row>
    <row r="4939" spans="8:9">
      <c r="H4939" s="1358"/>
      <c r="I4939" s="1358"/>
    </row>
    <row r="4940" spans="8:9">
      <c r="H4940" s="1358"/>
      <c r="I4940" s="1358"/>
    </row>
    <row r="4941" spans="8:9">
      <c r="H4941" s="1358"/>
      <c r="I4941" s="1358"/>
    </row>
    <row r="4942" spans="8:9">
      <c r="H4942" s="1358"/>
      <c r="I4942" s="1358"/>
    </row>
    <row r="4943" spans="8:9">
      <c r="H4943" s="1358"/>
      <c r="I4943" s="1358"/>
    </row>
    <row r="4944" spans="8:9">
      <c r="H4944" s="1358"/>
      <c r="I4944" s="1358"/>
    </row>
    <row r="4945" spans="8:9">
      <c r="H4945" s="1358"/>
      <c r="I4945" s="1358"/>
    </row>
    <row r="4946" spans="8:9">
      <c r="H4946" s="1358"/>
      <c r="I4946" s="1358"/>
    </row>
    <row r="4947" spans="8:9">
      <c r="H4947" s="1358"/>
      <c r="I4947" s="1358"/>
    </row>
    <row r="4948" spans="8:9">
      <c r="H4948" s="1358"/>
      <c r="I4948" s="1358"/>
    </row>
    <row r="4949" spans="8:9">
      <c r="H4949" s="1358"/>
      <c r="I4949" s="1358"/>
    </row>
    <row r="4950" spans="8:9">
      <c r="H4950" s="1358"/>
      <c r="I4950" s="1358"/>
    </row>
    <row r="4951" spans="8:9">
      <c r="H4951" s="1358"/>
      <c r="I4951" s="1358"/>
    </row>
    <row r="4952" spans="8:9">
      <c r="H4952" s="1358"/>
      <c r="I4952" s="1358"/>
    </row>
    <row r="4953" spans="8:9">
      <c r="H4953" s="1358"/>
      <c r="I4953" s="1358"/>
    </row>
    <row r="4954" spans="8:9">
      <c r="H4954" s="1358"/>
      <c r="I4954" s="1358"/>
    </row>
    <row r="4955" spans="8:9">
      <c r="H4955" s="1358"/>
      <c r="I4955" s="1358"/>
    </row>
    <row r="4956" spans="8:9">
      <c r="H4956" s="1358"/>
      <c r="I4956" s="1358"/>
    </row>
    <row r="4957" spans="8:9">
      <c r="H4957" s="1358"/>
      <c r="I4957" s="1358"/>
    </row>
    <row r="4958" spans="8:9">
      <c r="H4958" s="1358"/>
      <c r="I4958" s="1358"/>
    </row>
    <row r="4959" spans="8:9">
      <c r="H4959" s="1358"/>
      <c r="I4959" s="1358"/>
    </row>
    <row r="4960" spans="8:9">
      <c r="H4960" s="1358"/>
      <c r="I4960" s="1358"/>
    </row>
    <row r="4961" spans="8:9">
      <c r="H4961" s="1358"/>
      <c r="I4961" s="1358"/>
    </row>
    <row r="4962" spans="8:9">
      <c r="H4962" s="1358"/>
      <c r="I4962" s="1358"/>
    </row>
    <row r="4963" spans="8:9">
      <c r="H4963" s="1358"/>
      <c r="I4963" s="1358"/>
    </row>
    <row r="4964" spans="8:9">
      <c r="H4964" s="1358"/>
      <c r="I4964" s="1358"/>
    </row>
    <row r="4965" spans="8:9">
      <c r="H4965" s="1358"/>
      <c r="I4965" s="1358"/>
    </row>
    <row r="4966" spans="8:9">
      <c r="H4966" s="1358"/>
      <c r="I4966" s="1358"/>
    </row>
    <row r="4967" spans="8:9">
      <c r="H4967" s="1358"/>
      <c r="I4967" s="1358"/>
    </row>
    <row r="4968" spans="8:9">
      <c r="H4968" s="1358"/>
      <c r="I4968" s="1358"/>
    </row>
    <row r="4969" spans="8:9">
      <c r="H4969" s="1358"/>
      <c r="I4969" s="1358"/>
    </row>
    <row r="4970" spans="8:9">
      <c r="H4970" s="1358"/>
      <c r="I4970" s="1358"/>
    </row>
    <row r="4971" spans="8:9">
      <c r="H4971" s="1358"/>
      <c r="I4971" s="1358"/>
    </row>
    <row r="4972" spans="8:9">
      <c r="H4972" s="1358"/>
      <c r="I4972" s="1358"/>
    </row>
    <row r="4973" spans="8:9">
      <c r="H4973" s="1358"/>
      <c r="I4973" s="1358"/>
    </row>
    <row r="4974" spans="8:9">
      <c r="H4974" s="1358"/>
      <c r="I4974" s="1358"/>
    </row>
    <row r="4975" spans="8:9">
      <c r="H4975" s="1358"/>
      <c r="I4975" s="1358"/>
    </row>
    <row r="4976" spans="8:9">
      <c r="H4976" s="1358"/>
      <c r="I4976" s="1358"/>
    </row>
    <row r="4977" spans="8:9">
      <c r="H4977" s="1358"/>
      <c r="I4977" s="1358"/>
    </row>
    <row r="4978" spans="8:9">
      <c r="H4978" s="1358"/>
      <c r="I4978" s="1358"/>
    </row>
    <row r="4979" spans="8:9">
      <c r="H4979" s="1358"/>
      <c r="I4979" s="1358"/>
    </row>
    <row r="4980" spans="8:9">
      <c r="H4980" s="1358"/>
      <c r="I4980" s="1358"/>
    </row>
    <row r="4981" spans="8:9">
      <c r="H4981" s="1358"/>
      <c r="I4981" s="1358"/>
    </row>
    <row r="4982" spans="8:9">
      <c r="H4982" s="1358"/>
      <c r="I4982" s="1358"/>
    </row>
    <row r="4983" spans="8:9">
      <c r="H4983" s="1358"/>
      <c r="I4983" s="1358"/>
    </row>
    <row r="4984" spans="8:9">
      <c r="H4984" s="1358"/>
      <c r="I4984" s="1358"/>
    </row>
    <row r="4985" spans="8:9">
      <c r="H4985" s="1358"/>
      <c r="I4985" s="1358"/>
    </row>
    <row r="4986" spans="8:9">
      <c r="H4986" s="1358"/>
      <c r="I4986" s="1358"/>
    </row>
    <row r="4987" spans="8:9">
      <c r="H4987" s="1358"/>
      <c r="I4987" s="1358"/>
    </row>
    <row r="4988" spans="8:9">
      <c r="H4988" s="1358"/>
      <c r="I4988" s="1358"/>
    </row>
    <row r="4989" spans="8:9">
      <c r="H4989" s="1358"/>
      <c r="I4989" s="1358"/>
    </row>
    <row r="4990" spans="8:9">
      <c r="H4990" s="1358"/>
      <c r="I4990" s="1358"/>
    </row>
    <row r="4991" spans="8:9">
      <c r="H4991" s="1358"/>
      <c r="I4991" s="1358"/>
    </row>
    <row r="4992" spans="8:9">
      <c r="H4992" s="1358"/>
      <c r="I4992" s="1358"/>
    </row>
    <row r="4993" spans="8:9">
      <c r="H4993" s="1358"/>
      <c r="I4993" s="1358"/>
    </row>
    <row r="4994" spans="8:9">
      <c r="H4994" s="1358"/>
      <c r="I4994" s="1358"/>
    </row>
    <row r="4995" spans="8:9">
      <c r="H4995" s="1358"/>
      <c r="I4995" s="1358"/>
    </row>
    <row r="4996" spans="8:9">
      <c r="H4996" s="1358"/>
      <c r="I4996" s="1358"/>
    </row>
    <row r="4997" spans="8:9">
      <c r="H4997" s="1358"/>
      <c r="I4997" s="1358"/>
    </row>
    <row r="4998" spans="8:9">
      <c r="H4998" s="1358"/>
      <c r="I4998" s="1358"/>
    </row>
    <row r="4999" spans="8:9">
      <c r="H4999" s="1358"/>
      <c r="I4999" s="1358"/>
    </row>
    <row r="5000" spans="8:9">
      <c r="H5000" s="1358"/>
      <c r="I5000" s="1358"/>
    </row>
    <row r="5001" spans="8:9">
      <c r="H5001" s="1358"/>
      <c r="I5001" s="1358"/>
    </row>
    <row r="5002" spans="8:9">
      <c r="H5002" s="1358"/>
      <c r="I5002" s="1358"/>
    </row>
    <row r="5003" spans="8:9">
      <c r="H5003" s="1358"/>
      <c r="I5003" s="1358"/>
    </row>
    <row r="5004" spans="8:9">
      <c r="H5004" s="1358"/>
      <c r="I5004" s="1358"/>
    </row>
    <row r="5005" spans="8:9">
      <c r="H5005" s="1358"/>
      <c r="I5005" s="1358"/>
    </row>
    <row r="5006" spans="8:9">
      <c r="H5006" s="1358"/>
      <c r="I5006" s="1358"/>
    </row>
    <row r="5007" spans="8:9">
      <c r="H5007" s="1358"/>
      <c r="I5007" s="1358"/>
    </row>
    <row r="5008" spans="8:9">
      <c r="H5008" s="1358"/>
      <c r="I5008" s="1358"/>
    </row>
    <row r="5009" spans="8:9">
      <c r="H5009" s="1358"/>
      <c r="I5009" s="1358"/>
    </row>
    <row r="5010" spans="8:9">
      <c r="H5010" s="1358"/>
      <c r="I5010" s="1358"/>
    </row>
    <row r="5011" spans="8:9">
      <c r="H5011" s="1358"/>
      <c r="I5011" s="1358"/>
    </row>
    <row r="5012" spans="8:9">
      <c r="H5012" s="1358"/>
      <c r="I5012" s="1358"/>
    </row>
    <row r="5013" spans="8:9">
      <c r="H5013" s="1358"/>
      <c r="I5013" s="1358"/>
    </row>
    <row r="5014" spans="8:9">
      <c r="H5014" s="1358"/>
      <c r="I5014" s="1358"/>
    </row>
    <row r="5015" spans="8:9">
      <c r="H5015" s="1358"/>
      <c r="I5015" s="1358"/>
    </row>
    <row r="5016" spans="8:9">
      <c r="H5016" s="1358"/>
      <c r="I5016" s="1358"/>
    </row>
    <row r="5017" spans="8:9">
      <c r="H5017" s="1358"/>
      <c r="I5017" s="1358"/>
    </row>
    <row r="5018" spans="8:9">
      <c r="H5018" s="1358"/>
      <c r="I5018" s="1358"/>
    </row>
    <row r="5019" spans="8:9">
      <c r="H5019" s="1358"/>
      <c r="I5019" s="1358"/>
    </row>
    <row r="5020" spans="8:9">
      <c r="H5020" s="1358"/>
      <c r="I5020" s="1358"/>
    </row>
    <row r="5021" spans="8:9">
      <c r="H5021" s="1358"/>
      <c r="I5021" s="1358"/>
    </row>
    <row r="5022" spans="8:9">
      <c r="H5022" s="1358"/>
      <c r="I5022" s="1358"/>
    </row>
    <row r="5023" spans="8:9">
      <c r="H5023" s="1358"/>
      <c r="I5023" s="1358"/>
    </row>
    <row r="5024" spans="8:9">
      <c r="H5024" s="1358"/>
      <c r="I5024" s="1358"/>
    </row>
    <row r="5025" spans="8:9">
      <c r="H5025" s="1358"/>
      <c r="I5025" s="1358"/>
    </row>
    <row r="5026" spans="8:9">
      <c r="H5026" s="1358"/>
      <c r="I5026" s="1358"/>
    </row>
    <row r="5027" spans="8:9">
      <c r="H5027" s="1358"/>
      <c r="I5027" s="1358"/>
    </row>
    <row r="5028" spans="8:9">
      <c r="H5028" s="1358"/>
      <c r="I5028" s="1358"/>
    </row>
    <row r="5029" spans="8:9">
      <c r="H5029" s="1358"/>
      <c r="I5029" s="1358"/>
    </row>
    <row r="5030" spans="8:9">
      <c r="H5030" s="1358"/>
      <c r="I5030" s="1358"/>
    </row>
    <row r="5031" spans="8:9">
      <c r="H5031" s="1358"/>
      <c r="I5031" s="1358"/>
    </row>
    <row r="5032" spans="8:9">
      <c r="H5032" s="1358"/>
      <c r="I5032" s="1358"/>
    </row>
    <row r="5033" spans="8:9">
      <c r="H5033" s="1358"/>
      <c r="I5033" s="1358"/>
    </row>
    <row r="5034" spans="8:9">
      <c r="H5034" s="1358"/>
      <c r="I5034" s="1358"/>
    </row>
    <row r="5035" spans="8:9">
      <c r="H5035" s="1358"/>
      <c r="I5035" s="1358"/>
    </row>
    <row r="5036" spans="8:9">
      <c r="H5036" s="1358"/>
      <c r="I5036" s="1358"/>
    </row>
    <row r="5037" spans="8:9">
      <c r="H5037" s="1358"/>
      <c r="I5037" s="1358"/>
    </row>
    <row r="5038" spans="8:9">
      <c r="H5038" s="1358"/>
      <c r="I5038" s="1358"/>
    </row>
    <row r="5039" spans="8:9">
      <c r="H5039" s="1358"/>
      <c r="I5039" s="1358"/>
    </row>
    <row r="5040" spans="8:9">
      <c r="H5040" s="1358"/>
      <c r="I5040" s="1358"/>
    </row>
    <row r="5041" spans="8:9">
      <c r="H5041" s="1358"/>
      <c r="I5041" s="1358"/>
    </row>
    <row r="5042" spans="8:9">
      <c r="H5042" s="1358"/>
      <c r="I5042" s="1358"/>
    </row>
    <row r="5043" spans="8:9">
      <c r="H5043" s="1358"/>
      <c r="I5043" s="1358"/>
    </row>
    <row r="5044" spans="8:9">
      <c r="H5044" s="1358"/>
      <c r="I5044" s="1358"/>
    </row>
    <row r="5045" spans="8:9">
      <c r="H5045" s="1358"/>
      <c r="I5045" s="1358"/>
    </row>
    <row r="5046" spans="8:9">
      <c r="H5046" s="1358"/>
      <c r="I5046" s="1358"/>
    </row>
    <row r="5047" spans="8:9">
      <c r="H5047" s="1358"/>
      <c r="I5047" s="1358"/>
    </row>
    <row r="5048" spans="8:9">
      <c r="H5048" s="1358"/>
      <c r="I5048" s="1358"/>
    </row>
    <row r="5049" spans="8:9">
      <c r="H5049" s="1358"/>
      <c r="I5049" s="1358"/>
    </row>
    <row r="5050" spans="8:9">
      <c r="H5050" s="1358"/>
      <c r="I5050" s="1358"/>
    </row>
    <row r="5051" spans="8:9">
      <c r="H5051" s="1358"/>
      <c r="I5051" s="1358"/>
    </row>
    <row r="5052" spans="8:9">
      <c r="H5052" s="1358"/>
      <c r="I5052" s="1358"/>
    </row>
    <row r="5053" spans="8:9">
      <c r="H5053" s="1358"/>
      <c r="I5053" s="1358"/>
    </row>
    <row r="5054" spans="8:9">
      <c r="H5054" s="1358"/>
      <c r="I5054" s="1358"/>
    </row>
    <row r="5055" spans="8:9">
      <c r="H5055" s="1358"/>
      <c r="I5055" s="1358"/>
    </row>
    <row r="5056" spans="8:9">
      <c r="H5056" s="1358"/>
      <c r="I5056" s="1358"/>
    </row>
    <row r="5057" spans="8:9">
      <c r="H5057" s="1358"/>
      <c r="I5057" s="1358"/>
    </row>
    <row r="5058" spans="8:9">
      <c r="H5058" s="1358"/>
      <c r="I5058" s="1358"/>
    </row>
    <row r="5059" spans="8:9">
      <c r="H5059" s="1358"/>
      <c r="I5059" s="1358"/>
    </row>
    <row r="5060" spans="8:9">
      <c r="H5060" s="1358"/>
      <c r="I5060" s="1358"/>
    </row>
    <row r="5061" spans="8:9">
      <c r="H5061" s="1358"/>
      <c r="I5061" s="1358"/>
    </row>
    <row r="5062" spans="8:9">
      <c r="H5062" s="1358"/>
      <c r="I5062" s="1358"/>
    </row>
    <row r="5063" spans="8:9">
      <c r="H5063" s="1358"/>
      <c r="I5063" s="1358"/>
    </row>
    <row r="5064" spans="8:9">
      <c r="H5064" s="1358"/>
      <c r="I5064" s="1358"/>
    </row>
    <row r="5065" spans="8:9">
      <c r="H5065" s="1358"/>
      <c r="I5065" s="1358"/>
    </row>
    <row r="5066" spans="8:9">
      <c r="H5066" s="1358"/>
      <c r="I5066" s="1358"/>
    </row>
    <row r="5067" spans="8:9">
      <c r="H5067" s="1358"/>
      <c r="I5067" s="1358"/>
    </row>
    <row r="5068" spans="8:9">
      <c r="H5068" s="1358"/>
      <c r="I5068" s="1358"/>
    </row>
    <row r="5069" spans="8:9">
      <c r="H5069" s="1358"/>
      <c r="I5069" s="1358"/>
    </row>
    <row r="5070" spans="8:9">
      <c r="H5070" s="1358"/>
      <c r="I5070" s="1358"/>
    </row>
    <row r="5071" spans="8:9">
      <c r="H5071" s="1358"/>
      <c r="I5071" s="1358"/>
    </row>
    <row r="5072" spans="8:9">
      <c r="H5072" s="1358"/>
      <c r="I5072" s="1358"/>
    </row>
    <row r="5073" spans="8:9">
      <c r="H5073" s="1358"/>
      <c r="I5073" s="1358"/>
    </row>
    <row r="5074" spans="8:9">
      <c r="H5074" s="1358"/>
      <c r="I5074" s="1358"/>
    </row>
    <row r="5075" spans="8:9">
      <c r="H5075" s="1358"/>
      <c r="I5075" s="1358"/>
    </row>
    <row r="5076" spans="8:9">
      <c r="H5076" s="1358"/>
      <c r="I5076" s="1358"/>
    </row>
    <row r="5077" spans="8:9">
      <c r="H5077" s="1358"/>
      <c r="I5077" s="1358"/>
    </row>
    <row r="5078" spans="8:9">
      <c r="H5078" s="1358"/>
      <c r="I5078" s="1358"/>
    </row>
    <row r="5079" spans="8:9">
      <c r="H5079" s="1358"/>
      <c r="I5079" s="1358"/>
    </row>
    <row r="5080" spans="8:9">
      <c r="H5080" s="1358"/>
      <c r="I5080" s="1358"/>
    </row>
    <row r="5081" spans="8:9">
      <c r="H5081" s="1358"/>
      <c r="I5081" s="1358"/>
    </row>
    <row r="5082" spans="8:9">
      <c r="H5082" s="1358"/>
      <c r="I5082" s="1358"/>
    </row>
    <row r="5083" spans="8:9">
      <c r="H5083" s="1358"/>
      <c r="I5083" s="1358"/>
    </row>
    <row r="5084" spans="8:9">
      <c r="H5084" s="1358"/>
      <c r="I5084" s="1358"/>
    </row>
    <row r="5085" spans="8:9">
      <c r="H5085" s="1358"/>
      <c r="I5085" s="1358"/>
    </row>
    <row r="5086" spans="8:9">
      <c r="H5086" s="1358"/>
      <c r="I5086" s="1358"/>
    </row>
    <row r="5087" spans="8:9">
      <c r="H5087" s="1358"/>
      <c r="I5087" s="1358"/>
    </row>
    <row r="5088" spans="8:9">
      <c r="H5088" s="1358"/>
      <c r="I5088" s="1358"/>
    </row>
    <row r="5089" spans="8:9">
      <c r="H5089" s="1358"/>
      <c r="I5089" s="1358"/>
    </row>
    <row r="5090" spans="8:9">
      <c r="H5090" s="1358"/>
      <c r="I5090" s="1358"/>
    </row>
    <row r="5091" spans="8:9">
      <c r="H5091" s="1358"/>
      <c r="I5091" s="1358"/>
    </row>
    <row r="5092" spans="8:9">
      <c r="H5092" s="1358"/>
      <c r="I5092" s="1358"/>
    </row>
    <row r="5093" spans="8:9">
      <c r="H5093" s="1358"/>
      <c r="I5093" s="1358"/>
    </row>
    <row r="5094" spans="8:9">
      <c r="H5094" s="1358"/>
      <c r="I5094" s="1358"/>
    </row>
    <row r="5095" spans="8:9">
      <c r="H5095" s="1358"/>
      <c r="I5095" s="1358"/>
    </row>
    <row r="5096" spans="8:9">
      <c r="H5096" s="1358"/>
      <c r="I5096" s="1358"/>
    </row>
    <row r="5097" spans="8:9">
      <c r="H5097" s="1358"/>
      <c r="I5097" s="1358"/>
    </row>
    <row r="5098" spans="8:9">
      <c r="H5098" s="1358"/>
      <c r="I5098" s="1358"/>
    </row>
    <row r="5099" spans="8:9">
      <c r="H5099" s="1358"/>
      <c r="I5099" s="1358"/>
    </row>
    <row r="5100" spans="8:9">
      <c r="H5100" s="1358"/>
      <c r="I5100" s="1358"/>
    </row>
    <row r="5101" spans="8:9">
      <c r="H5101" s="1358"/>
      <c r="I5101" s="1358"/>
    </row>
    <row r="5102" spans="8:9">
      <c r="H5102" s="1358"/>
      <c r="I5102" s="1358"/>
    </row>
    <row r="5103" spans="8:9">
      <c r="H5103" s="1358"/>
      <c r="I5103" s="1358"/>
    </row>
    <row r="5104" spans="8:9">
      <c r="H5104" s="1358"/>
      <c r="I5104" s="1358"/>
    </row>
    <row r="5105" spans="8:9">
      <c r="H5105" s="1358"/>
      <c r="I5105" s="1358"/>
    </row>
    <row r="5106" spans="8:9">
      <c r="H5106" s="1358"/>
      <c r="I5106" s="1358"/>
    </row>
    <row r="5107" spans="8:9">
      <c r="H5107" s="1358"/>
      <c r="I5107" s="1358"/>
    </row>
    <row r="5108" spans="8:9">
      <c r="H5108" s="1358"/>
      <c r="I5108" s="1358"/>
    </row>
    <row r="5109" spans="8:9">
      <c r="H5109" s="1358"/>
      <c r="I5109" s="1358"/>
    </row>
    <row r="5110" spans="8:9">
      <c r="H5110" s="1358"/>
      <c r="I5110" s="1358"/>
    </row>
    <row r="5111" spans="8:9">
      <c r="H5111" s="1358"/>
      <c r="I5111" s="1358"/>
    </row>
    <row r="5112" spans="8:9">
      <c r="H5112" s="1358"/>
      <c r="I5112" s="1358"/>
    </row>
    <row r="5113" spans="8:9">
      <c r="H5113" s="1358"/>
      <c r="I5113" s="1358"/>
    </row>
    <row r="5114" spans="8:9">
      <c r="H5114" s="1358"/>
      <c r="I5114" s="1358"/>
    </row>
    <row r="5115" spans="8:9">
      <c r="H5115" s="1358"/>
      <c r="I5115" s="1358"/>
    </row>
    <row r="5116" spans="8:9">
      <c r="H5116" s="1358"/>
      <c r="I5116" s="1358"/>
    </row>
    <row r="5117" spans="8:9">
      <c r="H5117" s="1358"/>
      <c r="I5117" s="1358"/>
    </row>
    <row r="5118" spans="8:9">
      <c r="H5118" s="1358"/>
      <c r="I5118" s="1358"/>
    </row>
    <row r="5119" spans="8:9">
      <c r="H5119" s="1358"/>
      <c r="I5119" s="1358"/>
    </row>
    <row r="5120" spans="8:9">
      <c r="H5120" s="1358"/>
      <c r="I5120" s="1358"/>
    </row>
    <row r="5121" spans="8:9">
      <c r="H5121" s="1358"/>
      <c r="I5121" s="1358"/>
    </row>
    <row r="5122" spans="8:9">
      <c r="H5122" s="1358"/>
      <c r="I5122" s="1358"/>
    </row>
    <row r="5123" spans="8:9">
      <c r="H5123" s="1358"/>
      <c r="I5123" s="1358"/>
    </row>
    <row r="5124" spans="8:9">
      <c r="H5124" s="1358"/>
      <c r="I5124" s="1358"/>
    </row>
    <row r="5125" spans="8:9">
      <c r="H5125" s="1358"/>
      <c r="I5125" s="1358"/>
    </row>
    <row r="5126" spans="8:9">
      <c r="H5126" s="1358"/>
      <c r="I5126" s="1358"/>
    </row>
    <row r="5127" spans="8:9">
      <c r="H5127" s="1358"/>
      <c r="I5127" s="1358"/>
    </row>
    <row r="5128" spans="8:9">
      <c r="H5128" s="1358"/>
      <c r="I5128" s="1358"/>
    </row>
    <row r="5129" spans="8:9">
      <c r="H5129" s="1358"/>
      <c r="I5129" s="1358"/>
    </row>
    <row r="5130" spans="8:9">
      <c r="H5130" s="1358"/>
      <c r="I5130" s="1358"/>
    </row>
    <row r="5131" spans="8:9">
      <c r="H5131" s="1358"/>
      <c r="I5131" s="1358"/>
    </row>
    <row r="5132" spans="8:9">
      <c r="H5132" s="1358"/>
      <c r="I5132" s="1358"/>
    </row>
    <row r="5133" spans="8:9">
      <c r="H5133" s="1358"/>
      <c r="I5133" s="1358"/>
    </row>
    <row r="5134" spans="8:9">
      <c r="H5134" s="1358"/>
      <c r="I5134" s="1358"/>
    </row>
    <row r="5135" spans="8:9">
      <c r="H5135" s="1358"/>
      <c r="I5135" s="1358"/>
    </row>
    <row r="5136" spans="8:9">
      <c r="H5136" s="1358"/>
      <c r="I5136" s="1358"/>
    </row>
    <row r="5137" spans="8:9">
      <c r="H5137" s="1358"/>
      <c r="I5137" s="1358"/>
    </row>
    <row r="5138" spans="8:9">
      <c r="H5138" s="1358"/>
      <c r="I5138" s="1358"/>
    </row>
    <row r="5139" spans="8:9">
      <c r="H5139" s="1358"/>
      <c r="I5139" s="1358"/>
    </row>
    <row r="5140" spans="8:9">
      <c r="H5140" s="1358"/>
      <c r="I5140" s="1358"/>
    </row>
    <row r="5141" spans="8:9">
      <c r="H5141" s="1358"/>
      <c r="I5141" s="1358"/>
    </row>
    <row r="5142" spans="8:9">
      <c r="H5142" s="1358"/>
      <c r="I5142" s="1358"/>
    </row>
    <row r="5143" spans="8:9">
      <c r="H5143" s="1358"/>
      <c r="I5143" s="1358"/>
    </row>
    <row r="5144" spans="8:9">
      <c r="H5144" s="1358"/>
      <c r="I5144" s="1358"/>
    </row>
    <row r="5145" spans="8:9">
      <c r="H5145" s="1358"/>
      <c r="I5145" s="1358"/>
    </row>
    <row r="5146" spans="8:9">
      <c r="H5146" s="1358"/>
      <c r="I5146" s="1358"/>
    </row>
    <row r="5147" spans="8:9">
      <c r="H5147" s="1358"/>
      <c r="I5147" s="1358"/>
    </row>
    <row r="5148" spans="8:9">
      <c r="H5148" s="1358"/>
      <c r="I5148" s="1358"/>
    </row>
    <row r="5149" spans="8:9">
      <c r="H5149" s="1358"/>
      <c r="I5149" s="1358"/>
    </row>
    <row r="5150" spans="8:9">
      <c r="H5150" s="1358"/>
      <c r="I5150" s="1358"/>
    </row>
    <row r="5151" spans="8:9">
      <c r="H5151" s="1358"/>
      <c r="I5151" s="1358"/>
    </row>
    <row r="5152" spans="8:9">
      <c r="H5152" s="1358"/>
      <c r="I5152" s="1358"/>
    </row>
    <row r="5153" spans="8:9">
      <c r="H5153" s="1358"/>
      <c r="I5153" s="1358"/>
    </row>
    <row r="5154" spans="8:9">
      <c r="H5154" s="1358"/>
      <c r="I5154" s="1358"/>
    </row>
    <row r="5155" spans="8:9">
      <c r="H5155" s="1358"/>
      <c r="I5155" s="1358"/>
    </row>
    <row r="5156" spans="8:9">
      <c r="H5156" s="1358"/>
      <c r="I5156" s="1358"/>
    </row>
    <row r="5157" spans="8:9">
      <c r="H5157" s="1358"/>
      <c r="I5157" s="1358"/>
    </row>
    <row r="5158" spans="8:9">
      <c r="H5158" s="1358"/>
      <c r="I5158" s="1358"/>
    </row>
    <row r="5159" spans="8:9">
      <c r="H5159" s="1358"/>
      <c r="I5159" s="1358"/>
    </row>
    <row r="5160" spans="8:9">
      <c r="H5160" s="1358"/>
      <c r="I5160" s="1358"/>
    </row>
    <row r="5161" spans="8:9">
      <c r="H5161" s="1358"/>
      <c r="I5161" s="1358"/>
    </row>
    <row r="5162" spans="8:9">
      <c r="H5162" s="1358"/>
      <c r="I5162" s="1358"/>
    </row>
    <row r="5163" spans="8:9">
      <c r="H5163" s="1358"/>
      <c r="I5163" s="1358"/>
    </row>
    <row r="5164" spans="8:9">
      <c r="H5164" s="1358"/>
      <c r="I5164" s="1358"/>
    </row>
    <row r="5165" spans="8:9">
      <c r="H5165" s="1358"/>
      <c r="I5165" s="1358"/>
    </row>
    <row r="5166" spans="8:9">
      <c r="H5166" s="1358"/>
      <c r="I5166" s="1358"/>
    </row>
    <row r="5167" spans="8:9">
      <c r="H5167" s="1358"/>
      <c r="I5167" s="1358"/>
    </row>
    <row r="5168" spans="8:9">
      <c r="H5168" s="1358"/>
      <c r="I5168" s="1358"/>
    </row>
    <row r="5169" spans="8:9">
      <c r="H5169" s="1358"/>
      <c r="I5169" s="1358"/>
    </row>
    <row r="5170" spans="8:9">
      <c r="H5170" s="1358"/>
      <c r="I5170" s="1358"/>
    </row>
    <row r="5171" spans="8:9">
      <c r="H5171" s="1358"/>
      <c r="I5171" s="1358"/>
    </row>
    <row r="5172" spans="8:9">
      <c r="H5172" s="1358"/>
      <c r="I5172" s="1358"/>
    </row>
    <row r="5173" spans="8:9">
      <c r="H5173" s="1358"/>
      <c r="I5173" s="1358"/>
    </row>
    <row r="5174" spans="8:9">
      <c r="H5174" s="1358"/>
      <c r="I5174" s="1358"/>
    </row>
    <row r="5175" spans="8:9">
      <c r="H5175" s="1358"/>
      <c r="I5175" s="1358"/>
    </row>
    <row r="5176" spans="8:9">
      <c r="H5176" s="1358"/>
      <c r="I5176" s="1358"/>
    </row>
    <row r="5177" spans="8:9">
      <c r="H5177" s="1358"/>
      <c r="I5177" s="1358"/>
    </row>
    <row r="5178" spans="8:9">
      <c r="H5178" s="1358"/>
      <c r="I5178" s="1358"/>
    </row>
    <row r="5179" spans="8:9">
      <c r="H5179" s="1358"/>
      <c r="I5179" s="1358"/>
    </row>
    <row r="5180" spans="8:9">
      <c r="H5180" s="1358"/>
      <c r="I5180" s="1358"/>
    </row>
    <row r="5181" spans="8:9">
      <c r="H5181" s="1358"/>
      <c r="I5181" s="1358"/>
    </row>
    <row r="5182" spans="8:9">
      <c r="H5182" s="1358"/>
      <c r="I5182" s="1358"/>
    </row>
    <row r="5183" spans="8:9">
      <c r="H5183" s="1358"/>
      <c r="I5183" s="1358"/>
    </row>
    <row r="5184" spans="8:9">
      <c r="H5184" s="1358"/>
      <c r="I5184" s="1358"/>
    </row>
    <row r="5185" spans="8:9">
      <c r="H5185" s="1358"/>
      <c r="I5185" s="1358"/>
    </row>
    <row r="5186" spans="8:9">
      <c r="H5186" s="1358"/>
      <c r="I5186" s="1358"/>
    </row>
    <row r="5187" spans="8:9">
      <c r="H5187" s="1358"/>
      <c r="I5187" s="1358"/>
    </row>
    <row r="5188" spans="8:9">
      <c r="H5188" s="1358"/>
      <c r="I5188" s="1358"/>
    </row>
    <row r="5189" spans="8:9">
      <c r="H5189" s="1358"/>
      <c r="I5189" s="1358"/>
    </row>
    <row r="5190" spans="8:9">
      <c r="H5190" s="1358"/>
      <c r="I5190" s="1358"/>
    </row>
    <row r="5191" spans="8:9">
      <c r="H5191" s="1358"/>
      <c r="I5191" s="1358"/>
    </row>
    <row r="5192" spans="8:9">
      <c r="H5192" s="1358"/>
      <c r="I5192" s="1358"/>
    </row>
    <row r="5193" spans="8:9">
      <c r="H5193" s="1358"/>
      <c r="I5193" s="1358"/>
    </row>
    <row r="5194" spans="8:9">
      <c r="H5194" s="1358"/>
      <c r="I5194" s="1358"/>
    </row>
    <row r="5195" spans="8:9">
      <c r="H5195" s="1358"/>
      <c r="I5195" s="1358"/>
    </row>
    <row r="5196" spans="8:9">
      <c r="H5196" s="1358"/>
      <c r="I5196" s="1358"/>
    </row>
    <row r="5197" spans="8:9">
      <c r="H5197" s="1358"/>
      <c r="I5197" s="1358"/>
    </row>
    <row r="5198" spans="8:9">
      <c r="H5198" s="1358"/>
      <c r="I5198" s="1358"/>
    </row>
    <row r="5199" spans="8:9">
      <c r="H5199" s="1358"/>
      <c r="I5199" s="1358"/>
    </row>
    <row r="5200" spans="8:9">
      <c r="H5200" s="1358"/>
      <c r="I5200" s="1358"/>
    </row>
    <row r="5201" spans="8:9">
      <c r="H5201" s="1358"/>
      <c r="I5201" s="1358"/>
    </row>
    <row r="5202" spans="8:9">
      <c r="H5202" s="1358"/>
      <c r="I5202" s="1358"/>
    </row>
    <row r="5203" spans="8:9">
      <c r="H5203" s="1358"/>
      <c r="I5203" s="1358"/>
    </row>
    <row r="5204" spans="8:9">
      <c r="H5204" s="1358"/>
      <c r="I5204" s="1358"/>
    </row>
    <row r="5205" spans="8:9">
      <c r="H5205" s="1358"/>
      <c r="I5205" s="1358"/>
    </row>
    <row r="5206" spans="8:9">
      <c r="H5206" s="1358"/>
      <c r="I5206" s="1358"/>
    </row>
    <row r="5207" spans="8:9">
      <c r="H5207" s="1358"/>
      <c r="I5207" s="1358"/>
    </row>
    <row r="5208" spans="8:9">
      <c r="H5208" s="1358"/>
      <c r="I5208" s="1358"/>
    </row>
    <row r="5209" spans="8:9">
      <c r="H5209" s="1358"/>
      <c r="I5209" s="1358"/>
    </row>
    <row r="5210" spans="8:9">
      <c r="H5210" s="1358"/>
      <c r="I5210" s="1358"/>
    </row>
    <row r="5211" spans="8:9">
      <c r="H5211" s="1358"/>
      <c r="I5211" s="1358"/>
    </row>
    <row r="5212" spans="8:9">
      <c r="H5212" s="1358"/>
      <c r="I5212" s="1358"/>
    </row>
    <row r="5213" spans="8:9">
      <c r="H5213" s="1358"/>
      <c r="I5213" s="1358"/>
    </row>
    <row r="5214" spans="8:9">
      <c r="H5214" s="1358"/>
      <c r="I5214" s="1358"/>
    </row>
    <row r="5215" spans="8:9">
      <c r="H5215" s="1358"/>
      <c r="I5215" s="1358"/>
    </row>
    <row r="5216" spans="8:9">
      <c r="H5216" s="1358"/>
      <c r="I5216" s="1358"/>
    </row>
    <row r="5217" spans="8:9">
      <c r="H5217" s="1358"/>
      <c r="I5217" s="1358"/>
    </row>
    <row r="5218" spans="8:9">
      <c r="H5218" s="1358"/>
      <c r="I5218" s="1358"/>
    </row>
    <row r="5219" spans="8:9">
      <c r="H5219" s="1358"/>
      <c r="I5219" s="1358"/>
    </row>
    <row r="5220" spans="8:9">
      <c r="H5220" s="1358"/>
      <c r="I5220" s="1358"/>
    </row>
    <row r="5221" spans="8:9">
      <c r="H5221" s="1358"/>
      <c r="I5221" s="1358"/>
    </row>
    <row r="5222" spans="8:9">
      <c r="H5222" s="1358"/>
      <c r="I5222" s="1358"/>
    </row>
    <row r="5223" spans="8:9">
      <c r="H5223" s="1358"/>
      <c r="I5223" s="1358"/>
    </row>
    <row r="5224" spans="8:9">
      <c r="H5224" s="1358"/>
      <c r="I5224" s="1358"/>
    </row>
    <row r="5225" spans="8:9">
      <c r="H5225" s="1358"/>
      <c r="I5225" s="1358"/>
    </row>
    <row r="5226" spans="8:9">
      <c r="H5226" s="1358"/>
      <c r="I5226" s="1358"/>
    </row>
    <row r="5227" spans="8:9">
      <c r="H5227" s="1358"/>
      <c r="I5227" s="1358"/>
    </row>
    <row r="5228" spans="8:9">
      <c r="H5228" s="1358"/>
      <c r="I5228" s="1358"/>
    </row>
    <row r="5229" spans="8:9">
      <c r="H5229" s="1358"/>
      <c r="I5229" s="1358"/>
    </row>
    <row r="5230" spans="8:9">
      <c r="H5230" s="1358"/>
      <c r="I5230" s="1358"/>
    </row>
    <row r="5231" spans="8:9">
      <c r="H5231" s="1358"/>
      <c r="I5231" s="1358"/>
    </row>
    <row r="5232" spans="8:9">
      <c r="H5232" s="1358"/>
      <c r="I5232" s="1358"/>
    </row>
    <row r="5233" spans="8:9">
      <c r="H5233" s="1358"/>
      <c r="I5233" s="1358"/>
    </row>
    <row r="5234" spans="8:9">
      <c r="H5234" s="1358"/>
      <c r="I5234" s="1358"/>
    </row>
    <row r="5235" spans="8:9">
      <c r="H5235" s="1358"/>
      <c r="I5235" s="1358"/>
    </row>
    <row r="5236" spans="8:9">
      <c r="H5236" s="1358"/>
      <c r="I5236" s="1358"/>
    </row>
    <row r="5237" spans="8:9">
      <c r="H5237" s="1358"/>
      <c r="I5237" s="1358"/>
    </row>
    <row r="5238" spans="8:9">
      <c r="H5238" s="1358"/>
      <c r="I5238" s="1358"/>
    </row>
    <row r="5239" spans="8:9">
      <c r="H5239" s="1358"/>
      <c r="I5239" s="1358"/>
    </row>
    <row r="5240" spans="8:9">
      <c r="H5240" s="1358"/>
      <c r="I5240" s="1358"/>
    </row>
    <row r="5241" spans="8:9">
      <c r="H5241" s="1358"/>
      <c r="I5241" s="1358"/>
    </row>
    <row r="5242" spans="8:9">
      <c r="H5242" s="1358"/>
      <c r="I5242" s="1358"/>
    </row>
    <row r="5243" spans="8:9">
      <c r="H5243" s="1358"/>
      <c r="I5243" s="1358"/>
    </row>
    <row r="5244" spans="8:9">
      <c r="H5244" s="1358"/>
      <c r="I5244" s="1358"/>
    </row>
    <row r="5245" spans="8:9">
      <c r="H5245" s="1358"/>
      <c r="I5245" s="1358"/>
    </row>
    <row r="5246" spans="8:9">
      <c r="H5246" s="1358"/>
      <c r="I5246" s="1358"/>
    </row>
    <row r="5247" spans="8:9">
      <c r="H5247" s="1358"/>
      <c r="I5247" s="1358"/>
    </row>
    <row r="5248" spans="8:9">
      <c r="H5248" s="1358"/>
      <c r="I5248" s="1358"/>
    </row>
    <row r="5249" spans="8:9">
      <c r="H5249" s="1358"/>
      <c r="I5249" s="1358"/>
    </row>
    <row r="5250" spans="8:9">
      <c r="H5250" s="1358"/>
      <c r="I5250" s="1358"/>
    </row>
    <row r="5251" spans="8:9">
      <c r="H5251" s="1358"/>
      <c r="I5251" s="1358"/>
    </row>
    <row r="5252" spans="8:9">
      <c r="H5252" s="1358"/>
      <c r="I5252" s="1358"/>
    </row>
    <row r="5253" spans="8:9">
      <c r="H5253" s="1358"/>
      <c r="I5253" s="1358"/>
    </row>
    <row r="5254" spans="8:9">
      <c r="H5254" s="1358"/>
      <c r="I5254" s="1358"/>
    </row>
    <row r="5255" spans="8:9">
      <c r="H5255" s="1358"/>
      <c r="I5255" s="1358"/>
    </row>
    <row r="5256" spans="8:9">
      <c r="H5256" s="1358"/>
      <c r="I5256" s="1358"/>
    </row>
    <row r="5257" spans="8:9">
      <c r="H5257" s="1358"/>
      <c r="I5257" s="1358"/>
    </row>
    <row r="5258" spans="8:9">
      <c r="H5258" s="1358"/>
      <c r="I5258" s="1358"/>
    </row>
    <row r="5259" spans="8:9">
      <c r="H5259" s="1358"/>
      <c r="I5259" s="1358"/>
    </row>
    <row r="5260" spans="8:9">
      <c r="H5260" s="1358"/>
      <c r="I5260" s="1358"/>
    </row>
    <row r="5261" spans="8:9">
      <c r="H5261" s="1358"/>
      <c r="I5261" s="1358"/>
    </row>
    <row r="5262" spans="8:9">
      <c r="H5262" s="1358"/>
      <c r="I5262" s="1358"/>
    </row>
    <row r="5263" spans="8:9">
      <c r="H5263" s="1358"/>
      <c r="I5263" s="1358"/>
    </row>
    <row r="5264" spans="8:9">
      <c r="H5264" s="1358"/>
      <c r="I5264" s="1358"/>
    </row>
    <row r="5265" spans="8:9">
      <c r="H5265" s="1358"/>
      <c r="I5265" s="1358"/>
    </row>
    <row r="5266" spans="8:9">
      <c r="H5266" s="1358"/>
      <c r="I5266" s="1358"/>
    </row>
    <row r="5267" spans="8:9">
      <c r="H5267" s="1358"/>
      <c r="I5267" s="1358"/>
    </row>
    <row r="5268" spans="8:9">
      <c r="H5268" s="1358"/>
      <c r="I5268" s="1358"/>
    </row>
    <row r="5269" spans="8:9">
      <c r="H5269" s="1358"/>
      <c r="I5269" s="1358"/>
    </row>
    <row r="5270" spans="8:9">
      <c r="H5270" s="1358"/>
      <c r="I5270" s="1358"/>
    </row>
    <row r="5271" spans="8:9">
      <c r="H5271" s="1358"/>
      <c r="I5271" s="1358"/>
    </row>
    <row r="5272" spans="8:9">
      <c r="H5272" s="1358"/>
      <c r="I5272" s="1358"/>
    </row>
    <row r="5273" spans="8:9">
      <c r="H5273" s="1358"/>
      <c r="I5273" s="1358"/>
    </row>
    <row r="5274" spans="8:9">
      <c r="H5274" s="1358"/>
      <c r="I5274" s="1358"/>
    </row>
    <row r="5275" spans="8:9">
      <c r="H5275" s="1358"/>
      <c r="I5275" s="1358"/>
    </row>
    <row r="5276" spans="8:9">
      <c r="H5276" s="1358"/>
      <c r="I5276" s="1358"/>
    </row>
    <row r="5277" spans="8:9">
      <c r="H5277" s="1358"/>
      <c r="I5277" s="1358"/>
    </row>
    <row r="5278" spans="8:9">
      <c r="H5278" s="1358"/>
      <c r="I5278" s="1358"/>
    </row>
    <row r="5279" spans="8:9">
      <c r="H5279" s="1358"/>
      <c r="I5279" s="1358"/>
    </row>
    <row r="5280" spans="8:9">
      <c r="H5280" s="1358"/>
      <c r="I5280" s="1358"/>
    </row>
    <row r="5281" spans="8:9">
      <c r="H5281" s="1358"/>
      <c r="I5281" s="1358"/>
    </row>
    <row r="5282" spans="8:9">
      <c r="H5282" s="1358"/>
      <c r="I5282" s="1358"/>
    </row>
    <row r="5283" spans="8:9">
      <c r="H5283" s="1358"/>
      <c r="I5283" s="1358"/>
    </row>
    <row r="5284" spans="8:9">
      <c r="H5284" s="1358"/>
      <c r="I5284" s="1358"/>
    </row>
    <row r="5285" spans="8:9">
      <c r="H5285" s="1358"/>
      <c r="I5285" s="1358"/>
    </row>
    <row r="5286" spans="8:9">
      <c r="H5286" s="1358"/>
      <c r="I5286" s="1358"/>
    </row>
    <row r="5287" spans="8:9">
      <c r="H5287" s="1358"/>
      <c r="I5287" s="1358"/>
    </row>
    <row r="5288" spans="8:9">
      <c r="H5288" s="1358"/>
      <c r="I5288" s="1358"/>
    </row>
    <row r="5289" spans="8:9">
      <c r="H5289" s="1358"/>
      <c r="I5289" s="1358"/>
    </row>
    <row r="5290" spans="8:9">
      <c r="H5290" s="1358"/>
      <c r="I5290" s="1358"/>
    </row>
    <row r="5291" spans="8:9">
      <c r="H5291" s="1358"/>
      <c r="I5291" s="1358"/>
    </row>
    <row r="5292" spans="8:9">
      <c r="H5292" s="1358"/>
      <c r="I5292" s="1358"/>
    </row>
    <row r="5293" spans="8:9">
      <c r="H5293" s="1358"/>
      <c r="I5293" s="1358"/>
    </row>
    <row r="5294" spans="8:9">
      <c r="H5294" s="1358"/>
      <c r="I5294" s="1358"/>
    </row>
    <row r="5295" spans="8:9">
      <c r="H5295" s="1358"/>
      <c r="I5295" s="1358"/>
    </row>
    <row r="5296" spans="8:9">
      <c r="H5296" s="1358"/>
      <c r="I5296" s="1358"/>
    </row>
    <row r="5297" spans="8:9">
      <c r="H5297" s="1358"/>
      <c r="I5297" s="1358"/>
    </row>
    <row r="5298" spans="8:9">
      <c r="H5298" s="1358"/>
      <c r="I5298" s="1358"/>
    </row>
    <row r="5299" spans="8:9">
      <c r="H5299" s="1358"/>
      <c r="I5299" s="1358"/>
    </row>
    <row r="5300" spans="8:9">
      <c r="H5300" s="1358"/>
      <c r="I5300" s="1358"/>
    </row>
    <row r="5301" spans="8:9">
      <c r="H5301" s="1358"/>
      <c r="I5301" s="1358"/>
    </row>
    <row r="5302" spans="8:9">
      <c r="H5302" s="1358"/>
      <c r="I5302" s="1358"/>
    </row>
    <row r="5303" spans="8:9">
      <c r="H5303" s="1358"/>
      <c r="I5303" s="1358"/>
    </row>
    <row r="5304" spans="8:9">
      <c r="H5304" s="1358"/>
      <c r="I5304" s="1358"/>
    </row>
    <row r="5305" spans="8:9">
      <c r="H5305" s="1358"/>
      <c r="I5305" s="1358"/>
    </row>
    <row r="5306" spans="8:9">
      <c r="H5306" s="1358"/>
      <c r="I5306" s="1358"/>
    </row>
    <row r="5307" spans="8:9">
      <c r="H5307" s="1358"/>
      <c r="I5307" s="1358"/>
    </row>
    <row r="5308" spans="8:9">
      <c r="H5308" s="1358"/>
      <c r="I5308" s="1358"/>
    </row>
    <row r="5309" spans="8:9">
      <c r="H5309" s="1358"/>
      <c r="I5309" s="1358"/>
    </row>
    <row r="5310" spans="8:9">
      <c r="H5310" s="1358"/>
      <c r="I5310" s="1358"/>
    </row>
    <row r="5311" spans="8:9">
      <c r="H5311" s="1358"/>
      <c r="I5311" s="1358"/>
    </row>
    <row r="5312" spans="8:9">
      <c r="H5312" s="1358"/>
      <c r="I5312" s="1358"/>
    </row>
    <row r="5313" spans="8:9">
      <c r="H5313" s="1358"/>
      <c r="I5313" s="1358"/>
    </row>
    <row r="5314" spans="8:9">
      <c r="H5314" s="1358"/>
      <c r="I5314" s="1358"/>
    </row>
    <row r="5315" spans="8:9">
      <c r="H5315" s="1358"/>
      <c r="I5315" s="1358"/>
    </row>
    <row r="5316" spans="8:9">
      <c r="H5316" s="1358"/>
      <c r="I5316" s="1358"/>
    </row>
    <row r="5317" spans="8:9">
      <c r="H5317" s="1358"/>
      <c r="I5317" s="1358"/>
    </row>
    <row r="5318" spans="8:9">
      <c r="H5318" s="1358"/>
      <c r="I5318" s="1358"/>
    </row>
    <row r="5319" spans="8:9">
      <c r="H5319" s="1358"/>
      <c r="I5319" s="1358"/>
    </row>
    <row r="5320" spans="8:9">
      <c r="H5320" s="1358"/>
      <c r="I5320" s="1358"/>
    </row>
    <row r="5321" spans="8:9">
      <c r="H5321" s="1358"/>
      <c r="I5321" s="1358"/>
    </row>
    <row r="5322" spans="8:9">
      <c r="H5322" s="1358"/>
      <c r="I5322" s="1358"/>
    </row>
    <row r="5323" spans="8:9">
      <c r="H5323" s="1358"/>
      <c r="I5323" s="1358"/>
    </row>
    <row r="5324" spans="8:9">
      <c r="H5324" s="1358"/>
      <c r="I5324" s="1358"/>
    </row>
    <row r="5325" spans="8:9">
      <c r="H5325" s="1358"/>
      <c r="I5325" s="1358"/>
    </row>
    <row r="5326" spans="8:9">
      <c r="H5326" s="1358"/>
      <c r="I5326" s="1358"/>
    </row>
    <row r="5327" spans="8:9">
      <c r="H5327" s="1358"/>
      <c r="I5327" s="1358"/>
    </row>
    <row r="5328" spans="8:9">
      <c r="H5328" s="1358"/>
      <c r="I5328" s="1358"/>
    </row>
    <row r="5329" spans="8:9">
      <c r="H5329" s="1358"/>
      <c r="I5329" s="1358"/>
    </row>
    <row r="5330" spans="8:9">
      <c r="H5330" s="1358"/>
      <c r="I5330" s="1358"/>
    </row>
    <row r="5331" spans="8:9">
      <c r="H5331" s="1358"/>
      <c r="I5331" s="1358"/>
    </row>
    <row r="5332" spans="8:9">
      <c r="H5332" s="1358"/>
      <c r="I5332" s="1358"/>
    </row>
    <row r="5333" spans="8:9">
      <c r="H5333" s="1358"/>
      <c r="I5333" s="1358"/>
    </row>
    <row r="5334" spans="8:9">
      <c r="H5334" s="1358"/>
      <c r="I5334" s="1358"/>
    </row>
    <row r="5335" spans="8:9">
      <c r="H5335" s="1358"/>
      <c r="I5335" s="1358"/>
    </row>
    <row r="5336" spans="8:9">
      <c r="H5336" s="1358"/>
      <c r="I5336" s="1358"/>
    </row>
    <row r="5337" spans="8:9">
      <c r="H5337" s="1358"/>
      <c r="I5337" s="1358"/>
    </row>
    <row r="5338" spans="8:9">
      <c r="H5338" s="1358"/>
      <c r="I5338" s="1358"/>
    </row>
    <row r="5339" spans="8:9">
      <c r="H5339" s="1358"/>
      <c r="I5339" s="1358"/>
    </row>
    <row r="5340" spans="8:9">
      <c r="H5340" s="1358"/>
      <c r="I5340" s="1358"/>
    </row>
    <row r="5341" spans="8:9">
      <c r="H5341" s="1358"/>
      <c r="I5341" s="1358"/>
    </row>
    <row r="5342" spans="8:9">
      <c r="H5342" s="1358"/>
      <c r="I5342" s="1358"/>
    </row>
    <row r="5343" spans="8:9">
      <c r="H5343" s="1358"/>
      <c r="I5343" s="1358"/>
    </row>
    <row r="5344" spans="8:9">
      <c r="H5344" s="1358"/>
      <c r="I5344" s="1358"/>
    </row>
    <row r="5345" spans="8:9">
      <c r="H5345" s="1358"/>
      <c r="I5345" s="1358"/>
    </row>
    <row r="5346" spans="8:9">
      <c r="H5346" s="1358"/>
      <c r="I5346" s="1358"/>
    </row>
    <row r="5347" spans="8:9">
      <c r="H5347" s="1358"/>
      <c r="I5347" s="1358"/>
    </row>
    <row r="5348" spans="8:9">
      <c r="H5348" s="1358"/>
      <c r="I5348" s="1358"/>
    </row>
    <row r="5349" spans="8:9">
      <c r="H5349" s="1358"/>
      <c r="I5349" s="1358"/>
    </row>
    <row r="5350" spans="8:9">
      <c r="H5350" s="1358"/>
      <c r="I5350" s="1358"/>
    </row>
    <row r="5351" spans="8:9">
      <c r="H5351" s="1358"/>
      <c r="I5351" s="1358"/>
    </row>
    <row r="5352" spans="8:9">
      <c r="H5352" s="1358"/>
      <c r="I5352" s="1358"/>
    </row>
    <row r="5353" spans="8:9">
      <c r="H5353" s="1358"/>
      <c r="I5353" s="1358"/>
    </row>
    <row r="5354" spans="8:9">
      <c r="H5354" s="1358"/>
      <c r="I5354" s="1358"/>
    </row>
    <row r="5355" spans="8:9">
      <c r="H5355" s="1358"/>
      <c r="I5355" s="1358"/>
    </row>
    <row r="5356" spans="8:9">
      <c r="H5356" s="1358"/>
      <c r="I5356" s="1358"/>
    </row>
    <row r="5357" spans="8:9">
      <c r="H5357" s="1358"/>
      <c r="I5357" s="1358"/>
    </row>
    <row r="5358" spans="8:9">
      <c r="H5358" s="1358"/>
      <c r="I5358" s="1358"/>
    </row>
    <row r="5359" spans="8:9">
      <c r="H5359" s="1358"/>
      <c r="I5359" s="1358"/>
    </row>
    <row r="5360" spans="8:9">
      <c r="H5360" s="1358"/>
      <c r="I5360" s="1358"/>
    </row>
    <row r="5361" spans="8:9">
      <c r="H5361" s="1358"/>
      <c r="I5361" s="1358"/>
    </row>
    <row r="5362" spans="8:9">
      <c r="H5362" s="1358"/>
      <c r="I5362" s="1358"/>
    </row>
    <row r="5363" spans="8:9">
      <c r="H5363" s="1358"/>
      <c r="I5363" s="1358"/>
    </row>
    <row r="5364" spans="8:9">
      <c r="H5364" s="1358"/>
      <c r="I5364" s="1358"/>
    </row>
    <row r="5365" spans="8:9">
      <c r="H5365" s="1358"/>
      <c r="I5365" s="1358"/>
    </row>
    <row r="5366" spans="8:9">
      <c r="H5366" s="1358"/>
      <c r="I5366" s="1358"/>
    </row>
    <row r="5367" spans="8:9">
      <c r="H5367" s="1358"/>
      <c r="I5367" s="1358"/>
    </row>
    <row r="5368" spans="8:9">
      <c r="H5368" s="1358"/>
      <c r="I5368" s="1358"/>
    </row>
    <row r="5369" spans="8:9">
      <c r="H5369" s="1358"/>
      <c r="I5369" s="1358"/>
    </row>
    <row r="5370" spans="8:9">
      <c r="H5370" s="1358"/>
      <c r="I5370" s="1358"/>
    </row>
    <row r="5371" spans="8:9">
      <c r="H5371" s="1358"/>
      <c r="I5371" s="1358"/>
    </row>
    <row r="5372" spans="8:9">
      <c r="H5372" s="1358"/>
      <c r="I5372" s="1358"/>
    </row>
    <row r="5373" spans="8:9">
      <c r="H5373" s="1358"/>
      <c r="I5373" s="1358"/>
    </row>
    <row r="5374" spans="8:9">
      <c r="H5374" s="1358"/>
      <c r="I5374" s="1358"/>
    </row>
    <row r="5375" spans="8:9">
      <c r="H5375" s="1358"/>
      <c r="I5375" s="1358"/>
    </row>
    <row r="5376" spans="8:9">
      <c r="H5376" s="1358"/>
      <c r="I5376" s="1358"/>
    </row>
    <row r="5377" spans="8:9">
      <c r="H5377" s="1358"/>
      <c r="I5377" s="1358"/>
    </row>
    <row r="5378" spans="8:9">
      <c r="H5378" s="1358"/>
      <c r="I5378" s="1358"/>
    </row>
    <row r="5379" spans="8:9">
      <c r="H5379" s="1358"/>
      <c r="I5379" s="1358"/>
    </row>
    <row r="5380" spans="8:9">
      <c r="H5380" s="1358"/>
      <c r="I5380" s="1358"/>
    </row>
    <row r="5381" spans="8:9">
      <c r="H5381" s="1358"/>
      <c r="I5381" s="1358"/>
    </row>
    <row r="5382" spans="8:9">
      <c r="H5382" s="1358"/>
      <c r="I5382" s="1358"/>
    </row>
    <row r="5383" spans="8:9">
      <c r="H5383" s="1358"/>
      <c r="I5383" s="1358"/>
    </row>
    <row r="5384" spans="8:9">
      <c r="H5384" s="1358"/>
      <c r="I5384" s="1358"/>
    </row>
    <row r="5385" spans="8:9">
      <c r="H5385" s="1358"/>
      <c r="I5385" s="1358"/>
    </row>
    <row r="5386" spans="8:9">
      <c r="H5386" s="1358"/>
      <c r="I5386" s="1358"/>
    </row>
    <row r="5387" spans="8:9">
      <c r="H5387" s="1358"/>
      <c r="I5387" s="1358"/>
    </row>
    <row r="5388" spans="8:9">
      <c r="H5388" s="1358"/>
      <c r="I5388" s="1358"/>
    </row>
    <row r="5389" spans="8:9">
      <c r="H5389" s="1358"/>
      <c r="I5389" s="1358"/>
    </row>
    <row r="5390" spans="8:9">
      <c r="H5390" s="1358"/>
      <c r="I5390" s="1358"/>
    </row>
    <row r="5391" spans="8:9">
      <c r="H5391" s="1358"/>
      <c r="I5391" s="1358"/>
    </row>
    <row r="5392" spans="8:9">
      <c r="H5392" s="1358"/>
      <c r="I5392" s="1358"/>
    </row>
    <row r="5393" spans="8:9">
      <c r="H5393" s="1358"/>
      <c r="I5393" s="1358"/>
    </row>
    <row r="5394" spans="8:9">
      <c r="H5394" s="1358"/>
      <c r="I5394" s="1358"/>
    </row>
    <row r="5395" spans="8:9">
      <c r="H5395" s="1358"/>
      <c r="I5395" s="1358"/>
    </row>
    <row r="5396" spans="8:9">
      <c r="H5396" s="1358"/>
      <c r="I5396" s="1358"/>
    </row>
    <row r="5397" spans="8:9">
      <c r="H5397" s="1358"/>
      <c r="I5397" s="1358"/>
    </row>
    <row r="5398" spans="8:9">
      <c r="H5398" s="1358"/>
      <c r="I5398" s="1358"/>
    </row>
    <row r="5399" spans="8:9">
      <c r="H5399" s="1358"/>
      <c r="I5399" s="1358"/>
    </row>
    <row r="5400" spans="8:9">
      <c r="H5400" s="1358"/>
      <c r="I5400" s="1358"/>
    </row>
    <row r="5401" spans="8:9">
      <c r="H5401" s="1358"/>
      <c r="I5401" s="1358"/>
    </row>
    <row r="5402" spans="8:9">
      <c r="H5402" s="1358"/>
      <c r="I5402" s="1358"/>
    </row>
    <row r="5403" spans="8:9">
      <c r="H5403" s="1358"/>
      <c r="I5403" s="1358"/>
    </row>
    <row r="5404" spans="8:9">
      <c r="H5404" s="1358"/>
      <c r="I5404" s="1358"/>
    </row>
    <row r="5405" spans="8:9">
      <c r="H5405" s="1358"/>
      <c r="I5405" s="1358"/>
    </row>
    <row r="5406" spans="8:9">
      <c r="H5406" s="1358"/>
      <c r="I5406" s="1358"/>
    </row>
    <row r="5407" spans="8:9">
      <c r="H5407" s="1358"/>
      <c r="I5407" s="1358"/>
    </row>
    <row r="5408" spans="8:9">
      <c r="H5408" s="1358"/>
      <c r="I5408" s="1358"/>
    </row>
    <row r="5409" spans="8:9">
      <c r="H5409" s="1358"/>
      <c r="I5409" s="1358"/>
    </row>
    <row r="5410" spans="8:9">
      <c r="H5410" s="1358"/>
      <c r="I5410" s="1358"/>
    </row>
    <row r="5411" spans="8:9">
      <c r="H5411" s="1358"/>
      <c r="I5411" s="1358"/>
    </row>
    <row r="5412" spans="8:9">
      <c r="H5412" s="1358"/>
      <c r="I5412" s="1358"/>
    </row>
    <row r="5413" spans="8:9">
      <c r="H5413" s="1358"/>
      <c r="I5413" s="1358"/>
    </row>
    <row r="5414" spans="8:9">
      <c r="H5414" s="1358"/>
      <c r="I5414" s="1358"/>
    </row>
    <row r="5415" spans="8:9">
      <c r="H5415" s="1358"/>
      <c r="I5415" s="1358"/>
    </row>
    <row r="5416" spans="8:9">
      <c r="H5416" s="1358"/>
      <c r="I5416" s="1358"/>
    </row>
    <row r="5417" spans="8:9">
      <c r="H5417" s="1358"/>
      <c r="I5417" s="1358"/>
    </row>
    <row r="5418" spans="8:9">
      <c r="H5418" s="1358"/>
      <c r="I5418" s="1358"/>
    </row>
    <row r="5419" spans="8:9">
      <c r="H5419" s="1358"/>
      <c r="I5419" s="1358"/>
    </row>
    <row r="5420" spans="8:9">
      <c r="H5420" s="1358"/>
      <c r="I5420" s="1358"/>
    </row>
    <row r="5421" spans="8:9">
      <c r="H5421" s="1358"/>
      <c r="I5421" s="1358"/>
    </row>
    <row r="5422" spans="8:9">
      <c r="H5422" s="1358"/>
      <c r="I5422" s="1358"/>
    </row>
    <row r="5423" spans="8:9">
      <c r="H5423" s="1358"/>
      <c r="I5423" s="1358"/>
    </row>
    <row r="5424" spans="8:9">
      <c r="H5424" s="1358"/>
      <c r="I5424" s="1358"/>
    </row>
    <row r="5425" spans="8:9">
      <c r="H5425" s="1358"/>
      <c r="I5425" s="1358"/>
    </row>
    <row r="5426" spans="8:9">
      <c r="H5426" s="1358"/>
      <c r="I5426" s="1358"/>
    </row>
    <row r="5427" spans="8:9">
      <c r="H5427" s="1358"/>
      <c r="I5427" s="1358"/>
    </row>
    <row r="5428" spans="8:9">
      <c r="H5428" s="1358"/>
      <c r="I5428" s="1358"/>
    </row>
    <row r="5429" spans="8:9">
      <c r="H5429" s="1358"/>
      <c r="I5429" s="1358"/>
    </row>
    <row r="5430" spans="8:9">
      <c r="H5430" s="1358"/>
      <c r="I5430" s="1358"/>
    </row>
    <row r="5431" spans="8:9">
      <c r="H5431" s="1358"/>
      <c r="I5431" s="1358"/>
    </row>
    <row r="5432" spans="8:9">
      <c r="H5432" s="1358"/>
      <c r="I5432" s="1358"/>
    </row>
    <row r="5433" spans="8:9">
      <c r="H5433" s="1358"/>
      <c r="I5433" s="1358"/>
    </row>
    <row r="5434" spans="8:9">
      <c r="H5434" s="1358"/>
      <c r="I5434" s="1358"/>
    </row>
    <row r="5435" spans="8:9">
      <c r="H5435" s="1358"/>
      <c r="I5435" s="1358"/>
    </row>
    <row r="5436" spans="8:9">
      <c r="H5436" s="1358"/>
      <c r="I5436" s="1358"/>
    </row>
    <row r="5437" spans="8:9">
      <c r="H5437" s="1358"/>
      <c r="I5437" s="1358"/>
    </row>
    <row r="5438" spans="8:9">
      <c r="H5438" s="1358"/>
      <c r="I5438" s="1358"/>
    </row>
    <row r="5439" spans="8:9">
      <c r="H5439" s="1358"/>
      <c r="I5439" s="1358"/>
    </row>
    <row r="5440" spans="8:9">
      <c r="H5440" s="1358"/>
      <c r="I5440" s="1358"/>
    </row>
    <row r="5441" spans="8:9">
      <c r="H5441" s="1358"/>
      <c r="I5441" s="1358"/>
    </row>
    <row r="5442" spans="8:9">
      <c r="H5442" s="1358"/>
      <c r="I5442" s="1358"/>
    </row>
    <row r="5443" spans="8:9">
      <c r="H5443" s="1358"/>
      <c r="I5443" s="1358"/>
    </row>
    <row r="5444" spans="8:9">
      <c r="H5444" s="1358"/>
      <c r="I5444" s="1358"/>
    </row>
    <row r="5445" spans="8:9">
      <c r="H5445" s="1358"/>
      <c r="I5445" s="1358"/>
    </row>
    <row r="5446" spans="8:9">
      <c r="H5446" s="1358"/>
      <c r="I5446" s="1358"/>
    </row>
    <row r="5447" spans="8:9">
      <c r="H5447" s="1358"/>
      <c r="I5447" s="1358"/>
    </row>
    <row r="5448" spans="8:9">
      <c r="H5448" s="1358"/>
      <c r="I5448" s="1358"/>
    </row>
    <row r="5449" spans="8:9">
      <c r="H5449" s="1358"/>
      <c r="I5449" s="1358"/>
    </row>
    <row r="5450" spans="8:9">
      <c r="H5450" s="1358"/>
      <c r="I5450" s="1358"/>
    </row>
    <row r="5451" spans="8:9">
      <c r="H5451" s="1358"/>
      <c r="I5451" s="1358"/>
    </row>
    <row r="5452" spans="8:9">
      <c r="H5452" s="1358"/>
      <c r="I5452" s="1358"/>
    </row>
    <row r="5453" spans="8:9">
      <c r="H5453" s="1358"/>
      <c r="I5453" s="1358"/>
    </row>
    <row r="5454" spans="8:9">
      <c r="H5454" s="1358"/>
      <c r="I5454" s="1358"/>
    </row>
    <row r="5455" spans="8:9">
      <c r="H5455" s="1358"/>
      <c r="I5455" s="1358"/>
    </row>
    <row r="5456" spans="8:9">
      <c r="H5456" s="1358"/>
      <c r="I5456" s="1358"/>
    </row>
    <row r="5457" spans="8:9">
      <c r="H5457" s="1358"/>
      <c r="I5457" s="1358"/>
    </row>
    <row r="5458" spans="8:9">
      <c r="H5458" s="1358"/>
      <c r="I5458" s="1358"/>
    </row>
    <row r="5459" spans="8:9">
      <c r="H5459" s="1358"/>
      <c r="I5459" s="1358"/>
    </row>
    <row r="5460" spans="8:9">
      <c r="H5460" s="1358"/>
      <c r="I5460" s="1358"/>
    </row>
    <row r="5461" spans="8:9">
      <c r="H5461" s="1358"/>
      <c r="I5461" s="1358"/>
    </row>
    <row r="5462" spans="8:9">
      <c r="H5462" s="1358"/>
      <c r="I5462" s="1358"/>
    </row>
    <row r="5463" spans="8:9">
      <c r="H5463" s="1358"/>
      <c r="I5463" s="1358"/>
    </row>
    <row r="5464" spans="8:9">
      <c r="H5464" s="1358"/>
      <c r="I5464" s="1358"/>
    </row>
    <row r="5465" spans="8:9">
      <c r="H5465" s="1358"/>
      <c r="I5465" s="1358"/>
    </row>
    <row r="5466" spans="8:9">
      <c r="H5466" s="1358"/>
      <c r="I5466" s="1358"/>
    </row>
    <row r="5467" spans="8:9">
      <c r="H5467" s="1358"/>
      <c r="I5467" s="1358"/>
    </row>
    <row r="5468" spans="8:9">
      <c r="H5468" s="1358"/>
      <c r="I5468" s="1358"/>
    </row>
    <row r="5469" spans="8:9">
      <c r="H5469" s="1358"/>
      <c r="I5469" s="1358"/>
    </row>
    <row r="5470" spans="8:9">
      <c r="H5470" s="1358"/>
      <c r="I5470" s="1358"/>
    </row>
    <row r="5471" spans="8:9">
      <c r="H5471" s="1358"/>
      <c r="I5471" s="1358"/>
    </row>
    <row r="5472" spans="8:9">
      <c r="H5472" s="1358"/>
      <c r="I5472" s="1358"/>
    </row>
    <row r="5473" spans="8:9">
      <c r="H5473" s="1358"/>
      <c r="I5473" s="1358"/>
    </row>
    <row r="5474" spans="8:9">
      <c r="H5474" s="1358"/>
      <c r="I5474" s="1358"/>
    </row>
    <row r="5475" spans="8:9">
      <c r="H5475" s="1358"/>
      <c r="I5475" s="1358"/>
    </row>
    <row r="5476" spans="8:9">
      <c r="H5476" s="1358"/>
      <c r="I5476" s="1358"/>
    </row>
    <row r="5477" spans="8:9">
      <c r="H5477" s="1358"/>
      <c r="I5477" s="1358"/>
    </row>
    <row r="5478" spans="8:9">
      <c r="H5478" s="1358"/>
      <c r="I5478" s="1358"/>
    </row>
    <row r="5479" spans="8:9">
      <c r="H5479" s="1358"/>
      <c r="I5479" s="1358"/>
    </row>
    <row r="5480" spans="8:9">
      <c r="H5480" s="1358"/>
      <c r="I5480" s="1358"/>
    </row>
    <row r="5481" spans="8:9">
      <c r="H5481" s="1358"/>
      <c r="I5481" s="1358"/>
    </row>
    <row r="5482" spans="8:9">
      <c r="H5482" s="1358"/>
      <c r="I5482" s="1358"/>
    </row>
    <row r="5483" spans="8:9">
      <c r="H5483" s="1358"/>
      <c r="I5483" s="1358"/>
    </row>
    <row r="5484" spans="8:9">
      <c r="H5484" s="1358"/>
      <c r="I5484" s="1358"/>
    </row>
    <row r="5485" spans="8:9">
      <c r="H5485" s="1358"/>
      <c r="I5485" s="1358"/>
    </row>
    <row r="5486" spans="8:9">
      <c r="H5486" s="1358"/>
      <c r="I5486" s="1358"/>
    </row>
    <row r="5487" spans="8:9">
      <c r="H5487" s="1358"/>
      <c r="I5487" s="1358"/>
    </row>
    <row r="5488" spans="8:9">
      <c r="H5488" s="1358"/>
      <c r="I5488" s="1358"/>
    </row>
    <row r="5489" spans="8:9">
      <c r="H5489" s="1358"/>
      <c r="I5489" s="1358"/>
    </row>
    <row r="5490" spans="8:9">
      <c r="H5490" s="1358"/>
      <c r="I5490" s="1358"/>
    </row>
    <row r="5491" spans="8:9">
      <c r="H5491" s="1358"/>
      <c r="I5491" s="1358"/>
    </row>
    <row r="5492" spans="8:9">
      <c r="H5492" s="1358"/>
      <c r="I5492" s="1358"/>
    </row>
    <row r="5493" spans="8:9">
      <c r="H5493" s="1358"/>
      <c r="I5493" s="1358"/>
    </row>
    <row r="5494" spans="8:9">
      <c r="H5494" s="1358"/>
      <c r="I5494" s="1358"/>
    </row>
    <row r="5495" spans="8:9">
      <c r="H5495" s="1358"/>
      <c r="I5495" s="1358"/>
    </row>
    <row r="5496" spans="8:9">
      <c r="H5496" s="1358"/>
      <c r="I5496" s="1358"/>
    </row>
    <row r="5497" spans="8:9">
      <c r="H5497" s="1358"/>
      <c r="I5497" s="1358"/>
    </row>
    <row r="5498" spans="8:9">
      <c r="H5498" s="1358"/>
      <c r="I5498" s="1358"/>
    </row>
    <row r="5499" spans="8:9">
      <c r="H5499" s="1358"/>
      <c r="I5499" s="1358"/>
    </row>
    <row r="5500" spans="8:9">
      <c r="H5500" s="1358"/>
      <c r="I5500" s="1358"/>
    </row>
    <row r="5501" spans="8:9">
      <c r="H5501" s="1358"/>
      <c r="I5501" s="1358"/>
    </row>
    <row r="5502" spans="8:9">
      <c r="H5502" s="1358"/>
      <c r="I5502" s="1358"/>
    </row>
    <row r="5503" spans="8:9">
      <c r="H5503" s="1358"/>
      <c r="I5503" s="1358"/>
    </row>
    <row r="5504" spans="8:9">
      <c r="H5504" s="1358"/>
      <c r="I5504" s="1358"/>
    </row>
    <row r="5505" spans="8:9">
      <c r="H5505" s="1358"/>
      <c r="I5505" s="1358"/>
    </row>
    <row r="5506" spans="8:9">
      <c r="H5506" s="1358"/>
      <c r="I5506" s="1358"/>
    </row>
    <row r="5507" spans="8:9">
      <c r="H5507" s="1358"/>
      <c r="I5507" s="1358"/>
    </row>
    <row r="5508" spans="8:9">
      <c r="H5508" s="1358"/>
      <c r="I5508" s="1358"/>
    </row>
    <row r="5509" spans="8:9">
      <c r="H5509" s="1358"/>
      <c r="I5509" s="1358"/>
    </row>
    <row r="5510" spans="8:9">
      <c r="H5510" s="1358"/>
      <c r="I5510" s="1358"/>
    </row>
    <row r="5511" spans="8:9">
      <c r="H5511" s="1358"/>
      <c r="I5511" s="1358"/>
    </row>
    <row r="5512" spans="8:9">
      <c r="H5512" s="1358"/>
      <c r="I5512" s="1358"/>
    </row>
    <row r="5513" spans="8:9">
      <c r="H5513" s="1358"/>
      <c r="I5513" s="1358"/>
    </row>
    <row r="5514" spans="8:9">
      <c r="H5514" s="1358"/>
      <c r="I5514" s="1358"/>
    </row>
    <row r="5515" spans="8:9">
      <c r="H5515" s="1358"/>
      <c r="I5515" s="1358"/>
    </row>
    <row r="5516" spans="8:9">
      <c r="H5516" s="1358"/>
      <c r="I5516" s="1358"/>
    </row>
    <row r="5517" spans="8:9">
      <c r="H5517" s="1358"/>
      <c r="I5517" s="1358"/>
    </row>
    <row r="5518" spans="8:9">
      <c r="H5518" s="1358"/>
      <c r="I5518" s="1358"/>
    </row>
    <row r="5519" spans="8:9">
      <c r="H5519" s="1358"/>
      <c r="I5519" s="1358"/>
    </row>
    <row r="5520" spans="8:9">
      <c r="H5520" s="1358"/>
      <c r="I5520" s="1358"/>
    </row>
    <row r="5521" spans="8:9">
      <c r="H5521" s="1358"/>
      <c r="I5521" s="1358"/>
    </row>
    <row r="5522" spans="8:9">
      <c r="H5522" s="1358"/>
      <c r="I5522" s="1358"/>
    </row>
    <row r="5523" spans="8:9">
      <c r="H5523" s="1358"/>
      <c r="I5523" s="1358"/>
    </row>
    <row r="5524" spans="8:9">
      <c r="H5524" s="1358"/>
      <c r="I5524" s="1358"/>
    </row>
    <row r="5525" spans="8:9">
      <c r="H5525" s="1358"/>
      <c r="I5525" s="1358"/>
    </row>
    <row r="5526" spans="8:9">
      <c r="H5526" s="1358"/>
      <c r="I5526" s="1358"/>
    </row>
    <row r="5527" spans="8:9">
      <c r="H5527" s="1358"/>
      <c r="I5527" s="1358"/>
    </row>
    <row r="5528" spans="8:9">
      <c r="H5528" s="1358"/>
      <c r="I5528" s="1358"/>
    </row>
    <row r="5529" spans="8:9">
      <c r="H5529" s="1358"/>
      <c r="I5529" s="1358"/>
    </row>
    <row r="5530" spans="8:9">
      <c r="H5530" s="1358"/>
      <c r="I5530" s="1358"/>
    </row>
    <row r="5531" spans="8:9">
      <c r="H5531" s="1358"/>
      <c r="I5531" s="1358"/>
    </row>
    <row r="5532" spans="8:9">
      <c r="H5532" s="1358"/>
      <c r="I5532" s="1358"/>
    </row>
    <row r="5533" spans="8:9">
      <c r="H5533" s="1358"/>
      <c r="I5533" s="1358"/>
    </row>
    <row r="5534" spans="8:9">
      <c r="H5534" s="1358"/>
      <c r="I5534" s="1358"/>
    </row>
    <row r="5535" spans="8:9">
      <c r="H5535" s="1358"/>
      <c r="I5535" s="1358"/>
    </row>
    <row r="5536" spans="8:9">
      <c r="H5536" s="1358"/>
      <c r="I5536" s="1358"/>
    </row>
    <row r="5537" spans="8:9">
      <c r="H5537" s="1358"/>
      <c r="I5537" s="1358"/>
    </row>
    <row r="5538" spans="8:9">
      <c r="H5538" s="1358"/>
      <c r="I5538" s="1358"/>
    </row>
    <row r="5539" spans="8:9">
      <c r="H5539" s="1358"/>
      <c r="I5539" s="1358"/>
    </row>
    <row r="5540" spans="8:9">
      <c r="H5540" s="1358"/>
      <c r="I5540" s="1358"/>
    </row>
    <row r="5541" spans="8:9">
      <c r="H5541" s="1358"/>
      <c r="I5541" s="1358"/>
    </row>
    <row r="5542" spans="8:9">
      <c r="H5542" s="1358"/>
      <c r="I5542" s="1358"/>
    </row>
    <row r="5543" spans="8:9">
      <c r="H5543" s="1358"/>
      <c r="I5543" s="1358"/>
    </row>
    <row r="5544" spans="8:9">
      <c r="H5544" s="1358"/>
      <c r="I5544" s="1358"/>
    </row>
    <row r="5545" spans="8:9">
      <c r="H5545" s="1358"/>
      <c r="I5545" s="1358"/>
    </row>
    <row r="5546" spans="8:9">
      <c r="H5546" s="1358"/>
      <c r="I5546" s="1358"/>
    </row>
    <row r="5547" spans="8:9">
      <c r="H5547" s="1358"/>
      <c r="I5547" s="1358"/>
    </row>
    <row r="5548" spans="8:9">
      <c r="H5548" s="1358"/>
      <c r="I5548" s="1358"/>
    </row>
    <row r="5549" spans="8:9">
      <c r="H5549" s="1358"/>
      <c r="I5549" s="1358"/>
    </row>
    <row r="5550" spans="8:9">
      <c r="H5550" s="1358"/>
      <c r="I5550" s="1358"/>
    </row>
    <row r="5551" spans="8:9">
      <c r="H5551" s="1358"/>
      <c r="I5551" s="1358"/>
    </row>
    <row r="5552" spans="8:9">
      <c r="H5552" s="1358"/>
      <c r="I5552" s="1358"/>
    </row>
    <row r="5553" spans="8:9">
      <c r="H5553" s="1358"/>
      <c r="I5553" s="1358"/>
    </row>
    <row r="5554" spans="8:9">
      <c r="H5554" s="1358"/>
      <c r="I5554" s="1358"/>
    </row>
    <row r="5555" spans="8:9">
      <c r="H5555" s="1358"/>
      <c r="I5555" s="1358"/>
    </row>
    <row r="5556" spans="8:9">
      <c r="H5556" s="1358"/>
      <c r="I5556" s="1358"/>
    </row>
    <row r="5557" spans="8:9">
      <c r="H5557" s="1358"/>
      <c r="I5557" s="1358"/>
    </row>
    <row r="5558" spans="8:9">
      <c r="H5558" s="1358"/>
      <c r="I5558" s="1358"/>
    </row>
    <row r="5559" spans="8:9">
      <c r="H5559" s="1358"/>
      <c r="I5559" s="1358"/>
    </row>
    <row r="5560" spans="8:9">
      <c r="H5560" s="1358"/>
      <c r="I5560" s="1358"/>
    </row>
    <row r="5561" spans="8:9">
      <c r="H5561" s="1358"/>
      <c r="I5561" s="1358"/>
    </row>
    <row r="5562" spans="8:9">
      <c r="H5562" s="1358"/>
      <c r="I5562" s="1358"/>
    </row>
    <row r="5563" spans="8:9">
      <c r="H5563" s="1358"/>
      <c r="I5563" s="1358"/>
    </row>
    <row r="5564" spans="8:9">
      <c r="H5564" s="1358"/>
      <c r="I5564" s="1358"/>
    </row>
    <row r="5565" spans="8:9">
      <c r="H5565" s="1358"/>
      <c r="I5565" s="1358"/>
    </row>
    <row r="5566" spans="8:9">
      <c r="H5566" s="1358"/>
      <c r="I5566" s="1358"/>
    </row>
    <row r="5567" spans="8:9">
      <c r="H5567" s="1358"/>
      <c r="I5567" s="1358"/>
    </row>
    <row r="5568" spans="8:9">
      <c r="H5568" s="1358"/>
      <c r="I5568" s="1358"/>
    </row>
    <row r="5569" spans="8:9">
      <c r="H5569" s="1358"/>
      <c r="I5569" s="1358"/>
    </row>
    <row r="5570" spans="8:9">
      <c r="H5570" s="1358"/>
      <c r="I5570" s="1358"/>
    </row>
    <row r="5571" spans="8:9">
      <c r="H5571" s="1358"/>
      <c r="I5571" s="1358"/>
    </row>
    <row r="5572" spans="8:9">
      <c r="H5572" s="1358"/>
      <c r="I5572" s="1358"/>
    </row>
    <row r="5573" spans="8:9">
      <c r="H5573" s="1358"/>
      <c r="I5573" s="1358"/>
    </row>
    <row r="5574" spans="8:9">
      <c r="H5574" s="1358"/>
      <c r="I5574" s="1358"/>
    </row>
    <row r="5575" spans="8:9">
      <c r="H5575" s="1358"/>
      <c r="I5575" s="1358"/>
    </row>
    <row r="5576" spans="8:9">
      <c r="H5576" s="1358"/>
      <c r="I5576" s="1358"/>
    </row>
    <row r="5577" spans="8:9">
      <c r="H5577" s="1358"/>
      <c r="I5577" s="1358"/>
    </row>
    <row r="5578" spans="8:9">
      <c r="H5578" s="1358"/>
      <c r="I5578" s="1358"/>
    </row>
    <row r="5579" spans="8:9">
      <c r="H5579" s="1358"/>
      <c r="I5579" s="1358"/>
    </row>
    <row r="5580" spans="8:9">
      <c r="H5580" s="1358"/>
      <c r="I5580" s="1358"/>
    </row>
    <row r="5581" spans="8:9">
      <c r="H5581" s="1358"/>
      <c r="I5581" s="1358"/>
    </row>
    <row r="5582" spans="8:9">
      <c r="H5582" s="1358"/>
      <c r="I5582" s="1358"/>
    </row>
    <row r="5583" spans="8:9">
      <c r="H5583" s="1358"/>
      <c r="I5583" s="1358"/>
    </row>
    <row r="5584" spans="8:9">
      <c r="H5584" s="1358"/>
      <c r="I5584" s="1358"/>
    </row>
    <row r="5585" spans="8:9">
      <c r="H5585" s="1358"/>
      <c r="I5585" s="1358"/>
    </row>
    <row r="5586" spans="8:9">
      <c r="H5586" s="1358"/>
      <c r="I5586" s="1358"/>
    </row>
    <row r="5587" spans="8:9">
      <c r="H5587" s="1358"/>
      <c r="I5587" s="1358"/>
    </row>
    <row r="5588" spans="8:9">
      <c r="H5588" s="1358"/>
      <c r="I5588" s="1358"/>
    </row>
    <row r="5589" spans="8:9">
      <c r="H5589" s="1358"/>
      <c r="I5589" s="1358"/>
    </row>
    <row r="5590" spans="8:9">
      <c r="H5590" s="1358"/>
      <c r="I5590" s="1358"/>
    </row>
    <row r="5591" spans="8:9">
      <c r="H5591" s="1358"/>
      <c r="I5591" s="1358"/>
    </row>
    <row r="5592" spans="8:9">
      <c r="H5592" s="1358"/>
      <c r="I5592" s="1358"/>
    </row>
    <row r="5593" spans="8:9">
      <c r="H5593" s="1358"/>
      <c r="I5593" s="1358"/>
    </row>
    <row r="5594" spans="8:9">
      <c r="H5594" s="1358"/>
      <c r="I5594" s="1358"/>
    </row>
    <row r="5595" spans="8:9">
      <c r="H5595" s="1358"/>
      <c r="I5595" s="1358"/>
    </row>
    <row r="5596" spans="8:9">
      <c r="H5596" s="1358"/>
      <c r="I5596" s="1358"/>
    </row>
    <row r="5597" spans="8:9">
      <c r="H5597" s="1358"/>
      <c r="I5597" s="1358"/>
    </row>
    <row r="5598" spans="8:9">
      <c r="H5598" s="1358"/>
      <c r="I5598" s="1358"/>
    </row>
    <row r="5599" spans="8:9">
      <c r="H5599" s="1358"/>
      <c r="I5599" s="1358"/>
    </row>
    <row r="5600" spans="8:9">
      <c r="H5600" s="1358"/>
      <c r="I5600" s="1358"/>
    </row>
    <row r="5601" spans="8:9">
      <c r="H5601" s="1358"/>
      <c r="I5601" s="1358"/>
    </row>
    <row r="5602" spans="8:9">
      <c r="H5602" s="1358"/>
      <c r="I5602" s="1358"/>
    </row>
    <row r="5603" spans="8:9">
      <c r="H5603" s="1358"/>
      <c r="I5603" s="1358"/>
    </row>
    <row r="5604" spans="8:9">
      <c r="H5604" s="1358"/>
      <c r="I5604" s="1358"/>
    </row>
    <row r="5605" spans="8:9">
      <c r="H5605" s="1358"/>
      <c r="I5605" s="1358"/>
    </row>
    <row r="5606" spans="8:9">
      <c r="H5606" s="1358"/>
      <c r="I5606" s="1358"/>
    </row>
    <row r="5607" spans="8:9">
      <c r="H5607" s="1358"/>
      <c r="I5607" s="1358"/>
    </row>
    <row r="5608" spans="8:9">
      <c r="H5608" s="1358"/>
      <c r="I5608" s="1358"/>
    </row>
    <row r="5609" spans="8:9">
      <c r="H5609" s="1358"/>
      <c r="I5609" s="1358"/>
    </row>
    <row r="5610" spans="8:9">
      <c r="H5610" s="1358"/>
      <c r="I5610" s="1358"/>
    </row>
    <row r="5611" spans="8:9">
      <c r="H5611" s="1358"/>
      <c r="I5611" s="1358"/>
    </row>
    <row r="5612" spans="8:9">
      <c r="H5612" s="1358"/>
      <c r="I5612" s="1358"/>
    </row>
    <row r="5613" spans="8:9">
      <c r="H5613" s="1358"/>
      <c r="I5613" s="1358"/>
    </row>
    <row r="5614" spans="8:9">
      <c r="H5614" s="1358"/>
      <c r="I5614" s="1358"/>
    </row>
    <row r="5615" spans="8:9">
      <c r="H5615" s="1358"/>
      <c r="I5615" s="1358"/>
    </row>
    <row r="5616" spans="8:9">
      <c r="H5616" s="1358"/>
      <c r="I5616" s="1358"/>
    </row>
    <row r="5617" spans="8:9">
      <c r="H5617" s="1358"/>
      <c r="I5617" s="1358"/>
    </row>
    <row r="5618" spans="8:9">
      <c r="H5618" s="1358"/>
      <c r="I5618" s="1358"/>
    </row>
    <row r="5619" spans="8:9">
      <c r="H5619" s="1358"/>
      <c r="I5619" s="1358"/>
    </row>
    <row r="5620" spans="8:9">
      <c r="H5620" s="1358"/>
      <c r="I5620" s="1358"/>
    </row>
    <row r="5621" spans="8:9">
      <c r="H5621" s="1358"/>
      <c r="I5621" s="1358"/>
    </row>
    <row r="5622" spans="8:9">
      <c r="H5622" s="1358"/>
      <c r="I5622" s="1358"/>
    </row>
    <row r="5623" spans="8:9">
      <c r="H5623" s="1358"/>
      <c r="I5623" s="1358"/>
    </row>
    <row r="5624" spans="8:9">
      <c r="H5624" s="1358"/>
      <c r="I5624" s="1358"/>
    </row>
    <row r="5625" spans="8:9">
      <c r="H5625" s="1358"/>
      <c r="I5625" s="1358"/>
    </row>
    <row r="5626" spans="8:9">
      <c r="H5626" s="1358"/>
      <c r="I5626" s="1358"/>
    </row>
    <row r="5627" spans="8:9">
      <c r="H5627" s="1358"/>
      <c r="I5627" s="1358"/>
    </row>
    <row r="5628" spans="8:9">
      <c r="H5628" s="1358"/>
      <c r="I5628" s="1358"/>
    </row>
    <row r="5629" spans="8:9">
      <c r="H5629" s="1358"/>
      <c r="I5629" s="1358"/>
    </row>
    <row r="5630" spans="8:9">
      <c r="H5630" s="1358"/>
      <c r="I5630" s="1358"/>
    </row>
    <row r="5631" spans="8:9">
      <c r="H5631" s="1358"/>
      <c r="I5631" s="1358"/>
    </row>
    <row r="5632" spans="8:9">
      <c r="H5632" s="1358"/>
      <c r="I5632" s="1358"/>
    </row>
    <row r="5633" spans="8:9">
      <c r="H5633" s="1358"/>
      <c r="I5633" s="1358"/>
    </row>
    <row r="5634" spans="8:9">
      <c r="H5634" s="1358"/>
      <c r="I5634" s="1358"/>
    </row>
    <row r="5635" spans="8:9">
      <c r="H5635" s="1358"/>
      <c r="I5635" s="1358"/>
    </row>
    <row r="5636" spans="8:9">
      <c r="H5636" s="1358"/>
      <c r="I5636" s="1358"/>
    </row>
    <row r="5637" spans="8:9">
      <c r="H5637" s="1358"/>
      <c r="I5637" s="1358"/>
    </row>
    <row r="5638" spans="8:9">
      <c r="H5638" s="1358"/>
      <c r="I5638" s="1358"/>
    </row>
    <row r="5639" spans="8:9">
      <c r="H5639" s="1358"/>
      <c r="I5639" s="1358"/>
    </row>
    <row r="5640" spans="8:9">
      <c r="H5640" s="1358"/>
      <c r="I5640" s="1358"/>
    </row>
    <row r="5641" spans="8:9">
      <c r="H5641" s="1358"/>
      <c r="I5641" s="1358"/>
    </row>
    <row r="5642" spans="8:9">
      <c r="H5642" s="1358"/>
      <c r="I5642" s="1358"/>
    </row>
    <row r="5643" spans="8:9">
      <c r="H5643" s="1358"/>
      <c r="I5643" s="1358"/>
    </row>
    <row r="5644" spans="8:9">
      <c r="H5644" s="1358"/>
      <c r="I5644" s="1358"/>
    </row>
    <row r="5645" spans="8:9">
      <c r="H5645" s="1358"/>
      <c r="I5645" s="1358"/>
    </row>
    <row r="5646" spans="8:9">
      <c r="H5646" s="1358"/>
      <c r="I5646" s="1358"/>
    </row>
    <row r="5647" spans="8:9">
      <c r="H5647" s="1358"/>
      <c r="I5647" s="1358"/>
    </row>
    <row r="5648" spans="8:9">
      <c r="H5648" s="1358"/>
      <c r="I5648" s="1358"/>
    </row>
    <row r="5649" spans="8:9">
      <c r="H5649" s="1358"/>
      <c r="I5649" s="1358"/>
    </row>
    <row r="5650" spans="8:9">
      <c r="H5650" s="1358"/>
      <c r="I5650" s="1358"/>
    </row>
    <row r="5651" spans="8:9">
      <c r="H5651" s="1358"/>
      <c r="I5651" s="1358"/>
    </row>
    <row r="5652" spans="8:9">
      <c r="H5652" s="1358"/>
      <c r="I5652" s="1358"/>
    </row>
    <row r="5653" spans="8:9">
      <c r="H5653" s="1358"/>
      <c r="I5653" s="1358"/>
    </row>
    <row r="5654" spans="8:9">
      <c r="H5654" s="1358"/>
      <c r="I5654" s="1358"/>
    </row>
    <row r="5655" spans="8:9">
      <c r="H5655" s="1358"/>
      <c r="I5655" s="1358"/>
    </row>
    <row r="5656" spans="8:9">
      <c r="H5656" s="1358"/>
      <c r="I5656" s="1358"/>
    </row>
    <row r="5657" spans="8:9">
      <c r="H5657" s="1358"/>
      <c r="I5657" s="1358"/>
    </row>
    <row r="5658" spans="8:9">
      <c r="H5658" s="1358"/>
      <c r="I5658" s="1358"/>
    </row>
    <row r="5659" spans="8:9">
      <c r="H5659" s="1358"/>
      <c r="I5659" s="1358"/>
    </row>
    <row r="5660" spans="8:9">
      <c r="H5660" s="1358"/>
      <c r="I5660" s="1358"/>
    </row>
    <row r="5661" spans="8:9">
      <c r="H5661" s="1358"/>
      <c r="I5661" s="1358"/>
    </row>
    <row r="5662" spans="8:9">
      <c r="H5662" s="1358"/>
      <c r="I5662" s="1358"/>
    </row>
    <row r="5663" spans="8:9">
      <c r="H5663" s="1358"/>
      <c r="I5663" s="1358"/>
    </row>
    <row r="5664" spans="8:9">
      <c r="H5664" s="1358"/>
      <c r="I5664" s="1358"/>
    </row>
    <row r="5665" spans="8:9">
      <c r="H5665" s="1358"/>
      <c r="I5665" s="1358"/>
    </row>
    <row r="5666" spans="8:9">
      <c r="H5666" s="1358"/>
      <c r="I5666" s="1358"/>
    </row>
    <row r="5667" spans="8:9">
      <c r="H5667" s="1358"/>
      <c r="I5667" s="1358"/>
    </row>
    <row r="5668" spans="8:9">
      <c r="H5668" s="1358"/>
      <c r="I5668" s="1358"/>
    </row>
    <row r="5669" spans="8:9">
      <c r="H5669" s="1358"/>
      <c r="I5669" s="1358"/>
    </row>
    <row r="5670" spans="8:9">
      <c r="H5670" s="1358"/>
      <c r="I5670" s="1358"/>
    </row>
    <row r="5671" spans="8:9">
      <c r="H5671" s="1358"/>
      <c r="I5671" s="1358"/>
    </row>
    <row r="5672" spans="8:9">
      <c r="H5672" s="1358"/>
      <c r="I5672" s="1358"/>
    </row>
    <row r="5673" spans="8:9">
      <c r="H5673" s="1358"/>
      <c r="I5673" s="1358"/>
    </row>
    <row r="5674" spans="8:9">
      <c r="H5674" s="1358"/>
      <c r="I5674" s="1358"/>
    </row>
    <row r="5675" spans="8:9">
      <c r="H5675" s="1358"/>
      <c r="I5675" s="1358"/>
    </row>
    <row r="5676" spans="8:9">
      <c r="H5676" s="1358"/>
      <c r="I5676" s="1358"/>
    </row>
    <row r="5677" spans="8:9">
      <c r="H5677" s="1358"/>
      <c r="I5677" s="1358"/>
    </row>
    <row r="5678" spans="8:9">
      <c r="H5678" s="1358"/>
      <c r="I5678" s="1358"/>
    </row>
    <row r="5679" spans="8:9">
      <c r="H5679" s="1358"/>
      <c r="I5679" s="1358"/>
    </row>
    <row r="5680" spans="8:9">
      <c r="H5680" s="1358"/>
      <c r="I5680" s="1358"/>
    </row>
    <row r="5681" spans="8:9">
      <c r="H5681" s="1358"/>
      <c r="I5681" s="1358"/>
    </row>
    <row r="5682" spans="8:9">
      <c r="H5682" s="1358"/>
      <c r="I5682" s="1358"/>
    </row>
    <row r="5683" spans="8:9">
      <c r="H5683" s="1358"/>
      <c r="I5683" s="1358"/>
    </row>
    <row r="5684" spans="8:9">
      <c r="H5684" s="1358"/>
      <c r="I5684" s="1358"/>
    </row>
    <row r="5685" spans="8:9">
      <c r="H5685" s="1358"/>
      <c r="I5685" s="1358"/>
    </row>
    <row r="5686" spans="8:9">
      <c r="H5686" s="1358"/>
      <c r="I5686" s="1358"/>
    </row>
    <row r="5687" spans="8:9">
      <c r="H5687" s="1358"/>
      <c r="I5687" s="1358"/>
    </row>
    <row r="5688" spans="8:9">
      <c r="H5688" s="1358"/>
      <c r="I5688" s="1358"/>
    </row>
    <row r="5689" spans="8:9">
      <c r="H5689" s="1358"/>
      <c r="I5689" s="1358"/>
    </row>
    <row r="5690" spans="8:9">
      <c r="H5690" s="1358"/>
      <c r="I5690" s="1358"/>
    </row>
    <row r="5691" spans="8:9">
      <c r="H5691" s="1358"/>
      <c r="I5691" s="1358"/>
    </row>
    <row r="5692" spans="8:9">
      <c r="H5692" s="1358"/>
      <c r="I5692" s="1358"/>
    </row>
    <row r="5693" spans="8:9">
      <c r="H5693" s="1358"/>
      <c r="I5693" s="1358"/>
    </row>
    <row r="5694" spans="8:9">
      <c r="H5694" s="1358"/>
      <c r="I5694" s="1358"/>
    </row>
    <row r="5695" spans="8:9">
      <c r="H5695" s="1358"/>
      <c r="I5695" s="1358"/>
    </row>
    <row r="5696" spans="8:9">
      <c r="H5696" s="1358"/>
      <c r="I5696" s="1358"/>
    </row>
    <row r="5697" spans="8:9">
      <c r="H5697" s="1358"/>
      <c r="I5697" s="1358"/>
    </row>
    <row r="5698" spans="8:9">
      <c r="H5698" s="1358"/>
      <c r="I5698" s="1358"/>
    </row>
    <row r="5699" spans="8:9">
      <c r="H5699" s="1358"/>
      <c r="I5699" s="1358"/>
    </row>
    <row r="5700" spans="8:9">
      <c r="H5700" s="1358"/>
      <c r="I5700" s="1358"/>
    </row>
    <row r="5701" spans="8:9">
      <c r="H5701" s="1358"/>
      <c r="I5701" s="1358"/>
    </row>
    <row r="5702" spans="8:9">
      <c r="H5702" s="1358"/>
      <c r="I5702" s="1358"/>
    </row>
    <row r="5703" spans="8:9">
      <c r="H5703" s="1358"/>
      <c r="I5703" s="1358"/>
    </row>
    <row r="5704" spans="8:9">
      <c r="H5704" s="1358"/>
      <c r="I5704" s="1358"/>
    </row>
    <row r="5705" spans="8:9">
      <c r="H5705" s="1358"/>
      <c r="I5705" s="1358"/>
    </row>
    <row r="5706" spans="8:9">
      <c r="H5706" s="1358"/>
      <c r="I5706" s="1358"/>
    </row>
    <row r="5707" spans="8:9">
      <c r="H5707" s="1358"/>
      <c r="I5707" s="1358"/>
    </row>
    <row r="5708" spans="8:9">
      <c r="H5708" s="1358"/>
      <c r="I5708" s="1358"/>
    </row>
    <row r="5709" spans="8:9">
      <c r="H5709" s="1358"/>
      <c r="I5709" s="1358"/>
    </row>
    <row r="5710" spans="8:9">
      <c r="H5710" s="1358"/>
      <c r="I5710" s="1358"/>
    </row>
    <row r="5711" spans="8:9">
      <c r="H5711" s="1358"/>
      <c r="I5711" s="1358"/>
    </row>
    <row r="5712" spans="8:9">
      <c r="H5712" s="1358"/>
      <c r="I5712" s="1358"/>
    </row>
    <row r="5713" spans="8:9">
      <c r="H5713" s="1358"/>
      <c r="I5713" s="1358"/>
    </row>
    <row r="5714" spans="8:9">
      <c r="H5714" s="1358"/>
      <c r="I5714" s="1358"/>
    </row>
    <row r="5715" spans="8:9">
      <c r="H5715" s="1358"/>
      <c r="I5715" s="1358"/>
    </row>
    <row r="5716" spans="8:9">
      <c r="H5716" s="1358"/>
      <c r="I5716" s="1358"/>
    </row>
    <row r="5717" spans="8:9">
      <c r="H5717" s="1358"/>
      <c r="I5717" s="1358"/>
    </row>
    <row r="5718" spans="8:9">
      <c r="H5718" s="1358"/>
      <c r="I5718" s="1358"/>
    </row>
    <row r="5719" spans="8:9">
      <c r="H5719" s="1358"/>
      <c r="I5719" s="1358"/>
    </row>
    <row r="5720" spans="8:9">
      <c r="H5720" s="1358"/>
      <c r="I5720" s="1358"/>
    </row>
    <row r="5721" spans="8:9">
      <c r="H5721" s="1358"/>
      <c r="I5721" s="1358"/>
    </row>
    <row r="5722" spans="8:9">
      <c r="H5722" s="1358"/>
      <c r="I5722" s="1358"/>
    </row>
    <row r="5723" spans="8:9">
      <c r="H5723" s="1358"/>
      <c r="I5723" s="1358"/>
    </row>
    <row r="5724" spans="8:9">
      <c r="H5724" s="1358"/>
      <c r="I5724" s="1358"/>
    </row>
    <row r="5725" spans="8:9">
      <c r="H5725" s="1358"/>
      <c r="I5725" s="1358"/>
    </row>
    <row r="5726" spans="8:9">
      <c r="H5726" s="1358"/>
      <c r="I5726" s="1358"/>
    </row>
    <row r="5727" spans="8:9">
      <c r="H5727" s="1358"/>
      <c r="I5727" s="1358"/>
    </row>
    <row r="5728" spans="8:9">
      <c r="H5728" s="1358"/>
      <c r="I5728" s="1358"/>
    </row>
    <row r="5729" spans="8:9">
      <c r="H5729" s="1358"/>
      <c r="I5729" s="1358"/>
    </row>
    <row r="5730" spans="8:9">
      <c r="H5730" s="1358"/>
      <c r="I5730" s="1358"/>
    </row>
    <row r="5731" spans="8:9">
      <c r="H5731" s="1358"/>
      <c r="I5731" s="1358"/>
    </row>
    <row r="5732" spans="8:9">
      <c r="H5732" s="1358"/>
      <c r="I5732" s="1358"/>
    </row>
    <row r="5733" spans="8:9">
      <c r="H5733" s="1358"/>
      <c r="I5733" s="1358"/>
    </row>
    <row r="5734" spans="8:9">
      <c r="H5734" s="1358"/>
      <c r="I5734" s="1358"/>
    </row>
    <row r="5735" spans="8:9">
      <c r="H5735" s="1358"/>
      <c r="I5735" s="1358"/>
    </row>
    <row r="5736" spans="8:9">
      <c r="H5736" s="1358"/>
      <c r="I5736" s="1358"/>
    </row>
    <row r="5737" spans="8:9">
      <c r="H5737" s="1358"/>
      <c r="I5737" s="1358"/>
    </row>
    <row r="5738" spans="8:9">
      <c r="H5738" s="1358"/>
      <c r="I5738" s="1358"/>
    </row>
    <row r="5739" spans="8:9">
      <c r="H5739" s="1358"/>
      <c r="I5739" s="1358"/>
    </row>
    <row r="5740" spans="8:9">
      <c r="H5740" s="1358"/>
      <c r="I5740" s="1358"/>
    </row>
    <row r="5741" spans="8:9">
      <c r="H5741" s="1358"/>
      <c r="I5741" s="1358"/>
    </row>
    <row r="5742" spans="8:9">
      <c r="H5742" s="1358"/>
      <c r="I5742" s="1358"/>
    </row>
    <row r="5743" spans="8:9">
      <c r="H5743" s="1358"/>
      <c r="I5743" s="1358"/>
    </row>
    <row r="5744" spans="8:9">
      <c r="H5744" s="1358"/>
      <c r="I5744" s="1358"/>
    </row>
    <row r="5745" spans="8:9">
      <c r="H5745" s="1358"/>
      <c r="I5745" s="1358"/>
    </row>
    <row r="5746" spans="8:9">
      <c r="H5746" s="1358"/>
      <c r="I5746" s="1358"/>
    </row>
    <row r="5747" spans="8:9">
      <c r="H5747" s="1358"/>
      <c r="I5747" s="1358"/>
    </row>
    <row r="5748" spans="8:9">
      <c r="H5748" s="1358"/>
      <c r="I5748" s="1358"/>
    </row>
    <row r="5749" spans="8:9">
      <c r="H5749" s="1358"/>
      <c r="I5749" s="1358"/>
    </row>
    <row r="5750" spans="8:9">
      <c r="H5750" s="1358"/>
      <c r="I5750" s="1358"/>
    </row>
    <row r="5751" spans="8:9">
      <c r="H5751" s="1358"/>
      <c r="I5751" s="1358"/>
    </row>
    <row r="5752" spans="8:9">
      <c r="H5752" s="1358"/>
      <c r="I5752" s="1358"/>
    </row>
    <row r="5753" spans="8:9">
      <c r="H5753" s="1358"/>
      <c r="I5753" s="1358"/>
    </row>
    <row r="5754" spans="8:9">
      <c r="H5754" s="1358"/>
      <c r="I5754" s="1358"/>
    </row>
    <row r="5755" spans="8:9">
      <c r="H5755" s="1358"/>
      <c r="I5755" s="1358"/>
    </row>
    <row r="5756" spans="8:9">
      <c r="H5756" s="1358"/>
      <c r="I5756" s="1358"/>
    </row>
    <row r="5757" spans="8:9">
      <c r="H5757" s="1358"/>
      <c r="I5757" s="1358"/>
    </row>
    <row r="5758" spans="8:9">
      <c r="H5758" s="1358"/>
      <c r="I5758" s="1358"/>
    </row>
    <row r="5759" spans="8:9">
      <c r="H5759" s="1358"/>
      <c r="I5759" s="1358"/>
    </row>
    <row r="5760" spans="8:9">
      <c r="H5760" s="1358"/>
      <c r="I5760" s="1358"/>
    </row>
    <row r="5761" spans="8:9">
      <c r="H5761" s="1358"/>
      <c r="I5761" s="1358"/>
    </row>
    <row r="5762" spans="8:9">
      <c r="H5762" s="1358"/>
      <c r="I5762" s="1358"/>
    </row>
    <row r="5763" spans="8:9">
      <c r="H5763" s="1358"/>
      <c r="I5763" s="1358"/>
    </row>
    <row r="5764" spans="8:9">
      <c r="H5764" s="1358"/>
      <c r="I5764" s="1358"/>
    </row>
    <row r="5765" spans="8:9">
      <c r="H5765" s="1358"/>
      <c r="I5765" s="1358"/>
    </row>
    <row r="5766" spans="8:9">
      <c r="H5766" s="1358"/>
      <c r="I5766" s="1358"/>
    </row>
    <row r="5767" spans="8:9">
      <c r="H5767" s="1358"/>
      <c r="I5767" s="1358"/>
    </row>
    <row r="5768" spans="8:9">
      <c r="H5768" s="1358"/>
      <c r="I5768" s="1358"/>
    </row>
    <row r="5769" spans="8:9">
      <c r="H5769" s="1358"/>
      <c r="I5769" s="1358"/>
    </row>
    <row r="5770" spans="8:9">
      <c r="H5770" s="1358"/>
      <c r="I5770" s="1358"/>
    </row>
    <row r="5771" spans="8:9">
      <c r="H5771" s="1358"/>
      <c r="I5771" s="1358"/>
    </row>
    <row r="5772" spans="8:9">
      <c r="H5772" s="1358"/>
      <c r="I5772" s="1358"/>
    </row>
    <row r="5773" spans="8:9">
      <c r="H5773" s="1358"/>
      <c r="I5773" s="1358"/>
    </row>
    <row r="5774" spans="8:9">
      <c r="H5774" s="1358"/>
      <c r="I5774" s="1358"/>
    </row>
    <row r="5775" spans="8:9">
      <c r="H5775" s="1358"/>
      <c r="I5775" s="1358"/>
    </row>
    <row r="5776" spans="8:9">
      <c r="H5776" s="1358"/>
      <c r="I5776" s="1358"/>
    </row>
    <row r="5777" spans="8:9">
      <c r="H5777" s="1358"/>
      <c r="I5777" s="1358"/>
    </row>
    <row r="5778" spans="8:9">
      <c r="H5778" s="1358"/>
      <c r="I5778" s="1358"/>
    </row>
    <row r="5779" spans="8:9">
      <c r="H5779" s="1358"/>
      <c r="I5779" s="1358"/>
    </row>
    <row r="5780" spans="8:9">
      <c r="H5780" s="1358"/>
      <c r="I5780" s="1358"/>
    </row>
    <row r="5781" spans="8:9">
      <c r="H5781" s="1358"/>
      <c r="I5781" s="1358"/>
    </row>
    <row r="5782" spans="8:9">
      <c r="H5782" s="1358"/>
      <c r="I5782" s="1358"/>
    </row>
    <row r="5783" spans="8:9">
      <c r="H5783" s="1358"/>
      <c r="I5783" s="1358"/>
    </row>
    <row r="5784" spans="8:9">
      <c r="H5784" s="1358"/>
      <c r="I5784" s="1358"/>
    </row>
    <row r="5785" spans="8:9">
      <c r="H5785" s="1358"/>
      <c r="I5785" s="1358"/>
    </row>
    <row r="5786" spans="8:9">
      <c r="H5786" s="1358"/>
      <c r="I5786" s="1358"/>
    </row>
    <row r="5787" spans="8:9">
      <c r="H5787" s="1358"/>
      <c r="I5787" s="1358"/>
    </row>
    <row r="5788" spans="8:9">
      <c r="H5788" s="1358"/>
      <c r="I5788" s="1358"/>
    </row>
    <row r="5789" spans="8:9">
      <c r="H5789" s="1358"/>
      <c r="I5789" s="1358"/>
    </row>
    <row r="5790" spans="8:9">
      <c r="H5790" s="1358"/>
      <c r="I5790" s="1358"/>
    </row>
    <row r="5791" spans="8:9">
      <c r="H5791" s="1358"/>
      <c r="I5791" s="1358"/>
    </row>
    <row r="5792" spans="8:9">
      <c r="H5792" s="1358"/>
      <c r="I5792" s="1358"/>
    </row>
    <row r="5793" spans="8:9">
      <c r="H5793" s="1358"/>
      <c r="I5793" s="1358"/>
    </row>
    <row r="5794" spans="8:9">
      <c r="H5794" s="1358"/>
      <c r="I5794" s="1358"/>
    </row>
    <row r="5795" spans="8:9">
      <c r="H5795" s="1358"/>
      <c r="I5795" s="1358"/>
    </row>
    <row r="5796" spans="8:9">
      <c r="H5796" s="1358"/>
      <c r="I5796" s="1358"/>
    </row>
    <row r="5797" spans="8:9">
      <c r="H5797" s="1358"/>
      <c r="I5797" s="1358"/>
    </row>
    <row r="5798" spans="8:9">
      <c r="H5798" s="1358"/>
      <c r="I5798" s="1358"/>
    </row>
    <row r="5799" spans="8:9">
      <c r="H5799" s="1358"/>
      <c r="I5799" s="1358"/>
    </row>
    <row r="5800" spans="8:9">
      <c r="H5800" s="1358"/>
      <c r="I5800" s="1358"/>
    </row>
    <row r="5801" spans="8:9">
      <c r="H5801" s="1358"/>
      <c r="I5801" s="1358"/>
    </row>
    <row r="5802" spans="8:9">
      <c r="H5802" s="1358"/>
      <c r="I5802" s="1358"/>
    </row>
    <row r="5803" spans="8:9">
      <c r="H5803" s="1358"/>
      <c r="I5803" s="1358"/>
    </row>
    <row r="5804" spans="8:9">
      <c r="H5804" s="1358"/>
      <c r="I5804" s="1358"/>
    </row>
    <row r="5805" spans="8:9">
      <c r="H5805" s="1358"/>
      <c r="I5805" s="1358"/>
    </row>
    <row r="5806" spans="8:9">
      <c r="H5806" s="1358"/>
      <c r="I5806" s="1358"/>
    </row>
    <row r="5807" spans="8:9">
      <c r="H5807" s="1358"/>
      <c r="I5807" s="1358"/>
    </row>
    <row r="5808" spans="8:9">
      <c r="H5808" s="1358"/>
      <c r="I5808" s="1358"/>
    </row>
    <row r="5809" spans="8:9">
      <c r="H5809" s="1358"/>
      <c r="I5809" s="1358"/>
    </row>
    <row r="5810" spans="8:9">
      <c r="H5810" s="1358"/>
      <c r="I5810" s="1358"/>
    </row>
    <row r="5811" spans="8:9">
      <c r="H5811" s="1358"/>
      <c r="I5811" s="1358"/>
    </row>
    <row r="5812" spans="8:9">
      <c r="H5812" s="1358"/>
      <c r="I5812" s="1358"/>
    </row>
    <row r="5813" spans="8:9">
      <c r="H5813" s="1358"/>
      <c r="I5813" s="1358"/>
    </row>
    <row r="5814" spans="8:9">
      <c r="H5814" s="1358"/>
      <c r="I5814" s="1358"/>
    </row>
    <row r="5815" spans="8:9">
      <c r="H5815" s="1358"/>
      <c r="I5815" s="1358"/>
    </row>
    <row r="5816" spans="8:9">
      <c r="H5816" s="1358"/>
      <c r="I5816" s="1358"/>
    </row>
    <row r="5817" spans="8:9">
      <c r="H5817" s="1358"/>
      <c r="I5817" s="1358"/>
    </row>
    <row r="5818" spans="8:9">
      <c r="H5818" s="1358"/>
      <c r="I5818" s="1358"/>
    </row>
    <row r="5819" spans="8:9">
      <c r="H5819" s="1358"/>
      <c r="I5819" s="1358"/>
    </row>
    <row r="5820" spans="8:9">
      <c r="H5820" s="1358"/>
      <c r="I5820" s="1358"/>
    </row>
    <row r="5821" spans="8:9">
      <c r="H5821" s="1358"/>
      <c r="I5821" s="1358"/>
    </row>
    <row r="5822" spans="8:9">
      <c r="H5822" s="1358"/>
      <c r="I5822" s="1358"/>
    </row>
    <row r="5823" spans="8:9">
      <c r="H5823" s="1358"/>
      <c r="I5823" s="1358"/>
    </row>
    <row r="5824" spans="8:9">
      <c r="H5824" s="1358"/>
      <c r="I5824" s="1358"/>
    </row>
    <row r="5825" spans="8:9">
      <c r="H5825" s="1358"/>
      <c r="I5825" s="1358"/>
    </row>
    <row r="5826" spans="8:9">
      <c r="H5826" s="1358"/>
      <c r="I5826" s="1358"/>
    </row>
    <row r="5827" spans="8:9">
      <c r="H5827" s="1358"/>
      <c r="I5827" s="1358"/>
    </row>
    <row r="5828" spans="8:9">
      <c r="H5828" s="1358"/>
      <c r="I5828" s="1358"/>
    </row>
    <row r="5829" spans="8:9">
      <c r="H5829" s="1358"/>
      <c r="I5829" s="1358"/>
    </row>
    <row r="5830" spans="8:9">
      <c r="H5830" s="1358"/>
      <c r="I5830" s="1358"/>
    </row>
    <row r="5831" spans="8:9">
      <c r="H5831" s="1358"/>
      <c r="I5831" s="1358"/>
    </row>
    <row r="5832" spans="8:9">
      <c r="H5832" s="1358"/>
      <c r="I5832" s="1358"/>
    </row>
    <row r="5833" spans="8:9">
      <c r="H5833" s="1358"/>
      <c r="I5833" s="1358"/>
    </row>
    <row r="5834" spans="8:9">
      <c r="H5834" s="1358"/>
      <c r="I5834" s="1358"/>
    </row>
    <row r="5835" spans="8:9">
      <c r="H5835" s="1358"/>
      <c r="I5835" s="1358"/>
    </row>
    <row r="5836" spans="8:9">
      <c r="H5836" s="1358"/>
      <c r="I5836" s="1358"/>
    </row>
    <row r="5837" spans="8:9">
      <c r="H5837" s="1358"/>
      <c r="I5837" s="1358"/>
    </row>
    <row r="5838" spans="8:9">
      <c r="H5838" s="1358"/>
      <c r="I5838" s="1358"/>
    </row>
    <row r="5839" spans="8:9">
      <c r="H5839" s="1358"/>
      <c r="I5839" s="1358"/>
    </row>
    <row r="5840" spans="8:9">
      <c r="H5840" s="1358"/>
      <c r="I5840" s="1358"/>
    </row>
    <row r="5841" spans="8:9">
      <c r="H5841" s="1358"/>
      <c r="I5841" s="1358"/>
    </row>
    <row r="5842" spans="8:9">
      <c r="H5842" s="1358"/>
      <c r="I5842" s="1358"/>
    </row>
    <row r="5843" spans="8:9">
      <c r="H5843" s="1358"/>
      <c r="I5843" s="1358"/>
    </row>
    <row r="5844" spans="8:9">
      <c r="H5844" s="1358"/>
      <c r="I5844" s="1358"/>
    </row>
    <row r="5845" spans="8:9">
      <c r="H5845" s="1358"/>
      <c r="I5845" s="1358"/>
    </row>
    <row r="5846" spans="8:9">
      <c r="H5846" s="1358"/>
      <c r="I5846" s="1358"/>
    </row>
    <row r="5847" spans="8:9">
      <c r="H5847" s="1358"/>
      <c r="I5847" s="1358"/>
    </row>
    <row r="5848" spans="8:9">
      <c r="H5848" s="1358"/>
      <c r="I5848" s="1358"/>
    </row>
    <row r="5849" spans="8:9">
      <c r="H5849" s="1358"/>
      <c r="I5849" s="1358"/>
    </row>
    <row r="5850" spans="8:9">
      <c r="H5850" s="1358"/>
      <c r="I5850" s="1358"/>
    </row>
    <row r="5851" spans="8:9">
      <c r="H5851" s="1358"/>
      <c r="I5851" s="1358"/>
    </row>
    <row r="5852" spans="8:9">
      <c r="H5852" s="1358"/>
      <c r="I5852" s="1358"/>
    </row>
    <row r="5853" spans="8:9">
      <c r="H5853" s="1358"/>
      <c r="I5853" s="1358"/>
    </row>
    <row r="5854" spans="8:9">
      <c r="H5854" s="1358"/>
      <c r="I5854" s="1358"/>
    </row>
    <row r="5855" spans="8:9">
      <c r="H5855" s="1358"/>
      <c r="I5855" s="1358"/>
    </row>
    <row r="5856" spans="8:9">
      <c r="H5856" s="1358"/>
      <c r="I5856" s="1358"/>
    </row>
    <row r="5857" spans="8:9">
      <c r="H5857" s="1358"/>
      <c r="I5857" s="1358"/>
    </row>
    <row r="5858" spans="8:9">
      <c r="H5858" s="1358"/>
      <c r="I5858" s="1358"/>
    </row>
    <row r="5859" spans="8:9">
      <c r="H5859" s="1358"/>
      <c r="I5859" s="1358"/>
    </row>
    <row r="5860" spans="8:9">
      <c r="H5860" s="1358"/>
      <c r="I5860" s="1358"/>
    </row>
    <row r="5861" spans="8:9">
      <c r="H5861" s="1358"/>
      <c r="I5861" s="1358"/>
    </row>
    <row r="5862" spans="8:9">
      <c r="H5862" s="1358"/>
      <c r="I5862" s="1358"/>
    </row>
    <row r="5863" spans="8:9">
      <c r="H5863" s="1358"/>
      <c r="I5863" s="1358"/>
    </row>
    <row r="5864" spans="8:9">
      <c r="H5864" s="1358"/>
      <c r="I5864" s="1358"/>
    </row>
    <row r="5865" spans="8:9">
      <c r="H5865" s="1358"/>
      <c r="I5865" s="1358"/>
    </row>
    <row r="5866" spans="8:9">
      <c r="H5866" s="1358"/>
      <c r="I5866" s="1358"/>
    </row>
    <row r="5867" spans="8:9">
      <c r="H5867" s="1358"/>
      <c r="I5867" s="1358"/>
    </row>
    <row r="5868" spans="8:9">
      <c r="H5868" s="1358"/>
      <c r="I5868" s="1358"/>
    </row>
    <row r="5869" spans="8:9">
      <c r="H5869" s="1358"/>
      <c r="I5869" s="1358"/>
    </row>
    <row r="5870" spans="8:9">
      <c r="H5870" s="1358"/>
      <c r="I5870" s="1358"/>
    </row>
    <row r="5871" spans="8:9">
      <c r="H5871" s="1358"/>
      <c r="I5871" s="1358"/>
    </row>
    <row r="5872" spans="8:9">
      <c r="H5872" s="1358"/>
      <c r="I5872" s="1358"/>
    </row>
    <row r="5873" spans="8:9">
      <c r="H5873" s="1358"/>
      <c r="I5873" s="1358"/>
    </row>
    <row r="5874" spans="8:9">
      <c r="H5874" s="1358"/>
      <c r="I5874" s="1358"/>
    </row>
    <row r="5875" spans="8:9">
      <c r="H5875" s="1358"/>
      <c r="I5875" s="1358"/>
    </row>
    <row r="5876" spans="8:9">
      <c r="H5876" s="1358"/>
      <c r="I5876" s="1358"/>
    </row>
    <row r="5877" spans="8:9">
      <c r="H5877" s="1358"/>
      <c r="I5877" s="1358"/>
    </row>
    <row r="5878" spans="8:9">
      <c r="H5878" s="1358"/>
      <c r="I5878" s="1358"/>
    </row>
    <row r="5879" spans="8:9">
      <c r="H5879" s="1358"/>
      <c r="I5879" s="1358"/>
    </row>
    <row r="5880" spans="8:9">
      <c r="H5880" s="1358"/>
      <c r="I5880" s="1358"/>
    </row>
    <row r="5881" spans="8:9">
      <c r="H5881" s="1358"/>
      <c r="I5881" s="1358"/>
    </row>
    <row r="5882" spans="8:9">
      <c r="H5882" s="1358"/>
      <c r="I5882" s="1358"/>
    </row>
    <row r="5883" spans="8:9">
      <c r="H5883" s="1358"/>
      <c r="I5883" s="1358"/>
    </row>
    <row r="5884" spans="8:9">
      <c r="H5884" s="1358"/>
      <c r="I5884" s="1358"/>
    </row>
    <row r="5885" spans="8:9">
      <c r="H5885" s="1358"/>
      <c r="I5885" s="1358"/>
    </row>
    <row r="5886" spans="8:9">
      <c r="H5886" s="1358"/>
      <c r="I5886" s="1358"/>
    </row>
    <row r="5887" spans="8:9">
      <c r="H5887" s="1358"/>
      <c r="I5887" s="1358"/>
    </row>
    <row r="5888" spans="8:9">
      <c r="H5888" s="1358"/>
      <c r="I5888" s="1358"/>
    </row>
    <row r="5889" spans="8:9">
      <c r="H5889" s="1358"/>
      <c r="I5889" s="1358"/>
    </row>
    <row r="5890" spans="8:9">
      <c r="H5890" s="1358"/>
      <c r="I5890" s="1358"/>
    </row>
    <row r="5891" spans="8:9">
      <c r="H5891" s="1358"/>
      <c r="I5891" s="1358"/>
    </row>
    <row r="5892" spans="8:9">
      <c r="H5892" s="1358"/>
      <c r="I5892" s="1358"/>
    </row>
    <row r="5893" spans="8:9">
      <c r="H5893" s="1358"/>
      <c r="I5893" s="1358"/>
    </row>
    <row r="5894" spans="8:9">
      <c r="H5894" s="1358"/>
      <c r="I5894" s="1358"/>
    </row>
    <row r="5895" spans="8:9">
      <c r="H5895" s="1358"/>
      <c r="I5895" s="1358"/>
    </row>
    <row r="5896" spans="8:9">
      <c r="H5896" s="1358"/>
      <c r="I5896" s="1358"/>
    </row>
    <row r="5897" spans="8:9">
      <c r="H5897" s="1358"/>
      <c r="I5897" s="1358"/>
    </row>
    <row r="5898" spans="8:9">
      <c r="H5898" s="1358"/>
      <c r="I5898" s="1358"/>
    </row>
    <row r="5899" spans="8:9">
      <c r="H5899" s="1358"/>
      <c r="I5899" s="1358"/>
    </row>
    <row r="5900" spans="8:9">
      <c r="H5900" s="1358"/>
      <c r="I5900" s="1358"/>
    </row>
    <row r="5901" spans="8:9">
      <c r="H5901" s="1358"/>
      <c r="I5901" s="1358"/>
    </row>
    <row r="5902" spans="8:9">
      <c r="H5902" s="1358"/>
      <c r="I5902" s="1358"/>
    </row>
    <row r="5903" spans="8:9">
      <c r="H5903" s="1358"/>
      <c r="I5903" s="1358"/>
    </row>
    <row r="5904" spans="8:9">
      <c r="H5904" s="1358"/>
      <c r="I5904" s="1358"/>
    </row>
    <row r="5905" spans="8:9">
      <c r="H5905" s="1358"/>
      <c r="I5905" s="1358"/>
    </row>
    <row r="5906" spans="8:9">
      <c r="H5906" s="1358"/>
      <c r="I5906" s="1358"/>
    </row>
    <row r="5907" spans="8:9">
      <c r="H5907" s="1358"/>
      <c r="I5907" s="1358"/>
    </row>
    <row r="5908" spans="8:9">
      <c r="H5908" s="1358"/>
      <c r="I5908" s="1358"/>
    </row>
    <row r="5909" spans="8:9">
      <c r="H5909" s="1358"/>
      <c r="I5909" s="1358"/>
    </row>
    <row r="5910" spans="8:9">
      <c r="H5910" s="1358"/>
      <c r="I5910" s="1358"/>
    </row>
    <row r="5911" spans="8:9">
      <c r="H5911" s="1358"/>
      <c r="I5911" s="1358"/>
    </row>
    <row r="5912" spans="8:9">
      <c r="H5912" s="1358"/>
      <c r="I5912" s="1358"/>
    </row>
    <row r="5913" spans="8:9">
      <c r="H5913" s="1358"/>
      <c r="I5913" s="1358"/>
    </row>
    <row r="5914" spans="8:9">
      <c r="H5914" s="1358"/>
      <c r="I5914" s="1358"/>
    </row>
    <row r="5915" spans="8:9">
      <c r="H5915" s="1358"/>
      <c r="I5915" s="1358"/>
    </row>
    <row r="5916" spans="8:9">
      <c r="H5916" s="1358"/>
      <c r="I5916" s="1358"/>
    </row>
    <row r="5917" spans="8:9">
      <c r="H5917" s="1358"/>
      <c r="I5917" s="1358"/>
    </row>
    <row r="5918" spans="8:9">
      <c r="H5918" s="1358"/>
      <c r="I5918" s="1358"/>
    </row>
    <row r="5919" spans="8:9">
      <c r="H5919" s="1358"/>
      <c r="I5919" s="1358"/>
    </row>
    <row r="5920" spans="8:9">
      <c r="H5920" s="1358"/>
      <c r="I5920" s="1358"/>
    </row>
    <row r="5921" spans="8:9">
      <c r="H5921" s="1358"/>
      <c r="I5921" s="1358"/>
    </row>
    <row r="5922" spans="8:9">
      <c r="H5922" s="1358"/>
      <c r="I5922" s="1358"/>
    </row>
    <row r="5923" spans="8:9">
      <c r="H5923" s="1358"/>
      <c r="I5923" s="1358"/>
    </row>
    <row r="5924" spans="8:9">
      <c r="H5924" s="1358"/>
      <c r="I5924" s="1358"/>
    </row>
    <row r="5925" spans="8:9">
      <c r="H5925" s="1358"/>
      <c r="I5925" s="1358"/>
    </row>
    <row r="5926" spans="8:9">
      <c r="H5926" s="1358"/>
      <c r="I5926" s="1358"/>
    </row>
    <row r="5927" spans="8:9">
      <c r="H5927" s="1358"/>
      <c r="I5927" s="1358"/>
    </row>
    <row r="5928" spans="8:9">
      <c r="H5928" s="1358"/>
      <c r="I5928" s="1358"/>
    </row>
    <row r="5929" spans="8:9">
      <c r="H5929" s="1358"/>
      <c r="I5929" s="1358"/>
    </row>
    <row r="5930" spans="8:9">
      <c r="H5930" s="1358"/>
      <c r="I5930" s="1358"/>
    </row>
    <row r="5931" spans="8:9">
      <c r="H5931" s="1358"/>
      <c r="I5931" s="1358"/>
    </row>
    <row r="5932" spans="8:9">
      <c r="H5932" s="1358"/>
      <c r="I5932" s="1358"/>
    </row>
    <row r="5933" spans="8:9">
      <c r="H5933" s="1358"/>
      <c r="I5933" s="1358"/>
    </row>
    <row r="5934" spans="8:9">
      <c r="H5934" s="1358"/>
      <c r="I5934" s="1358"/>
    </row>
    <row r="5935" spans="8:9">
      <c r="H5935" s="1358"/>
      <c r="I5935" s="1358"/>
    </row>
    <row r="5936" spans="8:9">
      <c r="H5936" s="1358"/>
      <c r="I5936" s="1358"/>
    </row>
    <row r="5937" spans="8:9">
      <c r="H5937" s="1358"/>
      <c r="I5937" s="1358"/>
    </row>
    <row r="5938" spans="8:9">
      <c r="H5938" s="1358"/>
      <c r="I5938" s="1358"/>
    </row>
    <row r="5939" spans="8:9">
      <c r="H5939" s="1358"/>
      <c r="I5939" s="1358"/>
    </row>
    <row r="5940" spans="8:9">
      <c r="H5940" s="1358"/>
      <c r="I5940" s="1358"/>
    </row>
    <row r="5941" spans="8:9">
      <c r="H5941" s="1358"/>
      <c r="I5941" s="1358"/>
    </row>
    <row r="5942" spans="8:9">
      <c r="H5942" s="1358"/>
      <c r="I5942" s="1358"/>
    </row>
    <row r="5943" spans="8:9">
      <c r="H5943" s="1358"/>
      <c r="I5943" s="1358"/>
    </row>
    <row r="5944" spans="8:9">
      <c r="H5944" s="1358"/>
      <c r="I5944" s="1358"/>
    </row>
    <row r="5945" spans="8:9">
      <c r="H5945" s="1358"/>
      <c r="I5945" s="1358"/>
    </row>
    <row r="5946" spans="8:9">
      <c r="H5946" s="1358"/>
      <c r="I5946" s="1358"/>
    </row>
    <row r="5947" spans="8:9">
      <c r="H5947" s="1358"/>
      <c r="I5947" s="1358"/>
    </row>
    <row r="5948" spans="8:9">
      <c r="H5948" s="1358"/>
      <c r="I5948" s="1358"/>
    </row>
    <row r="5949" spans="8:9">
      <c r="H5949" s="1358"/>
      <c r="I5949" s="1358"/>
    </row>
    <row r="5950" spans="8:9">
      <c r="H5950" s="1358"/>
      <c r="I5950" s="1358"/>
    </row>
    <row r="5951" spans="8:9">
      <c r="H5951" s="1358"/>
      <c r="I5951" s="1358"/>
    </row>
    <row r="5952" spans="8:9">
      <c r="H5952" s="1358"/>
      <c r="I5952" s="1358"/>
    </row>
    <row r="5953" spans="8:9">
      <c r="H5953" s="1358"/>
      <c r="I5953" s="1358"/>
    </row>
    <row r="5954" spans="8:9">
      <c r="H5954" s="1358"/>
      <c r="I5954" s="1358"/>
    </row>
    <row r="5955" spans="8:9">
      <c r="H5955" s="1358"/>
      <c r="I5955" s="1358"/>
    </row>
    <row r="5956" spans="8:9">
      <c r="H5956" s="1358"/>
      <c r="I5956" s="1358"/>
    </row>
    <row r="5957" spans="8:9">
      <c r="H5957" s="1358"/>
      <c r="I5957" s="1358"/>
    </row>
    <row r="5958" spans="8:9">
      <c r="H5958" s="1358"/>
      <c r="I5958" s="1358"/>
    </row>
    <row r="5959" spans="8:9">
      <c r="H5959" s="1358"/>
      <c r="I5959" s="1358"/>
    </row>
    <row r="5960" spans="8:9">
      <c r="H5960" s="1358"/>
      <c r="I5960" s="1358"/>
    </row>
    <row r="5961" spans="8:9">
      <c r="H5961" s="1358"/>
      <c r="I5961" s="1358"/>
    </row>
    <row r="5962" spans="8:9">
      <c r="H5962" s="1358"/>
      <c r="I5962" s="1358"/>
    </row>
    <row r="5963" spans="8:9">
      <c r="H5963" s="1358"/>
      <c r="I5963" s="1358"/>
    </row>
    <row r="5964" spans="8:9">
      <c r="H5964" s="1358"/>
      <c r="I5964" s="1358"/>
    </row>
    <row r="5965" spans="8:9">
      <c r="H5965" s="1358"/>
      <c r="I5965" s="1358"/>
    </row>
    <row r="5966" spans="8:9">
      <c r="H5966" s="1358"/>
      <c r="I5966" s="1358"/>
    </row>
    <row r="5967" spans="8:9">
      <c r="H5967" s="1358"/>
      <c r="I5967" s="1358"/>
    </row>
    <row r="5968" spans="8:9">
      <c r="H5968" s="1358"/>
      <c r="I5968" s="1358"/>
    </row>
    <row r="5969" spans="8:9">
      <c r="H5969" s="1358"/>
      <c r="I5969" s="1358"/>
    </row>
    <row r="5970" spans="8:9">
      <c r="H5970" s="1358"/>
      <c r="I5970" s="1358"/>
    </row>
    <row r="5971" spans="8:9">
      <c r="H5971" s="1358"/>
      <c r="I5971" s="1358"/>
    </row>
    <row r="5972" spans="8:9">
      <c r="H5972" s="1358"/>
      <c r="I5972" s="1358"/>
    </row>
    <row r="5973" spans="8:9">
      <c r="H5973" s="1358"/>
      <c r="I5973" s="1358"/>
    </row>
    <row r="5974" spans="8:9">
      <c r="H5974" s="1358"/>
      <c r="I5974" s="1358"/>
    </row>
    <row r="5975" spans="8:9">
      <c r="H5975" s="1358"/>
      <c r="I5975" s="1358"/>
    </row>
    <row r="5976" spans="8:9">
      <c r="H5976" s="1358"/>
      <c r="I5976" s="1358"/>
    </row>
    <row r="5977" spans="8:9">
      <c r="H5977" s="1358"/>
      <c r="I5977" s="1358"/>
    </row>
    <row r="5978" spans="8:9">
      <c r="H5978" s="1358"/>
      <c r="I5978" s="1358"/>
    </row>
    <row r="5979" spans="8:9">
      <c r="H5979" s="1358"/>
      <c r="I5979" s="1358"/>
    </row>
    <row r="5980" spans="8:9">
      <c r="H5980" s="1358"/>
      <c r="I5980" s="1358"/>
    </row>
    <row r="5981" spans="8:9">
      <c r="H5981" s="1358"/>
      <c r="I5981" s="1358"/>
    </row>
    <row r="5982" spans="8:9">
      <c r="H5982" s="1358"/>
      <c r="I5982" s="1358"/>
    </row>
    <row r="5983" spans="8:9">
      <c r="H5983" s="1358"/>
      <c r="I5983" s="1358"/>
    </row>
    <row r="5984" spans="8:9">
      <c r="H5984" s="1358"/>
      <c r="I5984" s="1358"/>
    </row>
    <row r="5985" spans="8:9">
      <c r="H5985" s="1358"/>
      <c r="I5985" s="1358"/>
    </row>
    <row r="5986" spans="8:9">
      <c r="H5986" s="1358"/>
      <c r="I5986" s="1358"/>
    </row>
    <row r="5987" spans="8:9">
      <c r="H5987" s="1358"/>
      <c r="I5987" s="1358"/>
    </row>
    <row r="5988" spans="8:9">
      <c r="H5988" s="1358"/>
      <c r="I5988" s="1358"/>
    </row>
    <row r="5989" spans="8:9">
      <c r="H5989" s="1358"/>
      <c r="I5989" s="1358"/>
    </row>
    <row r="5990" spans="8:9">
      <c r="H5990" s="1358"/>
      <c r="I5990" s="1358"/>
    </row>
    <row r="5991" spans="8:9">
      <c r="H5991" s="1358"/>
      <c r="I5991" s="1358"/>
    </row>
    <row r="5992" spans="8:9">
      <c r="H5992" s="1358"/>
      <c r="I5992" s="1358"/>
    </row>
    <row r="5993" spans="8:9">
      <c r="H5993" s="1358"/>
      <c r="I5993" s="1358"/>
    </row>
    <row r="5994" spans="8:9">
      <c r="H5994" s="1358"/>
      <c r="I5994" s="1358"/>
    </row>
    <row r="5995" spans="8:9">
      <c r="H5995" s="1358"/>
      <c r="I5995" s="1358"/>
    </row>
    <row r="5996" spans="8:9">
      <c r="H5996" s="1358"/>
      <c r="I5996" s="1358"/>
    </row>
    <row r="5997" spans="8:9">
      <c r="H5997" s="1358"/>
      <c r="I5997" s="1358"/>
    </row>
    <row r="5998" spans="8:9">
      <c r="H5998" s="1358"/>
      <c r="I5998" s="1358"/>
    </row>
    <row r="5999" spans="8:9">
      <c r="H5999" s="1358"/>
      <c r="I5999" s="1358"/>
    </row>
    <row r="6000" spans="8:9">
      <c r="H6000" s="1358"/>
      <c r="I6000" s="1358"/>
    </row>
    <row r="6001" spans="8:9">
      <c r="H6001" s="1358"/>
      <c r="I6001" s="1358"/>
    </row>
    <row r="6002" spans="8:9">
      <c r="H6002" s="1358"/>
      <c r="I6002" s="1358"/>
    </row>
    <row r="6003" spans="8:9">
      <c r="H6003" s="1358"/>
      <c r="I6003" s="1358"/>
    </row>
    <row r="6004" spans="8:9">
      <c r="H6004" s="1358"/>
      <c r="I6004" s="1358"/>
    </row>
    <row r="6005" spans="8:9">
      <c r="H6005" s="1358"/>
      <c r="I6005" s="1358"/>
    </row>
    <row r="6006" spans="8:9">
      <c r="H6006" s="1358"/>
      <c r="I6006" s="1358"/>
    </row>
    <row r="6007" spans="8:9">
      <c r="H6007" s="1358"/>
      <c r="I6007" s="1358"/>
    </row>
    <row r="6008" spans="8:9">
      <c r="H6008" s="1358"/>
      <c r="I6008" s="1358"/>
    </row>
    <row r="6009" spans="8:9">
      <c r="H6009" s="1358"/>
      <c r="I6009" s="1358"/>
    </row>
    <row r="6010" spans="8:9">
      <c r="H6010" s="1358"/>
      <c r="I6010" s="1358"/>
    </row>
    <row r="6011" spans="8:9">
      <c r="H6011" s="1358"/>
      <c r="I6011" s="1358"/>
    </row>
    <row r="6012" spans="8:9">
      <c r="H6012" s="1358"/>
      <c r="I6012" s="1358"/>
    </row>
    <row r="6013" spans="8:9">
      <c r="H6013" s="1358"/>
      <c r="I6013" s="1358"/>
    </row>
    <row r="6014" spans="8:9">
      <c r="H6014" s="1358"/>
      <c r="I6014" s="1358"/>
    </row>
    <row r="6015" spans="8:9">
      <c r="H6015" s="1358"/>
      <c r="I6015" s="1358"/>
    </row>
    <row r="6016" spans="8:9">
      <c r="H6016" s="1358"/>
      <c r="I6016" s="1358"/>
    </row>
    <row r="6017" spans="8:9">
      <c r="H6017" s="1358"/>
      <c r="I6017" s="1358"/>
    </row>
    <row r="6018" spans="8:9">
      <c r="H6018" s="1358"/>
      <c r="I6018" s="1358"/>
    </row>
    <row r="6019" spans="8:9">
      <c r="H6019" s="1358"/>
      <c r="I6019" s="1358"/>
    </row>
    <row r="6020" spans="8:9">
      <c r="H6020" s="1358"/>
      <c r="I6020" s="1358"/>
    </row>
    <row r="6021" spans="8:9">
      <c r="H6021" s="1358"/>
      <c r="I6021" s="1358"/>
    </row>
    <row r="6022" spans="8:9">
      <c r="H6022" s="1358"/>
      <c r="I6022" s="1358"/>
    </row>
    <row r="6023" spans="8:9">
      <c r="H6023" s="1358"/>
      <c r="I6023" s="1358"/>
    </row>
    <row r="6024" spans="8:9">
      <c r="H6024" s="1358"/>
      <c r="I6024" s="1358"/>
    </row>
    <row r="6025" spans="8:9">
      <c r="H6025" s="1358"/>
      <c r="I6025" s="1358"/>
    </row>
    <row r="6026" spans="8:9">
      <c r="H6026" s="1358"/>
      <c r="I6026" s="1358"/>
    </row>
    <row r="6027" spans="8:9">
      <c r="H6027" s="1358"/>
      <c r="I6027" s="1358"/>
    </row>
    <row r="6028" spans="8:9">
      <c r="H6028" s="1358"/>
      <c r="I6028" s="1358"/>
    </row>
    <row r="6029" spans="8:9">
      <c r="H6029" s="1358"/>
      <c r="I6029" s="1358"/>
    </row>
    <row r="6030" spans="8:9">
      <c r="H6030" s="1358"/>
      <c r="I6030" s="1358"/>
    </row>
    <row r="6031" spans="8:9">
      <c r="H6031" s="1358"/>
      <c r="I6031" s="1358"/>
    </row>
    <row r="6032" spans="8:9">
      <c r="H6032" s="1358"/>
      <c r="I6032" s="1358"/>
    </row>
    <row r="6033" spans="8:9">
      <c r="H6033" s="1358"/>
      <c r="I6033" s="1358"/>
    </row>
    <row r="6034" spans="8:9">
      <c r="H6034" s="1358"/>
      <c r="I6034" s="1358"/>
    </row>
    <row r="6035" spans="8:9">
      <c r="H6035" s="1358"/>
      <c r="I6035" s="1358"/>
    </row>
    <row r="6036" spans="8:9">
      <c r="H6036" s="1358"/>
      <c r="I6036" s="1358"/>
    </row>
    <row r="6037" spans="8:9">
      <c r="H6037" s="1358"/>
      <c r="I6037" s="1358"/>
    </row>
    <row r="6038" spans="8:9">
      <c r="H6038" s="1358"/>
      <c r="I6038" s="1358"/>
    </row>
    <row r="6039" spans="8:9">
      <c r="H6039" s="1358"/>
      <c r="I6039" s="1358"/>
    </row>
    <row r="6040" spans="8:9">
      <c r="H6040" s="1358"/>
      <c r="I6040" s="1358"/>
    </row>
    <row r="6041" spans="8:9">
      <c r="H6041" s="1358"/>
      <c r="I6041" s="1358"/>
    </row>
    <row r="6042" spans="8:9">
      <c r="H6042" s="1358"/>
      <c r="I6042" s="1358"/>
    </row>
    <row r="6043" spans="8:9">
      <c r="H6043" s="1358"/>
      <c r="I6043" s="1358"/>
    </row>
    <row r="6044" spans="8:9">
      <c r="H6044" s="1358"/>
      <c r="I6044" s="1358"/>
    </row>
    <row r="6045" spans="8:9">
      <c r="H6045" s="1358"/>
      <c r="I6045" s="1358"/>
    </row>
    <row r="6046" spans="8:9">
      <c r="H6046" s="1358"/>
      <c r="I6046" s="1358"/>
    </row>
    <row r="6047" spans="8:9">
      <c r="H6047" s="1358"/>
      <c r="I6047" s="1358"/>
    </row>
    <row r="6048" spans="8:9">
      <c r="H6048" s="1358"/>
      <c r="I6048" s="1358"/>
    </row>
    <row r="6049" spans="8:9">
      <c r="H6049" s="1358"/>
      <c r="I6049" s="1358"/>
    </row>
    <row r="6050" spans="8:9">
      <c r="H6050" s="1358"/>
      <c r="I6050" s="1358"/>
    </row>
    <row r="6051" spans="8:9">
      <c r="H6051" s="1358"/>
      <c r="I6051" s="1358"/>
    </row>
    <row r="6052" spans="8:9">
      <c r="H6052" s="1358"/>
      <c r="I6052" s="1358"/>
    </row>
    <row r="6053" spans="8:9">
      <c r="H6053" s="1358"/>
      <c r="I6053" s="1358"/>
    </row>
    <row r="6054" spans="8:9">
      <c r="H6054" s="1358"/>
      <c r="I6054" s="1358"/>
    </row>
    <row r="6055" spans="8:9">
      <c r="H6055" s="1358"/>
      <c r="I6055" s="1358"/>
    </row>
    <row r="6056" spans="8:9">
      <c r="H6056" s="1358"/>
      <c r="I6056" s="1358"/>
    </row>
    <row r="6057" spans="8:9">
      <c r="H6057" s="1358"/>
      <c r="I6057" s="1358"/>
    </row>
    <row r="6058" spans="8:9">
      <c r="H6058" s="1358"/>
      <c r="I6058" s="1358"/>
    </row>
    <row r="6059" spans="8:9">
      <c r="H6059" s="1358"/>
      <c r="I6059" s="1358"/>
    </row>
    <row r="6060" spans="8:9">
      <c r="H6060" s="1358"/>
      <c r="I6060" s="1358"/>
    </row>
    <row r="6061" spans="8:9">
      <c r="H6061" s="1358"/>
      <c r="I6061" s="1358"/>
    </row>
    <row r="6062" spans="8:9">
      <c r="H6062" s="1358"/>
      <c r="I6062" s="1358"/>
    </row>
    <row r="6063" spans="8:9">
      <c r="H6063" s="1358"/>
      <c r="I6063" s="1358"/>
    </row>
    <row r="6064" spans="8:9">
      <c r="H6064" s="1358"/>
      <c r="I6064" s="1358"/>
    </row>
    <row r="6065" spans="8:9">
      <c r="H6065" s="1358"/>
      <c r="I6065" s="1358"/>
    </row>
    <row r="6066" spans="8:9">
      <c r="H6066" s="1358"/>
      <c r="I6066" s="1358"/>
    </row>
    <row r="6067" spans="8:9">
      <c r="H6067" s="1358"/>
      <c r="I6067" s="1358"/>
    </row>
    <row r="6068" spans="8:9">
      <c r="H6068" s="1358"/>
      <c r="I6068" s="1358"/>
    </row>
    <row r="6069" spans="8:9">
      <c r="H6069" s="1358"/>
      <c r="I6069" s="1358"/>
    </row>
    <row r="6070" spans="8:9">
      <c r="H6070" s="1358"/>
      <c r="I6070" s="1358"/>
    </row>
    <row r="6071" spans="8:9">
      <c r="H6071" s="1358"/>
      <c r="I6071" s="1358"/>
    </row>
    <row r="6072" spans="8:9">
      <c r="H6072" s="1358"/>
      <c r="I6072" s="1358"/>
    </row>
    <row r="6073" spans="8:9">
      <c r="H6073" s="1358"/>
      <c r="I6073" s="1358"/>
    </row>
    <row r="6074" spans="8:9">
      <c r="H6074" s="1358"/>
      <c r="I6074" s="1358"/>
    </row>
    <row r="6075" spans="8:9">
      <c r="H6075" s="1358"/>
      <c r="I6075" s="1358"/>
    </row>
    <row r="6076" spans="8:9">
      <c r="H6076" s="1358"/>
      <c r="I6076" s="1358"/>
    </row>
    <row r="6077" spans="8:9">
      <c r="H6077" s="1358"/>
      <c r="I6077" s="1358"/>
    </row>
    <row r="6078" spans="8:9">
      <c r="H6078" s="1358"/>
      <c r="I6078" s="1358"/>
    </row>
    <row r="6079" spans="8:9">
      <c r="H6079" s="1358"/>
      <c r="I6079" s="1358"/>
    </row>
    <row r="6080" spans="8:9">
      <c r="H6080" s="1358"/>
      <c r="I6080" s="1358"/>
    </row>
    <row r="6081" spans="8:9">
      <c r="H6081" s="1358"/>
      <c r="I6081" s="1358"/>
    </row>
    <row r="6082" spans="8:9">
      <c r="H6082" s="1358"/>
      <c r="I6082" s="1358"/>
    </row>
    <row r="6083" spans="8:9">
      <c r="H6083" s="1358"/>
      <c r="I6083" s="1358"/>
    </row>
    <row r="6084" spans="8:9">
      <c r="H6084" s="1358"/>
      <c r="I6084" s="1358"/>
    </row>
    <row r="6085" spans="8:9">
      <c r="H6085" s="1358"/>
      <c r="I6085" s="1358"/>
    </row>
    <row r="6086" spans="8:9">
      <c r="H6086" s="1358"/>
      <c r="I6086" s="1358"/>
    </row>
    <row r="6087" spans="8:9">
      <c r="H6087" s="1358"/>
      <c r="I6087" s="1358"/>
    </row>
    <row r="6088" spans="8:9">
      <c r="H6088" s="1358"/>
      <c r="I6088" s="1358"/>
    </row>
    <row r="6089" spans="8:9">
      <c r="H6089" s="1358"/>
      <c r="I6089" s="1358"/>
    </row>
    <row r="6090" spans="8:9">
      <c r="H6090" s="1358"/>
      <c r="I6090" s="1358"/>
    </row>
    <row r="6091" spans="8:9">
      <c r="H6091" s="1358"/>
      <c r="I6091" s="1358"/>
    </row>
    <row r="6092" spans="8:9">
      <c r="H6092" s="1358"/>
      <c r="I6092" s="1358"/>
    </row>
    <row r="6093" spans="8:9">
      <c r="H6093" s="1358"/>
      <c r="I6093" s="1358"/>
    </row>
    <row r="6094" spans="8:9">
      <c r="H6094" s="1358"/>
      <c r="I6094" s="1358"/>
    </row>
    <row r="6095" spans="8:9">
      <c r="H6095" s="1358"/>
      <c r="I6095" s="1358"/>
    </row>
    <row r="6096" spans="8:9">
      <c r="H6096" s="1358"/>
      <c r="I6096" s="1358"/>
    </row>
    <row r="6097" spans="8:9">
      <c r="H6097" s="1358"/>
      <c r="I6097" s="1358"/>
    </row>
    <row r="6098" spans="8:9">
      <c r="H6098" s="1358"/>
      <c r="I6098" s="1358"/>
    </row>
    <row r="6099" spans="8:9">
      <c r="H6099" s="1358"/>
      <c r="I6099" s="1358"/>
    </row>
    <row r="6100" spans="8:9">
      <c r="H6100" s="1358"/>
      <c r="I6100" s="1358"/>
    </row>
    <row r="6101" spans="8:9">
      <c r="H6101" s="1358"/>
      <c r="I6101" s="1358"/>
    </row>
    <row r="6102" spans="8:9">
      <c r="H6102" s="1358"/>
      <c r="I6102" s="1358"/>
    </row>
    <row r="6103" spans="8:9">
      <c r="H6103" s="1358"/>
      <c r="I6103" s="1358"/>
    </row>
    <row r="6104" spans="8:9">
      <c r="H6104" s="1358"/>
      <c r="I6104" s="1358"/>
    </row>
    <row r="6105" spans="8:9">
      <c r="H6105" s="1358"/>
      <c r="I6105" s="1358"/>
    </row>
    <row r="6106" spans="8:9">
      <c r="H6106" s="1358"/>
      <c r="I6106" s="1358"/>
    </row>
    <row r="6107" spans="8:9">
      <c r="H6107" s="1358"/>
      <c r="I6107" s="1358"/>
    </row>
    <row r="6108" spans="8:9">
      <c r="H6108" s="1358"/>
      <c r="I6108" s="1358"/>
    </row>
    <row r="6109" spans="8:9">
      <c r="H6109" s="1358"/>
      <c r="I6109" s="1358"/>
    </row>
    <row r="6110" spans="8:9">
      <c r="H6110" s="1358"/>
      <c r="I6110" s="1358"/>
    </row>
    <row r="6111" spans="8:9">
      <c r="H6111" s="1358"/>
      <c r="I6111" s="1358"/>
    </row>
    <row r="6112" spans="8:9">
      <c r="H6112" s="1358"/>
      <c r="I6112" s="1358"/>
    </row>
    <row r="6113" spans="8:9">
      <c r="H6113" s="1358"/>
      <c r="I6113" s="1358"/>
    </row>
    <row r="6114" spans="8:9">
      <c r="H6114" s="1358"/>
      <c r="I6114" s="1358"/>
    </row>
    <row r="6115" spans="8:9">
      <c r="H6115" s="1358"/>
      <c r="I6115" s="1358"/>
    </row>
    <row r="6116" spans="8:9">
      <c r="H6116" s="1358"/>
      <c r="I6116" s="1358"/>
    </row>
    <row r="6117" spans="8:9">
      <c r="H6117" s="1358"/>
      <c r="I6117" s="1358"/>
    </row>
    <row r="6118" spans="8:9">
      <c r="H6118" s="1358"/>
      <c r="I6118" s="1358"/>
    </row>
    <row r="6119" spans="8:9">
      <c r="H6119" s="1358"/>
      <c r="I6119" s="1358"/>
    </row>
    <row r="6120" spans="8:9">
      <c r="H6120" s="1358"/>
      <c r="I6120" s="1358"/>
    </row>
    <row r="6121" spans="8:9">
      <c r="H6121" s="1358"/>
      <c r="I6121" s="1358"/>
    </row>
    <row r="6122" spans="8:9">
      <c r="H6122" s="1358"/>
      <c r="I6122" s="1358"/>
    </row>
    <row r="6123" spans="8:9">
      <c r="H6123" s="1358"/>
      <c r="I6123" s="1358"/>
    </row>
    <row r="6124" spans="8:9">
      <c r="H6124" s="1358"/>
      <c r="I6124" s="1358"/>
    </row>
    <row r="6125" spans="8:9">
      <c r="H6125" s="1358"/>
      <c r="I6125" s="1358"/>
    </row>
    <row r="6126" spans="8:9">
      <c r="H6126" s="1358"/>
      <c r="I6126" s="1358"/>
    </row>
    <row r="6127" spans="8:9">
      <c r="H6127" s="1358"/>
      <c r="I6127" s="1358"/>
    </row>
    <row r="6128" spans="8:9">
      <c r="H6128" s="1358"/>
      <c r="I6128" s="1358"/>
    </row>
    <row r="6129" spans="8:9">
      <c r="H6129" s="1358"/>
      <c r="I6129" s="1358"/>
    </row>
    <row r="6130" spans="8:9">
      <c r="H6130" s="1358"/>
      <c r="I6130" s="1358"/>
    </row>
    <row r="6131" spans="8:9">
      <c r="H6131" s="1358"/>
      <c r="I6131" s="1358"/>
    </row>
    <row r="6132" spans="8:9">
      <c r="H6132" s="1358"/>
      <c r="I6132" s="1358"/>
    </row>
    <row r="6133" spans="8:9">
      <c r="H6133" s="1358"/>
      <c r="I6133" s="1358"/>
    </row>
    <row r="6134" spans="8:9">
      <c r="H6134" s="1358"/>
      <c r="I6134" s="1358"/>
    </row>
    <row r="6135" spans="8:9">
      <c r="H6135" s="1358"/>
      <c r="I6135" s="1358"/>
    </row>
    <row r="6136" spans="8:9">
      <c r="H6136" s="1358"/>
      <c r="I6136" s="1358"/>
    </row>
    <row r="6137" spans="8:9">
      <c r="H6137" s="1358"/>
      <c r="I6137" s="1358"/>
    </row>
    <row r="6138" spans="8:9">
      <c r="H6138" s="1358"/>
      <c r="I6138" s="1358"/>
    </row>
    <row r="6139" spans="8:9">
      <c r="H6139" s="1358"/>
      <c r="I6139" s="1358"/>
    </row>
    <row r="6140" spans="8:9">
      <c r="H6140" s="1358"/>
      <c r="I6140" s="1358"/>
    </row>
    <row r="6141" spans="8:9">
      <c r="H6141" s="1358"/>
      <c r="I6141" s="1358"/>
    </row>
    <row r="6142" spans="8:9">
      <c r="H6142" s="1358"/>
      <c r="I6142" s="1358"/>
    </row>
    <row r="6143" spans="8:9">
      <c r="H6143" s="1358"/>
      <c r="I6143" s="1358"/>
    </row>
    <row r="6144" spans="8:9">
      <c r="H6144" s="1358"/>
      <c r="I6144" s="1358"/>
    </row>
    <row r="6145" spans="8:9">
      <c r="H6145" s="1358"/>
      <c r="I6145" s="1358"/>
    </row>
    <row r="6146" spans="8:9">
      <c r="H6146" s="1358"/>
      <c r="I6146" s="1358"/>
    </row>
    <row r="6147" spans="8:9">
      <c r="H6147" s="1358"/>
      <c r="I6147" s="1358"/>
    </row>
    <row r="6148" spans="8:9">
      <c r="H6148" s="1358"/>
      <c r="I6148" s="1358"/>
    </row>
    <row r="6149" spans="8:9">
      <c r="H6149" s="1358"/>
      <c r="I6149" s="1358"/>
    </row>
    <row r="6150" spans="8:9">
      <c r="H6150" s="1358"/>
      <c r="I6150" s="1358"/>
    </row>
    <row r="6151" spans="8:9">
      <c r="H6151" s="1358"/>
      <c r="I6151" s="1358"/>
    </row>
    <row r="6152" spans="8:9">
      <c r="H6152" s="1358"/>
      <c r="I6152" s="1358"/>
    </row>
    <row r="6153" spans="8:9">
      <c r="H6153" s="1358"/>
      <c r="I6153" s="1358"/>
    </row>
    <row r="6154" spans="8:9">
      <c r="H6154" s="1358"/>
      <c r="I6154" s="1358"/>
    </row>
    <row r="6155" spans="8:9">
      <c r="H6155" s="1358"/>
      <c r="I6155" s="1358"/>
    </row>
    <row r="6156" spans="8:9">
      <c r="H6156" s="1358"/>
      <c r="I6156" s="1358"/>
    </row>
    <row r="6157" spans="8:9">
      <c r="H6157" s="1358"/>
      <c r="I6157" s="1358"/>
    </row>
    <row r="6158" spans="8:9">
      <c r="H6158" s="1358"/>
      <c r="I6158" s="1358"/>
    </row>
    <row r="6159" spans="8:9">
      <c r="H6159" s="1358"/>
      <c r="I6159" s="1358"/>
    </row>
    <row r="6160" spans="8:9">
      <c r="H6160" s="1358"/>
      <c r="I6160" s="1358"/>
    </row>
    <row r="6161" spans="8:9">
      <c r="H6161" s="1358"/>
      <c r="I6161" s="1358"/>
    </row>
    <row r="6162" spans="8:9">
      <c r="H6162" s="1358"/>
      <c r="I6162" s="1358"/>
    </row>
    <row r="6163" spans="8:9">
      <c r="H6163" s="1358"/>
      <c r="I6163" s="1358"/>
    </row>
    <row r="6164" spans="8:9">
      <c r="H6164" s="1358"/>
      <c r="I6164" s="1358"/>
    </row>
    <row r="6165" spans="8:9">
      <c r="H6165" s="1358"/>
      <c r="I6165" s="1358"/>
    </row>
    <row r="6166" spans="8:9">
      <c r="H6166" s="1358"/>
      <c r="I6166" s="1358"/>
    </row>
    <row r="6167" spans="8:9">
      <c r="H6167" s="1358"/>
      <c r="I6167" s="1358"/>
    </row>
    <row r="6168" spans="8:9">
      <c r="H6168" s="1358"/>
      <c r="I6168" s="1358"/>
    </row>
    <row r="6169" spans="8:9">
      <c r="H6169" s="1358"/>
      <c r="I6169" s="1358"/>
    </row>
    <row r="6170" spans="8:9">
      <c r="H6170" s="1358"/>
      <c r="I6170" s="1358"/>
    </row>
    <row r="6171" spans="8:9">
      <c r="H6171" s="1358"/>
      <c r="I6171" s="1358"/>
    </row>
    <row r="6172" spans="8:9">
      <c r="H6172" s="1358"/>
      <c r="I6172" s="1358"/>
    </row>
    <row r="6173" spans="8:9">
      <c r="H6173" s="1358"/>
      <c r="I6173" s="1358"/>
    </row>
    <row r="6174" spans="8:9">
      <c r="H6174" s="1358"/>
      <c r="I6174" s="1358"/>
    </row>
    <row r="6175" spans="8:9">
      <c r="H6175" s="1358"/>
      <c r="I6175" s="1358"/>
    </row>
    <row r="6176" spans="8:9">
      <c r="H6176" s="1358"/>
      <c r="I6176" s="1358"/>
    </row>
    <row r="6177" spans="8:9">
      <c r="H6177" s="1358"/>
      <c r="I6177" s="1358"/>
    </row>
    <row r="6178" spans="8:9">
      <c r="H6178" s="1358"/>
      <c r="I6178" s="1358"/>
    </row>
    <row r="6179" spans="8:9">
      <c r="H6179" s="1358"/>
      <c r="I6179" s="1358"/>
    </row>
    <row r="6180" spans="8:9">
      <c r="H6180" s="1358"/>
      <c r="I6180" s="1358"/>
    </row>
    <row r="6181" spans="8:9">
      <c r="H6181" s="1358"/>
      <c r="I6181" s="1358"/>
    </row>
    <row r="6182" spans="8:9">
      <c r="H6182" s="1358"/>
      <c r="I6182" s="1358"/>
    </row>
    <row r="6183" spans="8:9">
      <c r="H6183" s="1358"/>
      <c r="I6183" s="1358"/>
    </row>
    <row r="6184" spans="8:9">
      <c r="H6184" s="1358"/>
      <c r="I6184" s="1358"/>
    </row>
    <row r="6185" spans="8:9">
      <c r="H6185" s="1358"/>
      <c r="I6185" s="1358"/>
    </row>
    <row r="6186" spans="8:9">
      <c r="H6186" s="1358"/>
      <c r="I6186" s="1358"/>
    </row>
    <row r="6187" spans="8:9">
      <c r="H6187" s="1358"/>
      <c r="I6187" s="1358"/>
    </row>
    <row r="6188" spans="8:9">
      <c r="H6188" s="1358"/>
      <c r="I6188" s="1358"/>
    </row>
    <row r="6189" spans="8:9">
      <c r="H6189" s="1358"/>
      <c r="I6189" s="1358"/>
    </row>
    <row r="6190" spans="8:9">
      <c r="H6190" s="1358"/>
      <c r="I6190" s="1358"/>
    </row>
    <row r="6191" spans="8:9">
      <c r="H6191" s="1358"/>
      <c r="I6191" s="1358"/>
    </row>
    <row r="6192" spans="8:9">
      <c r="H6192" s="1358"/>
      <c r="I6192" s="1358"/>
    </row>
    <row r="6193" spans="8:9">
      <c r="H6193" s="1358"/>
      <c r="I6193" s="1358"/>
    </row>
    <row r="6194" spans="8:9">
      <c r="H6194" s="1358"/>
      <c r="I6194" s="1358"/>
    </row>
    <row r="6195" spans="8:9">
      <c r="H6195" s="1358"/>
      <c r="I6195" s="1358"/>
    </row>
    <row r="6196" spans="8:9">
      <c r="H6196" s="1358"/>
      <c r="I6196" s="1358"/>
    </row>
    <row r="6197" spans="8:9">
      <c r="H6197" s="1358"/>
      <c r="I6197" s="1358"/>
    </row>
    <row r="6198" spans="8:9">
      <c r="H6198" s="1358"/>
      <c r="I6198" s="1358"/>
    </row>
    <row r="6199" spans="8:9">
      <c r="H6199" s="1358"/>
      <c r="I6199" s="1358"/>
    </row>
    <row r="6200" spans="8:9">
      <c r="H6200" s="1358"/>
      <c r="I6200" s="1358"/>
    </row>
    <row r="6201" spans="8:9">
      <c r="H6201" s="1358"/>
      <c r="I6201" s="1358"/>
    </row>
    <row r="6202" spans="8:9">
      <c r="H6202" s="1358"/>
      <c r="I6202" s="1358"/>
    </row>
    <row r="6203" spans="8:9">
      <c r="H6203" s="1358"/>
      <c r="I6203" s="1358"/>
    </row>
    <row r="6204" spans="8:9">
      <c r="H6204" s="1358"/>
      <c r="I6204" s="1358"/>
    </row>
    <row r="6205" spans="8:9">
      <c r="H6205" s="1358"/>
      <c r="I6205" s="1358"/>
    </row>
    <row r="6206" spans="8:9">
      <c r="H6206" s="1358"/>
      <c r="I6206" s="1358"/>
    </row>
    <row r="6207" spans="8:9">
      <c r="H6207" s="1358"/>
      <c r="I6207" s="1358"/>
    </row>
    <row r="6208" spans="8:9">
      <c r="H6208" s="1358"/>
      <c r="I6208" s="1358"/>
    </row>
    <row r="6209" spans="8:9">
      <c r="H6209" s="1358"/>
      <c r="I6209" s="1358"/>
    </row>
    <row r="6210" spans="8:9">
      <c r="H6210" s="1358"/>
      <c r="I6210" s="1358"/>
    </row>
    <row r="6211" spans="8:9">
      <c r="H6211" s="1358"/>
      <c r="I6211" s="1358"/>
    </row>
    <row r="6212" spans="8:9">
      <c r="H6212" s="1358"/>
      <c r="I6212" s="1358"/>
    </row>
    <row r="6213" spans="8:9">
      <c r="H6213" s="1358"/>
      <c r="I6213" s="1358"/>
    </row>
    <row r="6214" spans="8:9">
      <c r="H6214" s="1358"/>
      <c r="I6214" s="1358"/>
    </row>
    <row r="6215" spans="8:9">
      <c r="H6215" s="1358"/>
      <c r="I6215" s="1358"/>
    </row>
    <row r="6216" spans="8:9">
      <c r="H6216" s="1358"/>
      <c r="I6216" s="1358"/>
    </row>
    <row r="6217" spans="8:9">
      <c r="H6217" s="1358"/>
      <c r="I6217" s="1358"/>
    </row>
    <row r="6218" spans="8:9">
      <c r="H6218" s="1358"/>
      <c r="I6218" s="1358"/>
    </row>
    <row r="6219" spans="8:9">
      <c r="H6219" s="1358"/>
      <c r="I6219" s="1358"/>
    </row>
    <row r="6220" spans="8:9">
      <c r="H6220" s="1358"/>
      <c r="I6220" s="1358"/>
    </row>
    <row r="6221" spans="8:9">
      <c r="H6221" s="1358"/>
      <c r="I6221" s="1358"/>
    </row>
    <row r="6222" spans="8:9">
      <c r="H6222" s="1358"/>
      <c r="I6222" s="1358"/>
    </row>
    <row r="6223" spans="8:9">
      <c r="H6223" s="1358"/>
      <c r="I6223" s="1358"/>
    </row>
    <row r="6224" spans="8:9">
      <c r="H6224" s="1358"/>
      <c r="I6224" s="1358"/>
    </row>
    <row r="6225" spans="8:9">
      <c r="H6225" s="1358"/>
      <c r="I6225" s="1358"/>
    </row>
    <row r="6226" spans="8:9">
      <c r="H6226" s="1358"/>
      <c r="I6226" s="1358"/>
    </row>
    <row r="6227" spans="8:9">
      <c r="H6227" s="1358"/>
      <c r="I6227" s="1358"/>
    </row>
    <row r="6228" spans="8:9">
      <c r="H6228" s="1358"/>
      <c r="I6228" s="1358"/>
    </row>
    <row r="6229" spans="8:9">
      <c r="H6229" s="1358"/>
      <c r="I6229" s="1358"/>
    </row>
    <row r="6230" spans="8:9">
      <c r="H6230" s="1358"/>
      <c r="I6230" s="1358"/>
    </row>
    <row r="6231" spans="8:9">
      <c r="H6231" s="1358"/>
      <c r="I6231" s="1358"/>
    </row>
    <row r="6232" spans="8:9">
      <c r="H6232" s="1358"/>
      <c r="I6232" s="1358"/>
    </row>
    <row r="6233" spans="8:9">
      <c r="H6233" s="1358"/>
      <c r="I6233" s="1358"/>
    </row>
    <row r="6234" spans="8:9">
      <c r="H6234" s="1358"/>
      <c r="I6234" s="1358"/>
    </row>
    <row r="6235" spans="8:9">
      <c r="H6235" s="1358"/>
      <c r="I6235" s="1358"/>
    </row>
    <row r="6236" spans="8:9">
      <c r="H6236" s="1358"/>
      <c r="I6236" s="1358"/>
    </row>
    <row r="6237" spans="8:9">
      <c r="H6237" s="1358"/>
      <c r="I6237" s="1358"/>
    </row>
    <row r="6238" spans="8:9">
      <c r="H6238" s="1358"/>
      <c r="I6238" s="1358"/>
    </row>
    <row r="6239" spans="8:9">
      <c r="H6239" s="1358"/>
      <c r="I6239" s="1358"/>
    </row>
    <row r="6240" spans="8:9">
      <c r="H6240" s="1358"/>
      <c r="I6240" s="1358"/>
    </row>
    <row r="6241" spans="8:9">
      <c r="H6241" s="1358"/>
      <c r="I6241" s="1358"/>
    </row>
    <row r="6242" spans="8:9">
      <c r="H6242" s="1358"/>
      <c r="I6242" s="1358"/>
    </row>
    <row r="6243" spans="8:9">
      <c r="H6243" s="1358"/>
      <c r="I6243" s="1358"/>
    </row>
    <row r="6244" spans="8:9">
      <c r="H6244" s="1358"/>
      <c r="I6244" s="1358"/>
    </row>
    <row r="6245" spans="8:9">
      <c r="H6245" s="1358"/>
      <c r="I6245" s="1358"/>
    </row>
    <row r="6246" spans="8:9">
      <c r="H6246" s="1358"/>
      <c r="I6246" s="1358"/>
    </row>
    <row r="6247" spans="8:9">
      <c r="H6247" s="1358"/>
      <c r="I6247" s="1358"/>
    </row>
    <row r="6248" spans="8:9">
      <c r="H6248" s="1358"/>
      <c r="I6248" s="1358"/>
    </row>
    <row r="6249" spans="8:9">
      <c r="H6249" s="1358"/>
      <c r="I6249" s="1358"/>
    </row>
    <row r="6250" spans="8:9">
      <c r="H6250" s="1358"/>
      <c r="I6250" s="1358"/>
    </row>
    <row r="6251" spans="8:9">
      <c r="H6251" s="1358"/>
      <c r="I6251" s="1358"/>
    </row>
    <row r="6252" spans="8:9">
      <c r="H6252" s="1358"/>
      <c r="I6252" s="1358"/>
    </row>
    <row r="6253" spans="8:9">
      <c r="H6253" s="1358"/>
      <c r="I6253" s="1358"/>
    </row>
    <row r="6254" spans="8:9">
      <c r="H6254" s="1358"/>
      <c r="I6254" s="1358"/>
    </row>
    <row r="6255" spans="8:9">
      <c r="H6255" s="1358"/>
      <c r="I6255" s="1358"/>
    </row>
    <row r="6256" spans="8:9">
      <c r="H6256" s="1358"/>
      <c r="I6256" s="1358"/>
    </row>
    <row r="6257" spans="8:9">
      <c r="H6257" s="1358"/>
      <c r="I6257" s="1358"/>
    </row>
    <row r="6258" spans="8:9">
      <c r="H6258" s="1358"/>
      <c r="I6258" s="1358"/>
    </row>
    <row r="6259" spans="8:9">
      <c r="H6259" s="1358"/>
      <c r="I6259" s="1358"/>
    </row>
    <row r="6260" spans="8:9">
      <c r="H6260" s="1358"/>
      <c r="I6260" s="1358"/>
    </row>
    <row r="6261" spans="8:9">
      <c r="H6261" s="1358"/>
      <c r="I6261" s="1358"/>
    </row>
    <row r="6262" spans="8:9">
      <c r="H6262" s="1358"/>
      <c r="I6262" s="1358"/>
    </row>
    <row r="6263" spans="8:9">
      <c r="H6263" s="1358"/>
      <c r="I6263" s="1358"/>
    </row>
    <row r="6264" spans="8:9">
      <c r="H6264" s="1358"/>
      <c r="I6264" s="1358"/>
    </row>
    <row r="6265" spans="8:9">
      <c r="H6265" s="1358"/>
      <c r="I6265" s="1358"/>
    </row>
    <row r="6266" spans="8:9">
      <c r="H6266" s="1358"/>
      <c r="I6266" s="1358"/>
    </row>
    <row r="6267" spans="8:9">
      <c r="H6267" s="1358"/>
      <c r="I6267" s="1358"/>
    </row>
    <row r="6268" spans="8:9">
      <c r="H6268" s="1358"/>
      <c r="I6268" s="1358"/>
    </row>
    <row r="6269" spans="8:9">
      <c r="H6269" s="1358"/>
      <c r="I6269" s="1358"/>
    </row>
    <row r="6270" spans="8:9">
      <c r="H6270" s="1358"/>
      <c r="I6270" s="1358"/>
    </row>
    <row r="6271" spans="8:9">
      <c r="H6271" s="1358"/>
      <c r="I6271" s="1358"/>
    </row>
    <row r="6272" spans="8:9">
      <c r="H6272" s="1358"/>
      <c r="I6272" s="1358"/>
    </row>
    <row r="6273" spans="8:9">
      <c r="H6273" s="1358"/>
      <c r="I6273" s="1358"/>
    </row>
    <row r="6274" spans="8:9">
      <c r="H6274" s="1358"/>
      <c r="I6274" s="1358"/>
    </row>
    <row r="6275" spans="8:9">
      <c r="H6275" s="1358"/>
      <c r="I6275" s="1358"/>
    </row>
    <row r="6276" spans="8:9">
      <c r="H6276" s="1358"/>
      <c r="I6276" s="1358"/>
    </row>
    <row r="6277" spans="8:9">
      <c r="H6277" s="1358"/>
      <c r="I6277" s="1358"/>
    </row>
    <row r="6278" spans="8:9">
      <c r="H6278" s="1358"/>
      <c r="I6278" s="1358"/>
    </row>
    <row r="6279" spans="8:9">
      <c r="H6279" s="1358"/>
      <c r="I6279" s="1358"/>
    </row>
    <row r="6280" spans="8:9">
      <c r="H6280" s="1358"/>
      <c r="I6280" s="1358"/>
    </row>
    <row r="6281" spans="8:9">
      <c r="H6281" s="1358"/>
      <c r="I6281" s="1358"/>
    </row>
    <row r="6282" spans="8:9">
      <c r="H6282" s="1358"/>
      <c r="I6282" s="1358"/>
    </row>
    <row r="6283" spans="8:9">
      <c r="H6283" s="1358"/>
      <c r="I6283" s="1358"/>
    </row>
    <row r="6284" spans="8:9">
      <c r="H6284" s="1358"/>
      <c r="I6284" s="1358"/>
    </row>
    <row r="6285" spans="8:9">
      <c r="H6285" s="1358"/>
      <c r="I6285" s="1358"/>
    </row>
    <row r="6286" spans="8:9">
      <c r="H6286" s="1358"/>
      <c r="I6286" s="1358"/>
    </row>
    <row r="6287" spans="8:9">
      <c r="H6287" s="1358"/>
      <c r="I6287" s="1358"/>
    </row>
    <row r="6288" spans="8:9">
      <c r="H6288" s="1358"/>
      <c r="I6288" s="1358"/>
    </row>
    <row r="6289" spans="8:9">
      <c r="H6289" s="1358"/>
      <c r="I6289" s="1358"/>
    </row>
    <row r="6290" spans="8:9">
      <c r="H6290" s="1358"/>
      <c r="I6290" s="1358"/>
    </row>
    <row r="6291" spans="8:9">
      <c r="H6291" s="1358"/>
      <c r="I6291" s="1358"/>
    </row>
    <row r="6292" spans="8:9">
      <c r="H6292" s="1358"/>
      <c r="I6292" s="1358"/>
    </row>
    <row r="6293" spans="8:9">
      <c r="H6293" s="1358"/>
      <c r="I6293" s="1358"/>
    </row>
    <row r="6294" spans="8:9">
      <c r="H6294" s="1358"/>
      <c r="I6294" s="1358"/>
    </row>
    <row r="6295" spans="8:9">
      <c r="H6295" s="1358"/>
      <c r="I6295" s="1358"/>
    </row>
    <row r="6296" spans="8:9">
      <c r="H6296" s="1358"/>
      <c r="I6296" s="1358"/>
    </row>
    <row r="6297" spans="8:9">
      <c r="H6297" s="1358"/>
      <c r="I6297" s="1358"/>
    </row>
    <row r="6298" spans="8:9">
      <c r="H6298" s="1358"/>
      <c r="I6298" s="1358"/>
    </row>
    <row r="6299" spans="8:9">
      <c r="H6299" s="1358"/>
      <c r="I6299" s="1358"/>
    </row>
    <row r="6300" spans="8:9">
      <c r="H6300" s="1358"/>
      <c r="I6300" s="1358"/>
    </row>
    <row r="6301" spans="8:9">
      <c r="H6301" s="1358"/>
      <c r="I6301" s="1358"/>
    </row>
    <row r="6302" spans="8:9">
      <c r="H6302" s="1358"/>
      <c r="I6302" s="1358"/>
    </row>
    <row r="6303" spans="8:9">
      <c r="H6303" s="1358"/>
      <c r="I6303" s="1358"/>
    </row>
    <row r="6304" spans="8:9">
      <c r="H6304" s="1358"/>
      <c r="I6304" s="1358"/>
    </row>
    <row r="6305" spans="8:9">
      <c r="H6305" s="1358"/>
      <c r="I6305" s="1358"/>
    </row>
    <row r="6306" spans="8:9">
      <c r="H6306" s="1358"/>
      <c r="I6306" s="1358"/>
    </row>
    <row r="6307" spans="8:9">
      <c r="H6307" s="1358"/>
      <c r="I6307" s="1358"/>
    </row>
    <row r="6308" spans="8:9">
      <c r="H6308" s="1358"/>
      <c r="I6308" s="1358"/>
    </row>
    <row r="6309" spans="8:9">
      <c r="H6309" s="1358"/>
      <c r="I6309" s="1358"/>
    </row>
    <row r="6310" spans="8:9">
      <c r="H6310" s="1358"/>
      <c r="I6310" s="1358"/>
    </row>
    <row r="6311" spans="8:9">
      <c r="H6311" s="1358"/>
      <c r="I6311" s="1358"/>
    </row>
    <row r="6312" spans="8:9">
      <c r="H6312" s="1358"/>
      <c r="I6312" s="1358"/>
    </row>
    <row r="6313" spans="8:9">
      <c r="H6313" s="1358"/>
      <c r="I6313" s="1358"/>
    </row>
    <row r="6314" spans="8:9">
      <c r="H6314" s="1358"/>
      <c r="I6314" s="1358"/>
    </row>
    <row r="6315" spans="8:9">
      <c r="H6315" s="1358"/>
      <c r="I6315" s="1358"/>
    </row>
    <row r="6316" spans="8:9">
      <c r="H6316" s="1358"/>
      <c r="I6316" s="1358"/>
    </row>
    <row r="6317" spans="8:9">
      <c r="H6317" s="1358"/>
      <c r="I6317" s="1358"/>
    </row>
    <row r="6318" spans="8:9">
      <c r="H6318" s="1358"/>
      <c r="I6318" s="1358"/>
    </row>
    <row r="6319" spans="8:9">
      <c r="H6319" s="1358"/>
      <c r="I6319" s="1358"/>
    </row>
    <row r="6320" spans="8:9">
      <c r="H6320" s="1358"/>
      <c r="I6320" s="1358"/>
    </row>
    <row r="6321" spans="8:9">
      <c r="H6321" s="1358"/>
      <c r="I6321" s="1358"/>
    </row>
    <row r="6322" spans="8:9">
      <c r="H6322" s="1358"/>
      <c r="I6322" s="1358"/>
    </row>
    <row r="6323" spans="8:9">
      <c r="H6323" s="1358"/>
      <c r="I6323" s="1358"/>
    </row>
    <row r="6324" spans="8:9">
      <c r="H6324" s="1358"/>
      <c r="I6324" s="1358"/>
    </row>
    <row r="6325" spans="8:9">
      <c r="H6325" s="1358"/>
      <c r="I6325" s="1358"/>
    </row>
    <row r="6326" spans="8:9">
      <c r="H6326" s="1358"/>
      <c r="I6326" s="1358"/>
    </row>
    <row r="6327" spans="8:9">
      <c r="H6327" s="1358"/>
      <c r="I6327" s="1358"/>
    </row>
    <row r="6328" spans="8:9">
      <c r="H6328" s="1358"/>
      <c r="I6328" s="1358"/>
    </row>
    <row r="6329" spans="8:9">
      <c r="H6329" s="1358"/>
      <c r="I6329" s="1358"/>
    </row>
    <row r="6330" spans="8:9">
      <c r="H6330" s="1358"/>
      <c r="I6330" s="1358"/>
    </row>
    <row r="6331" spans="8:9">
      <c r="H6331" s="1358"/>
      <c r="I6331" s="1358"/>
    </row>
    <row r="6332" spans="8:9">
      <c r="H6332" s="1358"/>
      <c r="I6332" s="1358"/>
    </row>
    <row r="6333" spans="8:9">
      <c r="H6333" s="1358"/>
      <c r="I6333" s="1358"/>
    </row>
    <row r="6334" spans="8:9">
      <c r="H6334" s="1358"/>
      <c r="I6334" s="1358"/>
    </row>
    <row r="6335" spans="8:9">
      <c r="H6335" s="1358"/>
      <c r="I6335" s="1358"/>
    </row>
    <row r="6336" spans="8:9">
      <c r="H6336" s="1358"/>
      <c r="I6336" s="1358"/>
    </row>
    <row r="6337" spans="8:9">
      <c r="H6337" s="1358"/>
      <c r="I6337" s="1358"/>
    </row>
    <row r="6338" spans="8:9">
      <c r="H6338" s="1358"/>
      <c r="I6338" s="1358"/>
    </row>
    <row r="6339" spans="8:9">
      <c r="H6339" s="1358"/>
      <c r="I6339" s="1358"/>
    </row>
    <row r="6340" spans="8:9">
      <c r="H6340" s="1358"/>
      <c r="I6340" s="1358"/>
    </row>
    <row r="6341" spans="8:9">
      <c r="H6341" s="1358"/>
      <c r="I6341" s="1358"/>
    </row>
    <row r="6342" spans="8:9">
      <c r="H6342" s="1358"/>
      <c r="I6342" s="1358"/>
    </row>
    <row r="6343" spans="8:9">
      <c r="H6343" s="1358"/>
      <c r="I6343" s="1358"/>
    </row>
    <row r="6344" spans="8:9">
      <c r="H6344" s="1358"/>
      <c r="I6344" s="1358"/>
    </row>
    <row r="6345" spans="8:9">
      <c r="H6345" s="1358"/>
      <c r="I6345" s="1358"/>
    </row>
    <row r="6346" spans="8:9">
      <c r="H6346" s="1358"/>
      <c r="I6346" s="1358"/>
    </row>
    <row r="6347" spans="8:9">
      <c r="H6347" s="1358"/>
      <c r="I6347" s="1358"/>
    </row>
    <row r="6348" spans="8:9">
      <c r="H6348" s="1358"/>
      <c r="I6348" s="1358"/>
    </row>
    <row r="6349" spans="8:9">
      <c r="H6349" s="1358"/>
      <c r="I6349" s="1358"/>
    </row>
    <row r="6350" spans="8:9">
      <c r="H6350" s="1358"/>
      <c r="I6350" s="1358"/>
    </row>
    <row r="6351" spans="8:9">
      <c r="H6351" s="1358"/>
      <c r="I6351" s="1358"/>
    </row>
    <row r="6352" spans="8:9">
      <c r="H6352" s="1358"/>
      <c r="I6352" s="1358"/>
    </row>
    <row r="6353" spans="8:9">
      <c r="H6353" s="1358"/>
      <c r="I6353" s="1358"/>
    </row>
    <row r="6354" spans="8:9">
      <c r="H6354" s="1358"/>
      <c r="I6354" s="1358"/>
    </row>
    <row r="6355" spans="8:9">
      <c r="H6355" s="1358"/>
      <c r="I6355" s="1358"/>
    </row>
    <row r="6356" spans="8:9">
      <c r="H6356" s="1358"/>
      <c r="I6356" s="1358"/>
    </row>
    <row r="6357" spans="8:9">
      <c r="H6357" s="1358"/>
      <c r="I6357" s="1358"/>
    </row>
    <row r="6358" spans="8:9">
      <c r="H6358" s="1358"/>
      <c r="I6358" s="1358"/>
    </row>
    <row r="6359" spans="8:9">
      <c r="H6359" s="1358"/>
      <c r="I6359" s="1358"/>
    </row>
    <row r="6360" spans="8:9">
      <c r="H6360" s="1358"/>
      <c r="I6360" s="1358"/>
    </row>
    <row r="6361" spans="8:9">
      <c r="H6361" s="1358"/>
      <c r="I6361" s="1358"/>
    </row>
    <row r="6362" spans="8:9">
      <c r="H6362" s="1358"/>
      <c r="I6362" s="1358"/>
    </row>
    <row r="6363" spans="8:9">
      <c r="H6363" s="1358"/>
      <c r="I6363" s="1358"/>
    </row>
    <row r="6364" spans="8:9">
      <c r="H6364" s="1358"/>
      <c r="I6364" s="1358"/>
    </row>
    <row r="6365" spans="8:9">
      <c r="H6365" s="1358"/>
      <c r="I6365" s="1358"/>
    </row>
    <row r="6366" spans="8:9">
      <c r="H6366" s="1358"/>
      <c r="I6366" s="1358"/>
    </row>
    <row r="6367" spans="8:9">
      <c r="H6367" s="1358"/>
      <c r="I6367" s="1358"/>
    </row>
    <row r="6368" spans="8:9">
      <c r="H6368" s="1358"/>
      <c r="I6368" s="1358"/>
    </row>
    <row r="6369" spans="8:9">
      <c r="H6369" s="1358"/>
      <c r="I6369" s="1358"/>
    </row>
    <row r="6370" spans="8:9">
      <c r="H6370" s="1358"/>
      <c r="I6370" s="1358"/>
    </row>
    <row r="6371" spans="8:9">
      <c r="H6371" s="1358"/>
      <c r="I6371" s="1358"/>
    </row>
    <row r="6372" spans="8:9">
      <c r="H6372" s="1358"/>
      <c r="I6372" s="1358"/>
    </row>
    <row r="6373" spans="8:9">
      <c r="H6373" s="1358"/>
      <c r="I6373" s="1358"/>
    </row>
    <row r="6374" spans="8:9">
      <c r="H6374" s="1358"/>
      <c r="I6374" s="1358"/>
    </row>
    <row r="6375" spans="8:9">
      <c r="H6375" s="1358"/>
      <c r="I6375" s="1358"/>
    </row>
    <row r="6376" spans="8:9">
      <c r="H6376" s="1358"/>
      <c r="I6376" s="1358"/>
    </row>
    <row r="6377" spans="8:9">
      <c r="H6377" s="1358"/>
      <c r="I6377" s="1358"/>
    </row>
    <row r="6378" spans="8:9">
      <c r="H6378" s="1358"/>
      <c r="I6378" s="1358"/>
    </row>
    <row r="6379" spans="8:9">
      <c r="H6379" s="1358"/>
      <c r="I6379" s="1358"/>
    </row>
    <row r="6380" spans="8:9">
      <c r="H6380" s="1358"/>
      <c r="I6380" s="1358"/>
    </row>
    <row r="6381" spans="8:9">
      <c r="H6381" s="1358"/>
      <c r="I6381" s="1358"/>
    </row>
    <row r="6382" spans="8:9">
      <c r="H6382" s="1358"/>
      <c r="I6382" s="1358"/>
    </row>
    <row r="6383" spans="8:9">
      <c r="H6383" s="1358"/>
      <c r="I6383" s="1358"/>
    </row>
    <row r="6384" spans="8:9">
      <c r="H6384" s="1358"/>
      <c r="I6384" s="1358"/>
    </row>
    <row r="6385" spans="8:9">
      <c r="H6385" s="1358"/>
      <c r="I6385" s="1358"/>
    </row>
    <row r="6386" spans="8:9">
      <c r="H6386" s="1358"/>
      <c r="I6386" s="1358"/>
    </row>
    <row r="6387" spans="8:9">
      <c r="H6387" s="1358"/>
      <c r="I6387" s="1358"/>
    </row>
    <row r="6388" spans="8:9">
      <c r="H6388" s="1358"/>
      <c r="I6388" s="1358"/>
    </row>
    <row r="6389" spans="8:9">
      <c r="H6389" s="1358"/>
      <c r="I6389" s="1358"/>
    </row>
    <row r="6390" spans="8:9">
      <c r="H6390" s="1358"/>
      <c r="I6390" s="1358"/>
    </row>
    <row r="6391" spans="8:9">
      <c r="H6391" s="1358"/>
      <c r="I6391" s="1358"/>
    </row>
    <row r="6392" spans="8:9">
      <c r="H6392" s="1358"/>
      <c r="I6392" s="1358"/>
    </row>
    <row r="6393" spans="8:9">
      <c r="H6393" s="1358"/>
      <c r="I6393" s="1358"/>
    </row>
    <row r="6394" spans="8:9">
      <c r="H6394" s="1358"/>
      <c r="I6394" s="1358"/>
    </row>
    <row r="6395" spans="8:9">
      <c r="H6395" s="1358"/>
      <c r="I6395" s="1358"/>
    </row>
    <row r="6396" spans="8:9">
      <c r="H6396" s="1358"/>
      <c r="I6396" s="1358"/>
    </row>
    <row r="6397" spans="8:9">
      <c r="H6397" s="1358"/>
      <c r="I6397" s="1358"/>
    </row>
    <row r="6398" spans="8:9">
      <c r="H6398" s="1358"/>
      <c r="I6398" s="1358"/>
    </row>
    <row r="6399" spans="8:9">
      <c r="H6399" s="1358"/>
      <c r="I6399" s="1358"/>
    </row>
    <row r="6400" spans="8:9">
      <c r="H6400" s="1358"/>
      <c r="I6400" s="1358"/>
    </row>
    <row r="6401" spans="8:9">
      <c r="H6401" s="1358"/>
      <c r="I6401" s="1358"/>
    </row>
    <row r="6402" spans="8:9">
      <c r="H6402" s="1358"/>
      <c r="I6402" s="1358"/>
    </row>
    <row r="6403" spans="8:9">
      <c r="H6403" s="1358"/>
      <c r="I6403" s="1358"/>
    </row>
    <row r="6404" spans="8:9">
      <c r="H6404" s="1358"/>
      <c r="I6404" s="1358"/>
    </row>
    <row r="6405" spans="8:9">
      <c r="H6405" s="1358"/>
      <c r="I6405" s="1358"/>
    </row>
    <row r="6406" spans="8:9">
      <c r="H6406" s="1358"/>
      <c r="I6406" s="1358"/>
    </row>
    <row r="6407" spans="8:9">
      <c r="H6407" s="1358"/>
      <c r="I6407" s="1358"/>
    </row>
    <row r="6408" spans="8:9">
      <c r="H6408" s="1358"/>
      <c r="I6408" s="1358"/>
    </row>
    <row r="6409" spans="8:9">
      <c r="H6409" s="1358"/>
      <c r="I6409" s="1358"/>
    </row>
    <row r="6410" spans="8:9">
      <c r="H6410" s="1358"/>
      <c r="I6410" s="1358"/>
    </row>
    <row r="6411" spans="8:9">
      <c r="H6411" s="1358"/>
      <c r="I6411" s="1358"/>
    </row>
    <row r="6412" spans="8:9">
      <c r="H6412" s="1358"/>
      <c r="I6412" s="1358"/>
    </row>
    <row r="6413" spans="8:9">
      <c r="H6413" s="1358"/>
      <c r="I6413" s="1358"/>
    </row>
    <row r="6414" spans="8:9">
      <c r="H6414" s="1358"/>
      <c r="I6414" s="1358"/>
    </row>
    <row r="6415" spans="8:9">
      <c r="H6415" s="1358"/>
      <c r="I6415" s="1358"/>
    </row>
    <row r="6416" spans="8:9">
      <c r="H6416" s="1358"/>
      <c r="I6416" s="1358"/>
    </row>
    <row r="6417" spans="8:9">
      <c r="H6417" s="1358"/>
      <c r="I6417" s="1358"/>
    </row>
    <row r="6418" spans="8:9">
      <c r="H6418" s="1358"/>
      <c r="I6418" s="1358"/>
    </row>
    <row r="6419" spans="8:9">
      <c r="H6419" s="1358"/>
      <c r="I6419" s="1358"/>
    </row>
    <row r="6420" spans="8:9">
      <c r="H6420" s="1358"/>
      <c r="I6420" s="1358"/>
    </row>
    <row r="6421" spans="8:9">
      <c r="H6421" s="1358"/>
      <c r="I6421" s="1358"/>
    </row>
    <row r="6422" spans="8:9">
      <c r="H6422" s="1358"/>
      <c r="I6422" s="1358"/>
    </row>
    <row r="6423" spans="8:9">
      <c r="H6423" s="1358"/>
      <c r="I6423" s="1358"/>
    </row>
    <row r="6424" spans="8:9">
      <c r="H6424" s="1358"/>
      <c r="I6424" s="1358"/>
    </row>
    <row r="6425" spans="8:9">
      <c r="H6425" s="1358"/>
      <c r="I6425" s="1358"/>
    </row>
    <row r="6426" spans="8:9">
      <c r="H6426" s="1358"/>
      <c r="I6426" s="1358"/>
    </row>
    <row r="6427" spans="8:9">
      <c r="H6427" s="1358"/>
      <c r="I6427" s="1358"/>
    </row>
    <row r="6428" spans="8:9">
      <c r="H6428" s="1358"/>
      <c r="I6428" s="1358"/>
    </row>
    <row r="6429" spans="8:9">
      <c r="H6429" s="1358"/>
      <c r="I6429" s="1358"/>
    </row>
    <row r="6430" spans="8:9">
      <c r="H6430" s="1358"/>
      <c r="I6430" s="1358"/>
    </row>
    <row r="6431" spans="8:9">
      <c r="H6431" s="1358"/>
      <c r="I6431" s="1358"/>
    </row>
    <row r="6432" spans="8:9">
      <c r="H6432" s="1358"/>
      <c r="I6432" s="1358"/>
    </row>
    <row r="6433" spans="8:9">
      <c r="H6433" s="1358"/>
      <c r="I6433" s="1358"/>
    </row>
    <row r="6434" spans="8:9">
      <c r="H6434" s="1358"/>
      <c r="I6434" s="1358"/>
    </row>
    <row r="6435" spans="8:9">
      <c r="H6435" s="1358"/>
      <c r="I6435" s="1358"/>
    </row>
    <row r="6436" spans="8:9">
      <c r="H6436" s="1358"/>
      <c r="I6436" s="1358"/>
    </row>
    <row r="6437" spans="8:9">
      <c r="H6437" s="1358"/>
      <c r="I6437" s="1358"/>
    </row>
    <row r="6438" spans="8:9">
      <c r="H6438" s="1358"/>
      <c r="I6438" s="1358"/>
    </row>
    <row r="6439" spans="8:9">
      <c r="H6439" s="1358"/>
      <c r="I6439" s="1358"/>
    </row>
    <row r="6440" spans="8:9">
      <c r="H6440" s="1358"/>
      <c r="I6440" s="1358"/>
    </row>
    <row r="6441" spans="8:9">
      <c r="H6441" s="1358"/>
      <c r="I6441" s="1358"/>
    </row>
    <row r="6442" spans="8:9">
      <c r="H6442" s="1358"/>
      <c r="I6442" s="1358"/>
    </row>
    <row r="6443" spans="8:9">
      <c r="H6443" s="1358"/>
      <c r="I6443" s="1358"/>
    </row>
    <row r="6444" spans="8:9">
      <c r="H6444" s="1358"/>
      <c r="I6444" s="1358"/>
    </row>
    <row r="6445" spans="8:9">
      <c r="H6445" s="1358"/>
      <c r="I6445" s="1358"/>
    </row>
    <row r="6446" spans="8:9">
      <c r="H6446" s="1358"/>
      <c r="I6446" s="1358"/>
    </row>
    <row r="6447" spans="8:9">
      <c r="H6447" s="1358"/>
      <c r="I6447" s="1358"/>
    </row>
    <row r="6448" spans="8:9">
      <c r="H6448" s="1358"/>
      <c r="I6448" s="1358"/>
    </row>
    <row r="6449" spans="8:9">
      <c r="H6449" s="1358"/>
      <c r="I6449" s="1358"/>
    </row>
    <row r="6450" spans="8:9">
      <c r="H6450" s="1358"/>
      <c r="I6450" s="1358"/>
    </row>
    <row r="6451" spans="8:9">
      <c r="H6451" s="1358"/>
      <c r="I6451" s="1358"/>
    </row>
    <row r="6452" spans="8:9">
      <c r="H6452" s="1358"/>
      <c r="I6452" s="1358"/>
    </row>
    <row r="6453" spans="8:9">
      <c r="H6453" s="1358"/>
      <c r="I6453" s="1358"/>
    </row>
    <row r="6454" spans="8:9">
      <c r="H6454" s="1358"/>
      <c r="I6454" s="1358"/>
    </row>
    <row r="6455" spans="8:9">
      <c r="H6455" s="1358"/>
      <c r="I6455" s="1358"/>
    </row>
    <row r="6456" spans="8:9">
      <c r="H6456" s="1358"/>
      <c r="I6456" s="1358"/>
    </row>
    <row r="6457" spans="8:9">
      <c r="H6457" s="1358"/>
      <c r="I6457" s="1358"/>
    </row>
    <row r="6458" spans="8:9">
      <c r="H6458" s="1358"/>
      <c r="I6458" s="1358"/>
    </row>
    <row r="6459" spans="8:9">
      <c r="H6459" s="1358"/>
      <c r="I6459" s="1358"/>
    </row>
    <row r="6460" spans="8:9">
      <c r="H6460" s="1358"/>
      <c r="I6460" s="1358"/>
    </row>
    <row r="6461" spans="8:9">
      <c r="H6461" s="1358"/>
      <c r="I6461" s="1358"/>
    </row>
    <row r="6462" spans="8:9">
      <c r="H6462" s="1358"/>
      <c r="I6462" s="1358"/>
    </row>
    <row r="6463" spans="8:9">
      <c r="H6463" s="1358"/>
      <c r="I6463" s="1358"/>
    </row>
    <row r="6464" spans="8:9">
      <c r="H6464" s="1358"/>
      <c r="I6464" s="1358"/>
    </row>
    <row r="6465" spans="8:9">
      <c r="H6465" s="1358"/>
      <c r="I6465" s="1358"/>
    </row>
    <row r="6466" spans="8:9">
      <c r="H6466" s="1358"/>
      <c r="I6466" s="1358"/>
    </row>
    <row r="6467" spans="8:9">
      <c r="H6467" s="1358"/>
      <c r="I6467" s="1358"/>
    </row>
    <row r="6468" spans="8:9">
      <c r="H6468" s="1358"/>
      <c r="I6468" s="1358"/>
    </row>
    <row r="6469" spans="8:9">
      <c r="H6469" s="1358"/>
      <c r="I6469" s="1358"/>
    </row>
    <row r="6470" spans="8:9">
      <c r="H6470" s="1358"/>
      <c r="I6470" s="1358"/>
    </row>
    <row r="6471" spans="8:9">
      <c r="H6471" s="1358"/>
      <c r="I6471" s="1358"/>
    </row>
    <row r="6472" spans="8:9">
      <c r="H6472" s="1358"/>
      <c r="I6472" s="1358"/>
    </row>
    <row r="6473" spans="8:9">
      <c r="H6473" s="1358"/>
      <c r="I6473" s="1358"/>
    </row>
    <row r="6474" spans="8:9">
      <c r="H6474" s="1358"/>
      <c r="I6474" s="1358"/>
    </row>
    <row r="6475" spans="8:9">
      <c r="H6475" s="1358"/>
      <c r="I6475" s="1358"/>
    </row>
    <row r="6476" spans="8:9">
      <c r="H6476" s="1358"/>
      <c r="I6476" s="1358"/>
    </row>
    <row r="6477" spans="8:9">
      <c r="H6477" s="1358"/>
      <c r="I6477" s="1358"/>
    </row>
    <row r="6478" spans="8:9">
      <c r="H6478" s="1358"/>
      <c r="I6478" s="1358"/>
    </row>
    <row r="6479" spans="8:9">
      <c r="H6479" s="1358"/>
      <c r="I6479" s="1358"/>
    </row>
    <row r="6480" spans="8:9">
      <c r="H6480" s="1358"/>
      <c r="I6480" s="1358"/>
    </row>
    <row r="6481" spans="8:9">
      <c r="H6481" s="1358"/>
      <c r="I6481" s="1358"/>
    </row>
    <row r="6482" spans="8:9">
      <c r="H6482" s="1358"/>
      <c r="I6482" s="1358"/>
    </row>
    <row r="6483" spans="8:9">
      <c r="H6483" s="1358"/>
      <c r="I6483" s="1358"/>
    </row>
    <row r="6484" spans="8:9">
      <c r="H6484" s="1358"/>
      <c r="I6484" s="1358"/>
    </row>
    <row r="6485" spans="8:9">
      <c r="H6485" s="1358"/>
      <c r="I6485" s="1358"/>
    </row>
    <row r="6486" spans="8:9">
      <c r="H6486" s="1358"/>
      <c r="I6486" s="1358"/>
    </row>
    <row r="6487" spans="8:9">
      <c r="H6487" s="1358"/>
      <c r="I6487" s="1358"/>
    </row>
    <row r="6488" spans="8:9">
      <c r="H6488" s="1358"/>
      <c r="I6488" s="1358"/>
    </row>
    <row r="6489" spans="8:9">
      <c r="H6489" s="1358"/>
      <c r="I6489" s="1358"/>
    </row>
    <row r="6490" spans="8:9">
      <c r="H6490" s="1358"/>
      <c r="I6490" s="1358"/>
    </row>
    <row r="6491" spans="8:9">
      <c r="H6491" s="1358"/>
      <c r="I6491" s="1358"/>
    </row>
    <row r="6492" spans="8:9">
      <c r="H6492" s="1358"/>
      <c r="I6492" s="1358"/>
    </row>
    <row r="6493" spans="8:9">
      <c r="H6493" s="1358"/>
      <c r="I6493" s="1358"/>
    </row>
    <row r="6494" spans="8:9">
      <c r="H6494" s="1358"/>
      <c r="I6494" s="1358"/>
    </row>
    <row r="6495" spans="8:9">
      <c r="H6495" s="1358"/>
      <c r="I6495" s="1358"/>
    </row>
    <row r="6496" spans="8:9">
      <c r="H6496" s="1358"/>
      <c r="I6496" s="1358"/>
    </row>
    <row r="6497" spans="8:9">
      <c r="H6497" s="1358"/>
      <c r="I6497" s="1358"/>
    </row>
    <row r="6498" spans="8:9">
      <c r="H6498" s="1358"/>
      <c r="I6498" s="1358"/>
    </row>
    <row r="6499" spans="8:9">
      <c r="H6499" s="1358"/>
      <c r="I6499" s="1358"/>
    </row>
    <row r="6500" spans="8:9">
      <c r="H6500" s="1358"/>
      <c r="I6500" s="1358"/>
    </row>
    <row r="6501" spans="8:9">
      <c r="H6501" s="1358"/>
      <c r="I6501" s="1358"/>
    </row>
    <row r="6502" spans="8:9">
      <c r="H6502" s="1358"/>
      <c r="I6502" s="1358"/>
    </row>
    <row r="6503" spans="8:9">
      <c r="H6503" s="1358"/>
      <c r="I6503" s="1358"/>
    </row>
    <row r="6504" spans="8:9">
      <c r="H6504" s="1358"/>
      <c r="I6504" s="1358"/>
    </row>
    <row r="6505" spans="8:9">
      <c r="H6505" s="1358"/>
      <c r="I6505" s="1358"/>
    </row>
    <row r="6506" spans="8:9">
      <c r="H6506" s="1358"/>
      <c r="I6506" s="1358"/>
    </row>
    <row r="6507" spans="8:9">
      <c r="H6507" s="1358"/>
      <c r="I6507" s="1358"/>
    </row>
    <row r="6508" spans="8:9">
      <c r="H6508" s="1358"/>
      <c r="I6508" s="1358"/>
    </row>
    <row r="6509" spans="8:9">
      <c r="H6509" s="1358"/>
      <c r="I6509" s="1358"/>
    </row>
    <row r="6510" spans="8:9">
      <c r="H6510" s="1358"/>
      <c r="I6510" s="1358"/>
    </row>
    <row r="6511" spans="8:9">
      <c r="H6511" s="1358"/>
      <c r="I6511" s="1358"/>
    </row>
    <row r="6512" spans="8:9">
      <c r="H6512" s="1358"/>
      <c r="I6512" s="1358"/>
    </row>
    <row r="6513" spans="8:9">
      <c r="H6513" s="1358"/>
      <c r="I6513" s="1358"/>
    </row>
    <row r="6514" spans="8:9">
      <c r="H6514" s="1358"/>
      <c r="I6514" s="1358"/>
    </row>
    <row r="6515" spans="8:9">
      <c r="H6515" s="1358"/>
      <c r="I6515" s="1358"/>
    </row>
    <row r="6516" spans="8:9">
      <c r="H6516" s="1358"/>
      <c r="I6516" s="1358"/>
    </row>
    <row r="6517" spans="8:9">
      <c r="H6517" s="1358"/>
      <c r="I6517" s="1358"/>
    </row>
    <row r="6518" spans="8:9">
      <c r="H6518" s="1358"/>
      <c r="I6518" s="1358"/>
    </row>
    <row r="6519" spans="8:9">
      <c r="H6519" s="1358"/>
      <c r="I6519" s="1358"/>
    </row>
    <row r="6520" spans="8:9">
      <c r="H6520" s="1358"/>
      <c r="I6520" s="1358"/>
    </row>
    <row r="6521" spans="8:9">
      <c r="H6521" s="1358"/>
      <c r="I6521" s="1358"/>
    </row>
    <row r="6522" spans="8:9">
      <c r="H6522" s="1358"/>
      <c r="I6522" s="1358"/>
    </row>
    <row r="6523" spans="8:9">
      <c r="H6523" s="1358"/>
      <c r="I6523" s="1358"/>
    </row>
    <row r="6524" spans="8:9">
      <c r="H6524" s="1358"/>
      <c r="I6524" s="1358"/>
    </row>
    <row r="6525" spans="8:9">
      <c r="H6525" s="1358"/>
      <c r="I6525" s="1358"/>
    </row>
    <row r="6526" spans="8:9">
      <c r="H6526" s="1358"/>
      <c r="I6526" s="1358"/>
    </row>
    <row r="6527" spans="8:9">
      <c r="H6527" s="1358"/>
      <c r="I6527" s="1358"/>
    </row>
    <row r="6528" spans="8:9">
      <c r="H6528" s="1358"/>
      <c r="I6528" s="1358"/>
    </row>
    <row r="6529" spans="8:9">
      <c r="H6529" s="1358"/>
      <c r="I6529" s="1358"/>
    </row>
    <row r="6530" spans="8:9">
      <c r="H6530" s="1358"/>
      <c r="I6530" s="1358"/>
    </row>
    <row r="6531" spans="8:9">
      <c r="H6531" s="1358"/>
      <c r="I6531" s="1358"/>
    </row>
    <row r="6532" spans="8:9">
      <c r="H6532" s="1358"/>
      <c r="I6532" s="1358"/>
    </row>
    <row r="6533" spans="8:9">
      <c r="H6533" s="1358"/>
      <c r="I6533" s="1358"/>
    </row>
    <row r="6534" spans="8:9">
      <c r="H6534" s="1358"/>
      <c r="I6534" s="1358"/>
    </row>
    <row r="6535" spans="8:9">
      <c r="H6535" s="1358"/>
      <c r="I6535" s="1358"/>
    </row>
    <row r="6536" spans="8:9">
      <c r="H6536" s="1358"/>
      <c r="I6536" s="1358"/>
    </row>
    <row r="6537" spans="8:9">
      <c r="H6537" s="1358"/>
      <c r="I6537" s="1358"/>
    </row>
    <row r="6538" spans="8:9">
      <c r="H6538" s="1358"/>
      <c r="I6538" s="1358"/>
    </row>
    <row r="6539" spans="8:9">
      <c r="H6539" s="1358"/>
      <c r="I6539" s="1358"/>
    </row>
    <row r="6540" spans="8:9">
      <c r="H6540" s="1358"/>
      <c r="I6540" s="1358"/>
    </row>
    <row r="6541" spans="8:9">
      <c r="H6541" s="1358"/>
      <c r="I6541" s="1358"/>
    </row>
    <row r="6542" spans="8:9">
      <c r="H6542" s="1358"/>
      <c r="I6542" s="1358"/>
    </row>
    <row r="6543" spans="8:9">
      <c r="H6543" s="1358"/>
      <c r="I6543" s="1358"/>
    </row>
    <row r="6544" spans="8:9">
      <c r="H6544" s="1358"/>
      <c r="I6544" s="1358"/>
    </row>
    <row r="6545" spans="8:9">
      <c r="H6545" s="1358"/>
      <c r="I6545" s="1358"/>
    </row>
    <row r="6546" spans="8:9">
      <c r="H6546" s="1358"/>
      <c r="I6546" s="1358"/>
    </row>
    <row r="6547" spans="8:9">
      <c r="H6547" s="1358"/>
      <c r="I6547" s="1358"/>
    </row>
    <row r="6548" spans="8:9">
      <c r="H6548" s="1358"/>
      <c r="I6548" s="1358"/>
    </row>
    <row r="6549" spans="8:9">
      <c r="H6549" s="1358"/>
      <c r="I6549" s="1358"/>
    </row>
    <row r="6550" spans="8:9">
      <c r="H6550" s="1358"/>
      <c r="I6550" s="1358"/>
    </row>
    <row r="6551" spans="8:9">
      <c r="H6551" s="1358"/>
      <c r="I6551" s="1358"/>
    </row>
    <row r="6552" spans="8:9">
      <c r="H6552" s="1358"/>
      <c r="I6552" s="1358"/>
    </row>
    <row r="6553" spans="8:9">
      <c r="H6553" s="1358"/>
      <c r="I6553" s="1358"/>
    </row>
    <row r="6554" spans="8:9">
      <c r="H6554" s="1358"/>
      <c r="I6554" s="1358"/>
    </row>
    <row r="6555" spans="8:9">
      <c r="H6555" s="1358"/>
      <c r="I6555" s="1358"/>
    </row>
    <row r="6556" spans="8:9">
      <c r="H6556" s="1358"/>
      <c r="I6556" s="1358"/>
    </row>
    <row r="6557" spans="8:9">
      <c r="H6557" s="1358"/>
      <c r="I6557" s="1358"/>
    </row>
    <row r="6558" spans="8:9">
      <c r="H6558" s="1358"/>
      <c r="I6558" s="1358"/>
    </row>
    <row r="6559" spans="8:9">
      <c r="H6559" s="1358"/>
      <c r="I6559" s="1358"/>
    </row>
    <row r="6560" spans="8:9">
      <c r="H6560" s="1358"/>
      <c r="I6560" s="1358"/>
    </row>
    <row r="6561" spans="8:9">
      <c r="H6561" s="1358"/>
      <c r="I6561" s="1358"/>
    </row>
    <row r="6562" spans="8:9">
      <c r="H6562" s="1358"/>
      <c r="I6562" s="1358"/>
    </row>
    <row r="6563" spans="8:9">
      <c r="H6563" s="1358"/>
      <c r="I6563" s="1358"/>
    </row>
    <row r="6564" spans="8:9">
      <c r="H6564" s="1358"/>
      <c r="I6564" s="1358"/>
    </row>
    <row r="6565" spans="8:9">
      <c r="H6565" s="1358"/>
      <c r="I6565" s="1358"/>
    </row>
    <row r="6566" spans="8:9">
      <c r="H6566" s="1358"/>
      <c r="I6566" s="1358"/>
    </row>
    <row r="6567" spans="8:9">
      <c r="H6567" s="1358"/>
      <c r="I6567" s="1358"/>
    </row>
    <row r="6568" spans="8:9">
      <c r="H6568" s="1358"/>
      <c r="I6568" s="1358"/>
    </row>
    <row r="6569" spans="8:9">
      <c r="H6569" s="1358"/>
      <c r="I6569" s="1358"/>
    </row>
    <row r="6570" spans="8:9">
      <c r="H6570" s="1358"/>
      <c r="I6570" s="1358"/>
    </row>
    <row r="6571" spans="8:9">
      <c r="H6571" s="1358"/>
      <c r="I6571" s="1358"/>
    </row>
    <row r="6572" spans="8:9">
      <c r="H6572" s="1358"/>
      <c r="I6572" s="1358"/>
    </row>
    <row r="6573" spans="8:9">
      <c r="H6573" s="1358"/>
      <c r="I6573" s="1358"/>
    </row>
    <row r="6574" spans="8:9">
      <c r="H6574" s="1358"/>
      <c r="I6574" s="1358"/>
    </row>
    <row r="6575" spans="8:9">
      <c r="H6575" s="1358"/>
      <c r="I6575" s="1358"/>
    </row>
    <row r="6576" spans="8:9">
      <c r="H6576" s="1358"/>
      <c r="I6576" s="1358"/>
    </row>
    <row r="6577" spans="8:9">
      <c r="H6577" s="1358"/>
      <c r="I6577" s="1358"/>
    </row>
    <row r="6578" spans="8:9">
      <c r="H6578" s="1358"/>
      <c r="I6578" s="1358"/>
    </row>
    <row r="6579" spans="8:9">
      <c r="H6579" s="1358"/>
      <c r="I6579" s="1358"/>
    </row>
    <row r="6580" spans="8:9">
      <c r="H6580" s="1358"/>
      <c r="I6580" s="1358"/>
    </row>
    <row r="6581" spans="8:9">
      <c r="H6581" s="1358"/>
      <c r="I6581" s="1358"/>
    </row>
    <row r="6582" spans="8:9">
      <c r="H6582" s="1358"/>
      <c r="I6582" s="1358"/>
    </row>
    <row r="6583" spans="8:9">
      <c r="H6583" s="1358"/>
      <c r="I6583" s="1358"/>
    </row>
    <row r="6584" spans="8:9">
      <c r="H6584" s="1358"/>
      <c r="I6584" s="1358"/>
    </row>
    <row r="6585" spans="8:9">
      <c r="H6585" s="1358"/>
      <c r="I6585" s="1358"/>
    </row>
    <row r="6586" spans="8:9">
      <c r="H6586" s="1358"/>
      <c r="I6586" s="1358"/>
    </row>
    <row r="6587" spans="8:9">
      <c r="H6587" s="1358"/>
      <c r="I6587" s="1358"/>
    </row>
    <row r="6588" spans="8:9">
      <c r="H6588" s="1358"/>
      <c r="I6588" s="1358"/>
    </row>
    <row r="6589" spans="8:9">
      <c r="H6589" s="1358"/>
      <c r="I6589" s="1358"/>
    </row>
    <row r="6590" spans="8:9">
      <c r="H6590" s="1358"/>
      <c r="I6590" s="1358"/>
    </row>
    <row r="6591" spans="8:9">
      <c r="H6591" s="1358"/>
      <c r="I6591" s="1358"/>
    </row>
    <row r="6592" spans="8:9">
      <c r="H6592" s="1358"/>
      <c r="I6592" s="1358"/>
    </row>
    <row r="6593" spans="8:9">
      <c r="H6593" s="1358"/>
      <c r="I6593" s="1358"/>
    </row>
    <row r="6594" spans="8:9">
      <c r="H6594" s="1358"/>
      <c r="I6594" s="1358"/>
    </row>
    <row r="6595" spans="8:9">
      <c r="H6595" s="1358"/>
      <c r="I6595" s="1358"/>
    </row>
    <row r="6596" spans="8:9">
      <c r="H6596" s="1358"/>
      <c r="I6596" s="1358"/>
    </row>
    <row r="6597" spans="8:9">
      <c r="H6597" s="1358"/>
      <c r="I6597" s="1358"/>
    </row>
    <row r="6598" spans="8:9">
      <c r="H6598" s="1358"/>
      <c r="I6598" s="1358"/>
    </row>
    <row r="6599" spans="8:9">
      <c r="H6599" s="1358"/>
      <c r="I6599" s="1358"/>
    </row>
    <row r="6600" spans="8:9">
      <c r="H6600" s="1358"/>
      <c r="I6600" s="1358"/>
    </row>
    <row r="6601" spans="8:9">
      <c r="H6601" s="1358"/>
      <c r="I6601" s="1358"/>
    </row>
    <row r="6602" spans="8:9">
      <c r="H6602" s="1358"/>
      <c r="I6602" s="1358"/>
    </row>
    <row r="6603" spans="8:9">
      <c r="H6603" s="1358"/>
      <c r="I6603" s="1358"/>
    </row>
    <row r="6604" spans="8:9">
      <c r="H6604" s="1358"/>
      <c r="I6604" s="1358"/>
    </row>
    <row r="6605" spans="8:9">
      <c r="H6605" s="1358"/>
      <c r="I6605" s="1358"/>
    </row>
    <row r="6606" spans="8:9">
      <c r="H6606" s="1358"/>
      <c r="I6606" s="1358"/>
    </row>
    <row r="6607" spans="8:9">
      <c r="H6607" s="1358"/>
      <c r="I6607" s="1358"/>
    </row>
    <row r="6608" spans="8:9">
      <c r="H6608" s="1358"/>
      <c r="I6608" s="1358"/>
    </row>
    <row r="6609" spans="8:9">
      <c r="H6609" s="1358"/>
      <c r="I6609" s="1358"/>
    </row>
    <row r="6610" spans="8:9">
      <c r="H6610" s="1358"/>
      <c r="I6610" s="1358"/>
    </row>
    <row r="6611" spans="8:9">
      <c r="H6611" s="1358"/>
      <c r="I6611" s="1358"/>
    </row>
    <row r="6612" spans="8:9">
      <c r="H6612" s="1358"/>
      <c r="I6612" s="1358"/>
    </row>
    <row r="6613" spans="8:9">
      <c r="H6613" s="1358"/>
      <c r="I6613" s="1358"/>
    </row>
    <row r="6614" spans="8:9">
      <c r="H6614" s="1358"/>
      <c r="I6614" s="1358"/>
    </row>
    <row r="6615" spans="8:9">
      <c r="H6615" s="1358"/>
      <c r="I6615" s="1358"/>
    </row>
    <row r="6616" spans="8:9">
      <c r="H6616" s="1358"/>
      <c r="I6616" s="1358"/>
    </row>
    <row r="6617" spans="8:9">
      <c r="H6617" s="1358"/>
      <c r="I6617" s="1358"/>
    </row>
    <row r="6618" spans="8:9">
      <c r="H6618" s="1358"/>
      <c r="I6618" s="1358"/>
    </row>
    <row r="6619" spans="8:9">
      <c r="H6619" s="1358"/>
      <c r="I6619" s="1358"/>
    </row>
    <row r="6620" spans="8:9">
      <c r="H6620" s="1358"/>
      <c r="I6620" s="1358"/>
    </row>
    <row r="6621" spans="8:9">
      <c r="H6621" s="1358"/>
      <c r="I6621" s="1358"/>
    </row>
    <row r="6622" spans="8:9">
      <c r="H6622" s="1358"/>
      <c r="I6622" s="1358"/>
    </row>
    <row r="6623" spans="8:9">
      <c r="H6623" s="1358"/>
      <c r="I6623" s="1358"/>
    </row>
    <row r="6624" spans="8:9">
      <c r="H6624" s="1358"/>
      <c r="I6624" s="1358"/>
    </row>
    <row r="6625" spans="8:9">
      <c r="H6625" s="1358"/>
      <c r="I6625" s="1358"/>
    </row>
    <row r="6626" spans="8:9">
      <c r="H6626" s="1358"/>
      <c r="I6626" s="1358"/>
    </row>
    <row r="6627" spans="8:9">
      <c r="H6627" s="1358"/>
      <c r="I6627" s="1358"/>
    </row>
    <row r="6628" spans="8:9">
      <c r="H6628" s="1358"/>
      <c r="I6628" s="1358"/>
    </row>
    <row r="6629" spans="8:9">
      <c r="H6629" s="1358"/>
      <c r="I6629" s="1358"/>
    </row>
    <row r="6630" spans="8:9">
      <c r="H6630" s="1358"/>
      <c r="I6630" s="1358"/>
    </row>
    <row r="6631" spans="8:9">
      <c r="H6631" s="1358"/>
      <c r="I6631" s="1358"/>
    </row>
    <row r="6632" spans="8:9">
      <c r="H6632" s="1358"/>
      <c r="I6632" s="1358"/>
    </row>
    <row r="6633" spans="8:9">
      <c r="H6633" s="1358"/>
      <c r="I6633" s="1358"/>
    </row>
    <row r="6634" spans="8:9">
      <c r="H6634" s="1358"/>
      <c r="I6634" s="1358"/>
    </row>
    <row r="6635" spans="8:9">
      <c r="H6635" s="1358"/>
      <c r="I6635" s="1358"/>
    </row>
    <row r="6636" spans="8:9">
      <c r="H6636" s="1358"/>
      <c r="I6636" s="1358"/>
    </row>
    <row r="6637" spans="8:9">
      <c r="H6637" s="1358"/>
      <c r="I6637" s="1358"/>
    </row>
    <row r="6638" spans="8:9">
      <c r="H6638" s="1358"/>
      <c r="I6638" s="1358"/>
    </row>
    <row r="6639" spans="8:9">
      <c r="H6639" s="1358"/>
      <c r="I6639" s="1358"/>
    </row>
    <row r="6640" spans="8:9">
      <c r="H6640" s="1358"/>
      <c r="I6640" s="1358"/>
    </row>
    <row r="6641" spans="8:9">
      <c r="H6641" s="1358"/>
      <c r="I6641" s="1358"/>
    </row>
    <row r="6642" spans="8:9">
      <c r="H6642" s="1358"/>
      <c r="I6642" s="1358"/>
    </row>
    <row r="6643" spans="8:9">
      <c r="H6643" s="1358"/>
      <c r="I6643" s="1358"/>
    </row>
    <row r="6644" spans="8:9">
      <c r="H6644" s="1358"/>
      <c r="I6644" s="1358"/>
    </row>
    <row r="6645" spans="8:9">
      <c r="H6645" s="1358"/>
      <c r="I6645" s="1358"/>
    </row>
    <row r="6646" spans="8:9">
      <c r="H6646" s="1358"/>
      <c r="I6646" s="1358"/>
    </row>
    <row r="6647" spans="8:9">
      <c r="H6647" s="1358"/>
      <c r="I6647" s="1358"/>
    </row>
    <row r="6648" spans="8:9">
      <c r="H6648" s="1358"/>
      <c r="I6648" s="1358"/>
    </row>
    <row r="6649" spans="8:9">
      <c r="H6649" s="1358"/>
      <c r="I6649" s="1358"/>
    </row>
    <row r="6650" spans="8:9">
      <c r="H6650" s="1358"/>
      <c r="I6650" s="1358"/>
    </row>
    <row r="6651" spans="8:9">
      <c r="H6651" s="1358"/>
      <c r="I6651" s="1358"/>
    </row>
    <row r="6652" spans="8:9">
      <c r="H6652" s="1358"/>
      <c r="I6652" s="1358"/>
    </row>
    <row r="6653" spans="8:9">
      <c r="H6653" s="1358"/>
      <c r="I6653" s="1358"/>
    </row>
    <row r="6654" spans="8:9">
      <c r="H6654" s="1358"/>
      <c r="I6654" s="1358"/>
    </row>
    <row r="6655" spans="8:9">
      <c r="H6655" s="1358"/>
      <c r="I6655" s="1358"/>
    </row>
    <row r="6656" spans="8:9">
      <c r="H6656" s="1358"/>
      <c r="I6656" s="1358"/>
    </row>
    <row r="6657" spans="8:9">
      <c r="H6657" s="1358"/>
      <c r="I6657" s="1358"/>
    </row>
    <row r="6658" spans="8:9">
      <c r="H6658" s="1358"/>
      <c r="I6658" s="1358"/>
    </row>
    <row r="6659" spans="8:9">
      <c r="H6659" s="1358"/>
      <c r="I6659" s="1358"/>
    </row>
    <row r="6660" spans="8:9">
      <c r="H6660" s="1358"/>
      <c r="I6660" s="1358"/>
    </row>
    <row r="6661" spans="8:9">
      <c r="H6661" s="1358"/>
      <c r="I6661" s="1358"/>
    </row>
    <row r="6662" spans="8:9">
      <c r="H6662" s="1358"/>
      <c r="I6662" s="1358"/>
    </row>
    <row r="6663" spans="8:9">
      <c r="H6663" s="1358"/>
      <c r="I6663" s="1358"/>
    </row>
    <row r="6664" spans="8:9">
      <c r="H6664" s="1358"/>
      <c r="I6664" s="1358"/>
    </row>
    <row r="6665" spans="8:9">
      <c r="H6665" s="1358"/>
      <c r="I6665" s="1358"/>
    </row>
    <row r="6666" spans="8:9">
      <c r="H6666" s="1358"/>
      <c r="I6666" s="1358"/>
    </row>
    <row r="6667" spans="8:9">
      <c r="H6667" s="1358"/>
      <c r="I6667" s="1358"/>
    </row>
    <row r="6668" spans="8:9">
      <c r="H6668" s="1358"/>
      <c r="I6668" s="1358"/>
    </row>
    <row r="6669" spans="8:9">
      <c r="H6669" s="1358"/>
      <c r="I6669" s="1358"/>
    </row>
    <row r="6670" spans="8:9">
      <c r="H6670" s="1358"/>
      <c r="I6670" s="1358"/>
    </row>
    <row r="6671" spans="8:9">
      <c r="H6671" s="1358"/>
      <c r="I6671" s="1358"/>
    </row>
    <row r="6672" spans="8:9">
      <c r="H6672" s="1358"/>
      <c r="I6672" s="1358"/>
    </row>
    <row r="6673" spans="8:9">
      <c r="H6673" s="1358"/>
      <c r="I6673" s="1358"/>
    </row>
    <row r="6674" spans="8:9">
      <c r="H6674" s="1358"/>
      <c r="I6674" s="1358"/>
    </row>
    <row r="6675" spans="8:9">
      <c r="H6675" s="1358"/>
      <c r="I6675" s="1358"/>
    </row>
    <row r="6676" spans="8:9">
      <c r="H6676" s="1358"/>
      <c r="I6676" s="1358"/>
    </row>
    <row r="6677" spans="8:9">
      <c r="H6677" s="1358"/>
      <c r="I6677" s="1358"/>
    </row>
    <row r="6678" spans="8:9">
      <c r="H6678" s="1358"/>
      <c r="I6678" s="1358"/>
    </row>
    <row r="6679" spans="8:9">
      <c r="H6679" s="1358"/>
      <c r="I6679" s="1358"/>
    </row>
    <row r="6680" spans="8:9">
      <c r="H6680" s="1358"/>
      <c r="I6680" s="1358"/>
    </row>
    <row r="6681" spans="8:9">
      <c r="H6681" s="1358"/>
      <c r="I6681" s="1358"/>
    </row>
    <row r="6682" spans="8:9">
      <c r="H6682" s="1358"/>
      <c r="I6682" s="1358"/>
    </row>
    <row r="6683" spans="8:9">
      <c r="H6683" s="1358"/>
      <c r="I6683" s="1358"/>
    </row>
    <row r="6684" spans="8:9">
      <c r="H6684" s="1358"/>
      <c r="I6684" s="1358"/>
    </row>
    <row r="6685" spans="8:9">
      <c r="H6685" s="1358"/>
      <c r="I6685" s="1358"/>
    </row>
    <row r="6686" spans="8:9">
      <c r="H6686" s="1358"/>
      <c r="I6686" s="1358"/>
    </row>
    <row r="6687" spans="8:9">
      <c r="H6687" s="1358"/>
      <c r="I6687" s="1358"/>
    </row>
    <row r="6688" spans="8:9">
      <c r="H6688" s="1358"/>
      <c r="I6688" s="1358"/>
    </row>
    <row r="6689" spans="8:9">
      <c r="H6689" s="1358"/>
      <c r="I6689" s="1358"/>
    </row>
    <row r="6690" spans="8:9">
      <c r="H6690" s="1358"/>
      <c r="I6690" s="1358"/>
    </row>
    <row r="6691" spans="8:9">
      <c r="H6691" s="1358"/>
      <c r="I6691" s="1358"/>
    </row>
    <row r="6692" spans="8:9">
      <c r="H6692" s="1358"/>
      <c r="I6692" s="1358"/>
    </row>
    <row r="6693" spans="8:9">
      <c r="H6693" s="1358"/>
      <c r="I6693" s="1358"/>
    </row>
    <row r="6694" spans="8:9">
      <c r="H6694" s="1358"/>
      <c r="I6694" s="1358"/>
    </row>
    <row r="6695" spans="8:9">
      <c r="H6695" s="1358"/>
      <c r="I6695" s="1358"/>
    </row>
    <row r="6696" spans="8:9">
      <c r="H6696" s="1358"/>
      <c r="I6696" s="1358"/>
    </row>
    <row r="6697" spans="8:9">
      <c r="H6697" s="1358"/>
      <c r="I6697" s="1358"/>
    </row>
    <row r="6698" spans="8:9">
      <c r="H6698" s="1358"/>
      <c r="I6698" s="1358"/>
    </row>
    <row r="6699" spans="8:9">
      <c r="H6699" s="1358"/>
      <c r="I6699" s="1358"/>
    </row>
    <row r="6700" spans="8:9">
      <c r="H6700" s="1358"/>
      <c r="I6700" s="1358"/>
    </row>
    <row r="6701" spans="8:9">
      <c r="H6701" s="1358"/>
      <c r="I6701" s="1358"/>
    </row>
    <row r="6702" spans="8:9">
      <c r="H6702" s="1358"/>
      <c r="I6702" s="1358"/>
    </row>
    <row r="6703" spans="8:9">
      <c r="H6703" s="1358"/>
      <c r="I6703" s="1358"/>
    </row>
    <row r="6704" spans="8:9">
      <c r="H6704" s="1358"/>
      <c r="I6704" s="1358"/>
    </row>
    <row r="6705" spans="8:9">
      <c r="H6705" s="1358"/>
      <c r="I6705" s="1358"/>
    </row>
    <row r="6706" spans="8:9">
      <c r="H6706" s="1358"/>
      <c r="I6706" s="1358"/>
    </row>
    <row r="6707" spans="8:9">
      <c r="H6707" s="1358"/>
      <c r="I6707" s="1358"/>
    </row>
    <row r="6708" spans="8:9">
      <c r="H6708" s="1358"/>
      <c r="I6708" s="1358"/>
    </row>
    <row r="6709" spans="8:9">
      <c r="H6709" s="1358"/>
      <c r="I6709" s="1358"/>
    </row>
    <row r="6710" spans="8:9">
      <c r="H6710" s="1358"/>
      <c r="I6710" s="1358"/>
    </row>
    <row r="6711" spans="8:9">
      <c r="H6711" s="1358"/>
      <c r="I6711" s="1358"/>
    </row>
    <row r="6712" spans="8:9">
      <c r="H6712" s="1358"/>
      <c r="I6712" s="1358"/>
    </row>
    <row r="6713" spans="8:9">
      <c r="H6713" s="1358"/>
      <c r="I6713" s="1358"/>
    </row>
    <row r="6714" spans="8:9">
      <c r="H6714" s="1358"/>
      <c r="I6714" s="1358"/>
    </row>
    <row r="6715" spans="8:9">
      <c r="H6715" s="1358"/>
      <c r="I6715" s="1358"/>
    </row>
    <row r="6716" spans="8:9">
      <c r="H6716" s="1358"/>
      <c r="I6716" s="1358"/>
    </row>
    <row r="6717" spans="8:9">
      <c r="H6717" s="1358"/>
      <c r="I6717" s="1358"/>
    </row>
    <row r="6718" spans="8:9">
      <c r="H6718" s="1358"/>
      <c r="I6718" s="1358"/>
    </row>
    <row r="6719" spans="8:9">
      <c r="H6719" s="1358"/>
      <c r="I6719" s="1358"/>
    </row>
    <row r="6720" spans="8:9">
      <c r="H6720" s="1358"/>
      <c r="I6720" s="1358"/>
    </row>
    <row r="6721" spans="8:9">
      <c r="H6721" s="1358"/>
      <c r="I6721" s="1358"/>
    </row>
    <row r="6722" spans="8:9">
      <c r="H6722" s="1358"/>
      <c r="I6722" s="1358"/>
    </row>
    <row r="6723" spans="8:9">
      <c r="H6723" s="1358"/>
      <c r="I6723" s="1358"/>
    </row>
    <row r="6724" spans="8:9">
      <c r="H6724" s="1358"/>
      <c r="I6724" s="1358"/>
    </row>
    <row r="6725" spans="8:9">
      <c r="H6725" s="1358"/>
      <c r="I6725" s="1358"/>
    </row>
    <row r="6726" spans="8:9">
      <c r="H6726" s="1358"/>
      <c r="I6726" s="1358"/>
    </row>
    <row r="6727" spans="8:9">
      <c r="H6727" s="1358"/>
      <c r="I6727" s="1358"/>
    </row>
    <row r="6728" spans="8:9">
      <c r="H6728" s="1358"/>
      <c r="I6728" s="1358"/>
    </row>
    <row r="6729" spans="8:9">
      <c r="H6729" s="1358"/>
      <c r="I6729" s="1358"/>
    </row>
    <row r="6730" spans="8:9">
      <c r="H6730" s="1358"/>
      <c r="I6730" s="1358"/>
    </row>
    <row r="6731" spans="8:9">
      <c r="H6731" s="1358"/>
      <c r="I6731" s="1358"/>
    </row>
    <row r="6732" spans="8:9">
      <c r="H6732" s="1358"/>
      <c r="I6732" s="1358"/>
    </row>
    <row r="6733" spans="8:9">
      <c r="H6733" s="1358"/>
      <c r="I6733" s="1358"/>
    </row>
    <row r="6734" spans="8:9">
      <c r="H6734" s="1358"/>
      <c r="I6734" s="1358"/>
    </row>
    <row r="6735" spans="8:9">
      <c r="H6735" s="1358"/>
      <c r="I6735" s="1358"/>
    </row>
    <row r="6736" spans="8:9">
      <c r="H6736" s="1358"/>
      <c r="I6736" s="1358"/>
    </row>
    <row r="6737" spans="8:9">
      <c r="H6737" s="1358"/>
      <c r="I6737" s="1358"/>
    </row>
    <row r="6738" spans="8:9">
      <c r="H6738" s="1358"/>
      <c r="I6738" s="1358"/>
    </row>
    <row r="6739" spans="8:9">
      <c r="H6739" s="1358"/>
      <c r="I6739" s="1358"/>
    </row>
    <row r="6740" spans="8:9">
      <c r="H6740" s="1358"/>
      <c r="I6740" s="1358"/>
    </row>
    <row r="6741" spans="8:9">
      <c r="H6741" s="1358"/>
      <c r="I6741" s="1358"/>
    </row>
    <row r="6742" spans="8:9">
      <c r="H6742" s="1358"/>
      <c r="I6742" s="1358"/>
    </row>
    <row r="6743" spans="8:9">
      <c r="H6743" s="1358"/>
      <c r="I6743" s="1358"/>
    </row>
    <row r="6744" spans="8:9">
      <c r="H6744" s="1358"/>
      <c r="I6744" s="1358"/>
    </row>
    <row r="6745" spans="8:9">
      <c r="H6745" s="1358"/>
      <c r="I6745" s="1358"/>
    </row>
    <row r="6746" spans="8:9">
      <c r="H6746" s="1358"/>
      <c r="I6746" s="1358"/>
    </row>
    <row r="6747" spans="8:9">
      <c r="H6747" s="1358"/>
      <c r="I6747" s="1358"/>
    </row>
    <row r="6748" spans="8:9">
      <c r="H6748" s="1358"/>
      <c r="I6748" s="1358"/>
    </row>
    <row r="6749" spans="8:9">
      <c r="H6749" s="1358"/>
      <c r="I6749" s="1358"/>
    </row>
    <row r="6750" spans="8:9">
      <c r="H6750" s="1358"/>
      <c r="I6750" s="1358"/>
    </row>
    <row r="6751" spans="8:9">
      <c r="H6751" s="1358"/>
      <c r="I6751" s="1358"/>
    </row>
    <row r="6752" spans="8:9">
      <c r="H6752" s="1358"/>
      <c r="I6752" s="1358"/>
    </row>
    <row r="6753" spans="8:9">
      <c r="H6753" s="1358"/>
      <c r="I6753" s="1358"/>
    </row>
    <row r="6754" spans="8:9">
      <c r="H6754" s="1358"/>
      <c r="I6754" s="1358"/>
    </row>
    <row r="6755" spans="8:9">
      <c r="H6755" s="1358"/>
      <c r="I6755" s="1358"/>
    </row>
    <row r="6756" spans="8:9">
      <c r="H6756" s="1358"/>
      <c r="I6756" s="1358"/>
    </row>
    <row r="6757" spans="8:9">
      <c r="H6757" s="1358"/>
      <c r="I6757" s="1358"/>
    </row>
    <row r="6758" spans="8:9">
      <c r="H6758" s="1358"/>
      <c r="I6758" s="1358"/>
    </row>
    <row r="6759" spans="8:9">
      <c r="H6759" s="1358"/>
      <c r="I6759" s="1358"/>
    </row>
    <row r="6760" spans="8:9">
      <c r="H6760" s="1358"/>
      <c r="I6760" s="1358"/>
    </row>
    <row r="6761" spans="8:9">
      <c r="H6761" s="1358"/>
      <c r="I6761" s="1358"/>
    </row>
    <row r="6762" spans="8:9">
      <c r="H6762" s="1358"/>
      <c r="I6762" s="1358"/>
    </row>
    <row r="6763" spans="8:9">
      <c r="H6763" s="1358"/>
      <c r="I6763" s="1358"/>
    </row>
    <row r="6764" spans="8:9">
      <c r="H6764" s="1358"/>
      <c r="I6764" s="1358"/>
    </row>
    <row r="6765" spans="8:9">
      <c r="H6765" s="1358"/>
      <c r="I6765" s="1358"/>
    </row>
    <row r="6766" spans="8:9">
      <c r="H6766" s="1358"/>
      <c r="I6766" s="1358"/>
    </row>
    <row r="6767" spans="8:9">
      <c r="H6767" s="1358"/>
      <c r="I6767" s="1358"/>
    </row>
    <row r="6768" spans="8:9">
      <c r="H6768" s="1358"/>
      <c r="I6768" s="1358"/>
    </row>
    <row r="6769" spans="8:9">
      <c r="H6769" s="1358"/>
      <c r="I6769" s="1358"/>
    </row>
    <row r="6770" spans="8:9">
      <c r="H6770" s="1358"/>
      <c r="I6770" s="1358"/>
    </row>
    <row r="6771" spans="8:9">
      <c r="H6771" s="1358"/>
      <c r="I6771" s="1358"/>
    </row>
    <row r="6772" spans="8:9">
      <c r="H6772" s="1358"/>
      <c r="I6772" s="1358"/>
    </row>
    <row r="6773" spans="8:9">
      <c r="H6773" s="1358"/>
      <c r="I6773" s="1358"/>
    </row>
    <row r="6774" spans="8:9">
      <c r="H6774" s="1358"/>
      <c r="I6774" s="1358"/>
    </row>
    <row r="6775" spans="8:9">
      <c r="H6775" s="1358"/>
      <c r="I6775" s="1358"/>
    </row>
    <row r="6776" spans="8:9">
      <c r="H6776" s="1358"/>
      <c r="I6776" s="1358"/>
    </row>
    <row r="6777" spans="8:9">
      <c r="H6777" s="1358"/>
      <c r="I6777" s="1358"/>
    </row>
    <row r="6778" spans="8:9">
      <c r="H6778" s="1358"/>
      <c r="I6778" s="1358"/>
    </row>
    <row r="6779" spans="8:9">
      <c r="H6779" s="1358"/>
      <c r="I6779" s="1358"/>
    </row>
    <row r="6780" spans="8:9">
      <c r="H6780" s="1358"/>
      <c r="I6780" s="1358"/>
    </row>
    <row r="6781" spans="8:9">
      <c r="H6781" s="1358"/>
      <c r="I6781" s="1358"/>
    </row>
    <row r="6782" spans="8:9">
      <c r="H6782" s="1358"/>
      <c r="I6782" s="1358"/>
    </row>
    <row r="6783" spans="8:9">
      <c r="H6783" s="1358"/>
      <c r="I6783" s="1358"/>
    </row>
    <row r="6784" spans="8:9">
      <c r="H6784" s="1358"/>
      <c r="I6784" s="1358"/>
    </row>
    <row r="6785" spans="8:9">
      <c r="H6785" s="1358"/>
      <c r="I6785" s="1358"/>
    </row>
    <row r="6786" spans="8:9">
      <c r="H6786" s="1358"/>
      <c r="I6786" s="1358"/>
    </row>
    <row r="6787" spans="8:9">
      <c r="H6787" s="1358"/>
      <c r="I6787" s="1358"/>
    </row>
    <row r="6788" spans="8:9">
      <c r="H6788" s="1358"/>
      <c r="I6788" s="1358"/>
    </row>
    <row r="6789" spans="8:9">
      <c r="H6789" s="1358"/>
      <c r="I6789" s="1358"/>
    </row>
    <row r="6790" spans="8:9">
      <c r="H6790" s="1358"/>
      <c r="I6790" s="1358"/>
    </row>
    <row r="6791" spans="8:9">
      <c r="H6791" s="1358"/>
      <c r="I6791" s="1358"/>
    </row>
    <row r="6792" spans="8:9">
      <c r="H6792" s="1358"/>
      <c r="I6792" s="1358"/>
    </row>
    <row r="6793" spans="8:9">
      <c r="H6793" s="1358"/>
      <c r="I6793" s="1358"/>
    </row>
    <row r="6794" spans="8:9">
      <c r="H6794" s="1358"/>
      <c r="I6794" s="1358"/>
    </row>
    <row r="6795" spans="8:9">
      <c r="H6795" s="1358"/>
      <c r="I6795" s="1358"/>
    </row>
    <row r="6796" spans="8:9">
      <c r="H6796" s="1358"/>
      <c r="I6796" s="1358"/>
    </row>
    <row r="6797" spans="8:9">
      <c r="H6797" s="1358"/>
      <c r="I6797" s="1358"/>
    </row>
    <row r="6798" spans="8:9">
      <c r="H6798" s="1358"/>
      <c r="I6798" s="1358"/>
    </row>
    <row r="6799" spans="8:9">
      <c r="H6799" s="1358"/>
      <c r="I6799" s="1358"/>
    </row>
    <row r="6800" spans="8:9">
      <c r="H6800" s="1358"/>
      <c r="I6800" s="1358"/>
    </row>
    <row r="6801" spans="8:9">
      <c r="H6801" s="1358"/>
      <c r="I6801" s="1358"/>
    </row>
    <row r="6802" spans="8:9">
      <c r="H6802" s="1358"/>
      <c r="I6802" s="1358"/>
    </row>
    <row r="6803" spans="8:9">
      <c r="H6803" s="1358"/>
      <c r="I6803" s="1358"/>
    </row>
    <row r="6804" spans="8:9">
      <c r="H6804" s="1358"/>
      <c r="I6804" s="1358"/>
    </row>
    <row r="6805" spans="8:9">
      <c r="H6805" s="1358"/>
      <c r="I6805" s="1358"/>
    </row>
    <row r="6806" spans="8:9">
      <c r="H6806" s="1358"/>
      <c r="I6806" s="1358"/>
    </row>
    <row r="6807" spans="8:9">
      <c r="H6807" s="1358"/>
      <c r="I6807" s="1358"/>
    </row>
    <row r="6808" spans="8:9">
      <c r="H6808" s="1358"/>
      <c r="I6808" s="1358"/>
    </row>
    <row r="6809" spans="8:9">
      <c r="H6809" s="1358"/>
      <c r="I6809" s="1358"/>
    </row>
    <row r="6810" spans="8:9">
      <c r="H6810" s="1358"/>
      <c r="I6810" s="1358"/>
    </row>
    <row r="6811" spans="8:9">
      <c r="H6811" s="1358"/>
      <c r="I6811" s="1358"/>
    </row>
    <row r="6812" spans="8:9">
      <c r="H6812" s="1358"/>
      <c r="I6812" s="1358"/>
    </row>
    <row r="6813" spans="8:9">
      <c r="H6813" s="1358"/>
      <c r="I6813" s="1358"/>
    </row>
    <row r="6814" spans="8:9">
      <c r="H6814" s="1358"/>
      <c r="I6814" s="1358"/>
    </row>
    <row r="6815" spans="8:9">
      <c r="H6815" s="1358"/>
      <c r="I6815" s="1358"/>
    </row>
    <row r="6816" spans="8:9">
      <c r="H6816" s="1358"/>
      <c r="I6816" s="1358"/>
    </row>
    <row r="6817" spans="8:9">
      <c r="H6817" s="1358"/>
      <c r="I6817" s="1358"/>
    </row>
    <row r="6818" spans="8:9">
      <c r="H6818" s="1358"/>
      <c r="I6818" s="1358"/>
    </row>
    <row r="6819" spans="8:9">
      <c r="H6819" s="1358"/>
      <c r="I6819" s="1358"/>
    </row>
    <row r="6820" spans="8:9">
      <c r="H6820" s="1358"/>
      <c r="I6820" s="1358"/>
    </row>
    <row r="6821" spans="8:9">
      <c r="H6821" s="1358"/>
      <c r="I6821" s="1358"/>
    </row>
    <row r="6822" spans="8:9">
      <c r="H6822" s="1358"/>
      <c r="I6822" s="1358"/>
    </row>
    <row r="6823" spans="8:9">
      <c r="H6823" s="1358"/>
      <c r="I6823" s="1358"/>
    </row>
    <row r="6824" spans="8:9">
      <c r="H6824" s="1358"/>
      <c r="I6824" s="1358"/>
    </row>
    <row r="6825" spans="8:9">
      <c r="H6825" s="1358"/>
      <c r="I6825" s="1358"/>
    </row>
    <row r="6826" spans="8:9">
      <c r="H6826" s="1358"/>
      <c r="I6826" s="1358"/>
    </row>
    <row r="6827" spans="8:9">
      <c r="H6827" s="1358"/>
      <c r="I6827" s="1358"/>
    </row>
    <row r="6828" spans="8:9">
      <c r="H6828" s="1358"/>
      <c r="I6828" s="1358"/>
    </row>
    <row r="6829" spans="8:9">
      <c r="H6829" s="1358"/>
      <c r="I6829" s="1358"/>
    </row>
    <row r="6830" spans="8:9">
      <c r="H6830" s="1358"/>
      <c r="I6830" s="1358"/>
    </row>
    <row r="6831" spans="8:9">
      <c r="H6831" s="1358"/>
      <c r="I6831" s="1358"/>
    </row>
    <row r="6832" spans="8:9">
      <c r="H6832" s="1358"/>
      <c r="I6832" s="1358"/>
    </row>
    <row r="6833" spans="8:9">
      <c r="H6833" s="1358"/>
      <c r="I6833" s="1358"/>
    </row>
    <row r="6834" spans="8:9">
      <c r="H6834" s="1358"/>
      <c r="I6834" s="1358"/>
    </row>
    <row r="6835" spans="8:9">
      <c r="H6835" s="1358"/>
      <c r="I6835" s="1358"/>
    </row>
    <row r="6836" spans="8:9">
      <c r="H6836" s="1358"/>
      <c r="I6836" s="1358"/>
    </row>
    <row r="6837" spans="8:9">
      <c r="H6837" s="1358"/>
      <c r="I6837" s="1358"/>
    </row>
    <row r="6838" spans="8:9">
      <c r="H6838" s="1358"/>
      <c r="I6838" s="1358"/>
    </row>
    <row r="6839" spans="8:9">
      <c r="H6839" s="1358"/>
      <c r="I6839" s="1358"/>
    </row>
    <row r="6840" spans="8:9">
      <c r="H6840" s="1358"/>
      <c r="I6840" s="1358"/>
    </row>
    <row r="6841" spans="8:9">
      <c r="H6841" s="1358"/>
      <c r="I6841" s="1358"/>
    </row>
    <row r="6842" spans="8:9">
      <c r="H6842" s="1358"/>
      <c r="I6842" s="1358"/>
    </row>
    <row r="6843" spans="8:9">
      <c r="H6843" s="1358"/>
      <c r="I6843" s="1358"/>
    </row>
    <row r="6844" spans="8:9">
      <c r="H6844" s="1358"/>
      <c r="I6844" s="1358"/>
    </row>
    <row r="6845" spans="8:9">
      <c r="H6845" s="1358"/>
      <c r="I6845" s="1358"/>
    </row>
    <row r="6846" spans="8:9">
      <c r="H6846" s="1358"/>
      <c r="I6846" s="1358"/>
    </row>
    <row r="6847" spans="8:9">
      <c r="H6847" s="1358"/>
      <c r="I6847" s="1358"/>
    </row>
    <row r="6848" spans="8:9">
      <c r="H6848" s="1358"/>
      <c r="I6848" s="1358"/>
    </row>
    <row r="6849" spans="8:9">
      <c r="H6849" s="1358"/>
      <c r="I6849" s="1358"/>
    </row>
    <row r="6850" spans="8:9">
      <c r="H6850" s="1358"/>
      <c r="I6850" s="1358"/>
    </row>
    <row r="6851" spans="8:9">
      <c r="H6851" s="1358"/>
      <c r="I6851" s="1358"/>
    </row>
    <row r="6852" spans="8:9">
      <c r="H6852" s="1358"/>
      <c r="I6852" s="1358"/>
    </row>
    <row r="6853" spans="8:9">
      <c r="H6853" s="1358"/>
      <c r="I6853" s="1358"/>
    </row>
    <row r="6854" spans="8:9">
      <c r="H6854" s="1358"/>
      <c r="I6854" s="1358"/>
    </row>
    <row r="6855" spans="8:9">
      <c r="H6855" s="1358"/>
      <c r="I6855" s="1358"/>
    </row>
    <row r="6856" spans="8:9">
      <c r="H6856" s="1358"/>
      <c r="I6856" s="1358"/>
    </row>
    <row r="6857" spans="8:9">
      <c r="H6857" s="1358"/>
      <c r="I6857" s="1358"/>
    </row>
    <row r="6858" spans="8:9">
      <c r="H6858" s="1358"/>
      <c r="I6858" s="1358"/>
    </row>
    <row r="6859" spans="8:9">
      <c r="H6859" s="1358"/>
      <c r="I6859" s="1358"/>
    </row>
    <row r="6860" spans="8:9">
      <c r="H6860" s="1358"/>
      <c r="I6860" s="1358"/>
    </row>
    <row r="6861" spans="8:9">
      <c r="H6861" s="1358"/>
      <c r="I6861" s="1358"/>
    </row>
    <row r="6862" spans="8:9">
      <c r="H6862" s="1358"/>
      <c r="I6862" s="1358"/>
    </row>
    <row r="6863" spans="8:9">
      <c r="H6863" s="1358"/>
      <c r="I6863" s="1358"/>
    </row>
    <row r="6864" spans="8:9">
      <c r="H6864" s="1358"/>
      <c r="I6864" s="1358"/>
    </row>
    <row r="6865" spans="8:9">
      <c r="H6865" s="1358"/>
      <c r="I6865" s="1358"/>
    </row>
    <row r="6866" spans="8:9">
      <c r="H6866" s="1358"/>
      <c r="I6866" s="1358"/>
    </row>
    <row r="6867" spans="8:9">
      <c r="H6867" s="1358"/>
      <c r="I6867" s="1358"/>
    </row>
    <row r="6868" spans="8:9">
      <c r="H6868" s="1358"/>
      <c r="I6868" s="1358"/>
    </row>
    <row r="6869" spans="8:9">
      <c r="H6869" s="1358"/>
      <c r="I6869" s="1358"/>
    </row>
    <row r="6870" spans="8:9">
      <c r="H6870" s="1358"/>
      <c r="I6870" s="1358"/>
    </row>
    <row r="6871" spans="8:9">
      <c r="H6871" s="1358"/>
      <c r="I6871" s="1358"/>
    </row>
    <row r="6872" spans="8:9">
      <c r="H6872" s="1358"/>
      <c r="I6872" s="1358"/>
    </row>
    <row r="6873" spans="8:9">
      <c r="H6873" s="1358"/>
      <c r="I6873" s="1358"/>
    </row>
    <row r="6874" spans="8:9">
      <c r="H6874" s="1358"/>
      <c r="I6874" s="1358"/>
    </row>
    <row r="6875" spans="8:9">
      <c r="H6875" s="1358"/>
      <c r="I6875" s="1358"/>
    </row>
    <row r="6876" spans="8:9">
      <c r="H6876" s="1358"/>
      <c r="I6876" s="1358"/>
    </row>
    <row r="6877" spans="8:9">
      <c r="H6877" s="1358"/>
      <c r="I6877" s="1358"/>
    </row>
    <row r="6878" spans="8:9">
      <c r="H6878" s="1358"/>
      <c r="I6878" s="1358"/>
    </row>
    <row r="6879" spans="8:9">
      <c r="H6879" s="1358"/>
      <c r="I6879" s="1358"/>
    </row>
    <row r="6880" spans="8:9">
      <c r="H6880" s="1358"/>
      <c r="I6880" s="1358"/>
    </row>
    <row r="6881" spans="8:9">
      <c r="H6881" s="1358"/>
      <c r="I6881" s="1358"/>
    </row>
    <row r="6882" spans="8:9">
      <c r="H6882" s="1358"/>
      <c r="I6882" s="1358"/>
    </row>
    <row r="6883" spans="8:9">
      <c r="H6883" s="1358"/>
      <c r="I6883" s="1358"/>
    </row>
    <row r="6884" spans="8:9">
      <c r="H6884" s="1358"/>
      <c r="I6884" s="1358"/>
    </row>
    <row r="6885" spans="8:9">
      <c r="H6885" s="1358"/>
      <c r="I6885" s="1358"/>
    </row>
    <row r="6886" spans="8:9">
      <c r="H6886" s="1358"/>
      <c r="I6886" s="1358"/>
    </row>
    <row r="6887" spans="8:9">
      <c r="H6887" s="1358"/>
      <c r="I6887" s="1358"/>
    </row>
    <row r="6888" spans="8:9">
      <c r="H6888" s="1358"/>
      <c r="I6888" s="1358"/>
    </row>
    <row r="6889" spans="8:9">
      <c r="H6889" s="1358"/>
      <c r="I6889" s="1358"/>
    </row>
    <row r="6890" spans="8:9">
      <c r="H6890" s="1358"/>
      <c r="I6890" s="1358"/>
    </row>
    <row r="6891" spans="8:9">
      <c r="H6891" s="1358"/>
      <c r="I6891" s="1358"/>
    </row>
    <row r="6892" spans="8:9">
      <c r="H6892" s="1358"/>
      <c r="I6892" s="1358"/>
    </row>
    <row r="6893" spans="8:9">
      <c r="H6893" s="1358"/>
      <c r="I6893" s="1358"/>
    </row>
    <row r="6894" spans="8:9">
      <c r="H6894" s="1358"/>
      <c r="I6894" s="1358"/>
    </row>
    <row r="6895" spans="8:9">
      <c r="H6895" s="1358"/>
      <c r="I6895" s="1358"/>
    </row>
    <row r="6896" spans="8:9">
      <c r="H6896" s="1358"/>
      <c r="I6896" s="1358"/>
    </row>
    <row r="6897" spans="8:9">
      <c r="H6897" s="1358"/>
      <c r="I6897" s="1358"/>
    </row>
    <row r="6898" spans="8:9">
      <c r="H6898" s="1358"/>
      <c r="I6898" s="1358"/>
    </row>
    <row r="6899" spans="8:9">
      <c r="H6899" s="1358"/>
      <c r="I6899" s="1358"/>
    </row>
    <row r="6900" spans="8:9">
      <c r="H6900" s="1358"/>
      <c r="I6900" s="1358"/>
    </row>
    <row r="6901" spans="8:9">
      <c r="H6901" s="1358"/>
      <c r="I6901" s="1358"/>
    </row>
    <row r="6902" spans="8:9">
      <c r="H6902" s="1358"/>
      <c r="I6902" s="1358"/>
    </row>
    <row r="6903" spans="8:9">
      <c r="H6903" s="1358"/>
      <c r="I6903" s="1358"/>
    </row>
    <row r="6904" spans="8:9">
      <c r="H6904" s="1358"/>
      <c r="I6904" s="1358"/>
    </row>
    <row r="6905" spans="8:9">
      <c r="H6905" s="1358"/>
      <c r="I6905" s="1358"/>
    </row>
    <row r="6906" spans="8:9">
      <c r="H6906" s="1358"/>
      <c r="I6906" s="1358"/>
    </row>
    <row r="6907" spans="8:9">
      <c r="H6907" s="1358"/>
      <c r="I6907" s="1358"/>
    </row>
    <row r="6908" spans="8:9">
      <c r="H6908" s="1358"/>
      <c r="I6908" s="1358"/>
    </row>
    <row r="6909" spans="8:9">
      <c r="H6909" s="1358"/>
      <c r="I6909" s="1358"/>
    </row>
    <row r="6910" spans="8:9">
      <c r="H6910" s="1358"/>
      <c r="I6910" s="1358"/>
    </row>
    <row r="6911" spans="8:9">
      <c r="H6911" s="1358"/>
      <c r="I6911" s="1358"/>
    </row>
    <row r="6912" spans="8:9">
      <c r="H6912" s="1358"/>
      <c r="I6912" s="1358"/>
    </row>
    <row r="6913" spans="8:9">
      <c r="H6913" s="1358"/>
      <c r="I6913" s="1358"/>
    </row>
    <row r="6914" spans="8:9">
      <c r="H6914" s="1358"/>
      <c r="I6914" s="1358"/>
    </row>
    <row r="6915" spans="8:9">
      <c r="H6915" s="1358"/>
      <c r="I6915" s="1358"/>
    </row>
    <row r="6916" spans="8:9">
      <c r="H6916" s="1358"/>
      <c r="I6916" s="1358"/>
    </row>
    <row r="6917" spans="8:9">
      <c r="H6917" s="1358"/>
      <c r="I6917" s="1358"/>
    </row>
    <row r="6918" spans="8:9">
      <c r="H6918" s="1358"/>
      <c r="I6918" s="1358"/>
    </row>
    <row r="6919" spans="8:9">
      <c r="H6919" s="1358"/>
      <c r="I6919" s="1358"/>
    </row>
    <row r="6920" spans="8:9">
      <c r="H6920" s="1358"/>
      <c r="I6920" s="1358"/>
    </row>
    <row r="6921" spans="8:9">
      <c r="H6921" s="1358"/>
      <c r="I6921" s="1358"/>
    </row>
    <row r="6922" spans="8:9">
      <c r="H6922" s="1358"/>
      <c r="I6922" s="1358"/>
    </row>
    <row r="6923" spans="8:9">
      <c r="H6923" s="1358"/>
      <c r="I6923" s="1358"/>
    </row>
    <row r="6924" spans="8:9">
      <c r="H6924" s="1358"/>
      <c r="I6924" s="1358"/>
    </row>
    <row r="6925" spans="8:9">
      <c r="H6925" s="1358"/>
      <c r="I6925" s="1358"/>
    </row>
    <row r="6926" spans="8:9">
      <c r="H6926" s="1358"/>
      <c r="I6926" s="1358"/>
    </row>
    <row r="6927" spans="8:9">
      <c r="H6927" s="1358"/>
      <c r="I6927" s="1358"/>
    </row>
    <row r="6928" spans="8:9">
      <c r="H6928" s="1358"/>
      <c r="I6928" s="1358"/>
    </row>
    <row r="6929" spans="8:9">
      <c r="H6929" s="1358"/>
      <c r="I6929" s="1358"/>
    </row>
    <row r="6930" spans="8:9">
      <c r="H6930" s="1358"/>
      <c r="I6930" s="1358"/>
    </row>
    <row r="6931" spans="8:9">
      <c r="H6931" s="1358"/>
      <c r="I6931" s="1358"/>
    </row>
    <row r="6932" spans="8:9">
      <c r="H6932" s="1358"/>
      <c r="I6932" s="1358"/>
    </row>
    <row r="6933" spans="8:9">
      <c r="H6933" s="1358"/>
      <c r="I6933" s="1358"/>
    </row>
    <row r="6934" spans="8:9">
      <c r="H6934" s="1358"/>
      <c r="I6934" s="1358"/>
    </row>
    <row r="6935" spans="8:9">
      <c r="H6935" s="1358"/>
      <c r="I6935" s="1358"/>
    </row>
    <row r="6936" spans="8:9">
      <c r="H6936" s="1358"/>
      <c r="I6936" s="1358"/>
    </row>
    <row r="6937" spans="8:9">
      <c r="H6937" s="1358"/>
      <c r="I6937" s="1358"/>
    </row>
    <row r="6938" spans="8:9">
      <c r="H6938" s="1358"/>
      <c r="I6938" s="1358"/>
    </row>
    <row r="6939" spans="8:9">
      <c r="H6939" s="1358"/>
      <c r="I6939" s="1358"/>
    </row>
    <row r="6940" spans="8:9">
      <c r="H6940" s="1358"/>
      <c r="I6940" s="1358"/>
    </row>
    <row r="6941" spans="8:9">
      <c r="H6941" s="1358"/>
      <c r="I6941" s="1358"/>
    </row>
    <row r="6942" spans="8:9">
      <c r="H6942" s="1358"/>
      <c r="I6942" s="1358"/>
    </row>
    <row r="6943" spans="8:9">
      <c r="H6943" s="1358"/>
      <c r="I6943" s="1358"/>
    </row>
    <row r="6944" spans="8:9">
      <c r="H6944" s="1358"/>
      <c r="I6944" s="1358"/>
    </row>
    <row r="6945" spans="8:9">
      <c r="H6945" s="1358"/>
      <c r="I6945" s="1358"/>
    </row>
    <row r="6946" spans="8:9">
      <c r="H6946" s="1358"/>
      <c r="I6946" s="1358"/>
    </row>
    <row r="6947" spans="8:9">
      <c r="H6947" s="1358"/>
      <c r="I6947" s="1358"/>
    </row>
    <row r="6948" spans="8:9">
      <c r="H6948" s="1358"/>
      <c r="I6948" s="1358"/>
    </row>
    <row r="6949" spans="8:9">
      <c r="H6949" s="1358"/>
      <c r="I6949" s="1358"/>
    </row>
    <row r="6950" spans="8:9">
      <c r="H6950" s="1358"/>
      <c r="I6950" s="1358"/>
    </row>
    <row r="6951" spans="8:9">
      <c r="H6951" s="1358"/>
      <c r="I6951" s="1358"/>
    </row>
    <row r="6952" spans="8:9">
      <c r="H6952" s="1358"/>
      <c r="I6952" s="1358"/>
    </row>
    <row r="6953" spans="8:9">
      <c r="H6953" s="1358"/>
      <c r="I6953" s="1358"/>
    </row>
    <row r="6954" spans="8:9">
      <c r="H6954" s="1358"/>
      <c r="I6954" s="1358"/>
    </row>
    <row r="6955" spans="8:9">
      <c r="H6955" s="1358"/>
      <c r="I6955" s="1358"/>
    </row>
    <row r="6956" spans="8:9">
      <c r="H6956" s="1358"/>
      <c r="I6956" s="1358"/>
    </row>
    <row r="6957" spans="8:9">
      <c r="H6957" s="1358"/>
      <c r="I6957" s="1358"/>
    </row>
    <row r="6958" spans="8:9">
      <c r="H6958" s="1358"/>
      <c r="I6958" s="1358"/>
    </row>
    <row r="6959" spans="8:9">
      <c r="H6959" s="1358"/>
      <c r="I6959" s="1358"/>
    </row>
    <row r="6960" spans="8:9">
      <c r="H6960" s="1358"/>
      <c r="I6960" s="1358"/>
    </row>
    <row r="6961" spans="8:9">
      <c r="H6961" s="1358"/>
      <c r="I6961" s="1358"/>
    </row>
    <row r="6962" spans="8:9">
      <c r="H6962" s="1358"/>
      <c r="I6962" s="1358"/>
    </row>
    <row r="6963" spans="8:9">
      <c r="H6963" s="1358"/>
      <c r="I6963" s="1358"/>
    </row>
    <row r="6964" spans="8:9">
      <c r="H6964" s="1358"/>
      <c r="I6964" s="1358"/>
    </row>
    <row r="6965" spans="8:9">
      <c r="H6965" s="1358"/>
      <c r="I6965" s="1358"/>
    </row>
    <row r="6966" spans="8:9">
      <c r="H6966" s="1358"/>
      <c r="I6966" s="1358"/>
    </row>
    <row r="6967" spans="8:9">
      <c r="H6967" s="1358"/>
      <c r="I6967" s="1358"/>
    </row>
    <row r="6968" spans="8:9">
      <c r="H6968" s="1358"/>
      <c r="I6968" s="1358"/>
    </row>
    <row r="6969" spans="8:9">
      <c r="H6969" s="1358"/>
      <c r="I6969" s="1358"/>
    </row>
    <row r="6970" spans="8:9">
      <c r="H6970" s="1358"/>
      <c r="I6970" s="1358"/>
    </row>
    <row r="6971" spans="8:9">
      <c r="H6971" s="1358"/>
      <c r="I6971" s="1358"/>
    </row>
    <row r="6972" spans="8:9">
      <c r="H6972" s="1358"/>
      <c r="I6972" s="1358"/>
    </row>
    <row r="6973" spans="8:9">
      <c r="H6973" s="1358"/>
      <c r="I6973" s="1358"/>
    </row>
    <row r="6974" spans="8:9">
      <c r="H6974" s="1358"/>
      <c r="I6974" s="1358"/>
    </row>
    <row r="6975" spans="8:9">
      <c r="H6975" s="1358"/>
      <c r="I6975" s="1358"/>
    </row>
    <row r="6976" spans="8:9">
      <c r="H6976" s="1358"/>
      <c r="I6976" s="1358"/>
    </row>
    <row r="6977" spans="8:9">
      <c r="H6977" s="1358"/>
      <c r="I6977" s="1358"/>
    </row>
    <row r="6978" spans="8:9">
      <c r="H6978" s="1358"/>
      <c r="I6978" s="1358"/>
    </row>
    <row r="6979" spans="8:9">
      <c r="H6979" s="1358"/>
      <c r="I6979" s="1358"/>
    </row>
    <row r="6980" spans="8:9">
      <c r="H6980" s="1358"/>
      <c r="I6980" s="1358"/>
    </row>
    <row r="6981" spans="8:9">
      <c r="H6981" s="1358"/>
      <c r="I6981" s="1358"/>
    </row>
    <row r="6982" spans="8:9">
      <c r="H6982" s="1358"/>
      <c r="I6982" s="1358"/>
    </row>
    <row r="6983" spans="8:9">
      <c r="H6983" s="1358"/>
      <c r="I6983" s="1358"/>
    </row>
    <row r="6984" spans="8:9">
      <c r="H6984" s="1358"/>
      <c r="I6984" s="1358"/>
    </row>
    <row r="6985" spans="8:9">
      <c r="H6985" s="1358"/>
      <c r="I6985" s="1358"/>
    </row>
    <row r="6986" spans="8:9">
      <c r="H6986" s="1358"/>
      <c r="I6986" s="1358"/>
    </row>
    <row r="6987" spans="8:9">
      <c r="H6987" s="1358"/>
      <c r="I6987" s="1358"/>
    </row>
    <row r="6988" spans="8:9">
      <c r="H6988" s="1358"/>
      <c r="I6988" s="1358"/>
    </row>
    <row r="6989" spans="8:9">
      <c r="H6989" s="1358"/>
      <c r="I6989" s="1358"/>
    </row>
    <row r="6990" spans="8:9">
      <c r="H6990" s="1358"/>
      <c r="I6990" s="1358"/>
    </row>
    <row r="6991" spans="8:9">
      <c r="H6991" s="1358"/>
      <c r="I6991" s="1358"/>
    </row>
    <row r="6992" spans="8:9">
      <c r="H6992" s="1358"/>
      <c r="I6992" s="1358"/>
    </row>
    <row r="6993" spans="8:9">
      <c r="H6993" s="1358"/>
      <c r="I6993" s="1358"/>
    </row>
    <row r="6994" spans="8:9">
      <c r="H6994" s="1358"/>
      <c r="I6994" s="1358"/>
    </row>
    <row r="6995" spans="8:9">
      <c r="H6995" s="1358"/>
      <c r="I6995" s="1358"/>
    </row>
    <row r="6996" spans="8:9">
      <c r="H6996" s="1358"/>
      <c r="I6996" s="1358"/>
    </row>
    <row r="6997" spans="8:9">
      <c r="H6997" s="1358"/>
      <c r="I6997" s="1358"/>
    </row>
    <row r="6998" spans="8:9">
      <c r="H6998" s="1358"/>
      <c r="I6998" s="1358"/>
    </row>
    <row r="6999" spans="8:9">
      <c r="H6999" s="1358"/>
      <c r="I6999" s="1358"/>
    </row>
    <row r="7000" spans="8:9">
      <c r="H7000" s="1358"/>
      <c r="I7000" s="1358"/>
    </row>
    <row r="7001" spans="8:9">
      <c r="H7001" s="1358"/>
      <c r="I7001" s="1358"/>
    </row>
    <row r="7002" spans="8:9">
      <c r="H7002" s="1358"/>
      <c r="I7002" s="1358"/>
    </row>
    <row r="7003" spans="8:9">
      <c r="H7003" s="1358"/>
      <c r="I7003" s="1358"/>
    </row>
    <row r="7004" spans="8:9">
      <c r="H7004" s="1358"/>
      <c r="I7004" s="1358"/>
    </row>
    <row r="7005" spans="8:9">
      <c r="H7005" s="1358"/>
      <c r="I7005" s="1358"/>
    </row>
    <row r="7006" spans="8:9">
      <c r="H7006" s="1358"/>
      <c r="I7006" s="1358"/>
    </row>
    <row r="7007" spans="8:9">
      <c r="H7007" s="1358"/>
      <c r="I7007" s="1358"/>
    </row>
    <row r="7008" spans="8:9">
      <c r="H7008" s="1358"/>
      <c r="I7008" s="1358"/>
    </row>
    <row r="7009" spans="8:9">
      <c r="H7009" s="1358"/>
      <c r="I7009" s="1358"/>
    </row>
    <row r="7010" spans="8:9">
      <c r="H7010" s="1358"/>
      <c r="I7010" s="1358"/>
    </row>
    <row r="7011" spans="8:9">
      <c r="H7011" s="1358"/>
      <c r="I7011" s="1358"/>
    </row>
    <row r="7012" spans="8:9">
      <c r="H7012" s="1358"/>
      <c r="I7012" s="1358"/>
    </row>
    <row r="7013" spans="8:9">
      <c r="H7013" s="1358"/>
      <c r="I7013" s="1358"/>
    </row>
    <row r="7014" spans="8:9">
      <c r="H7014" s="1358"/>
      <c r="I7014" s="1358"/>
    </row>
    <row r="7015" spans="8:9">
      <c r="H7015" s="1358"/>
      <c r="I7015" s="1358"/>
    </row>
    <row r="7016" spans="8:9">
      <c r="H7016" s="1358"/>
      <c r="I7016" s="1358"/>
    </row>
    <row r="7017" spans="8:9">
      <c r="H7017" s="1358"/>
      <c r="I7017" s="1358"/>
    </row>
    <row r="7018" spans="8:9">
      <c r="H7018" s="1358"/>
      <c r="I7018" s="1358"/>
    </row>
    <row r="7019" spans="8:9">
      <c r="H7019" s="1358"/>
      <c r="I7019" s="1358"/>
    </row>
    <row r="7020" spans="8:9">
      <c r="H7020" s="1358"/>
      <c r="I7020" s="1358"/>
    </row>
    <row r="7021" spans="8:9">
      <c r="H7021" s="1358"/>
      <c r="I7021" s="1358"/>
    </row>
    <row r="7022" spans="8:9">
      <c r="H7022" s="1358"/>
      <c r="I7022" s="1358"/>
    </row>
    <row r="7023" spans="8:9">
      <c r="H7023" s="1358"/>
      <c r="I7023" s="1358"/>
    </row>
    <row r="7024" spans="8:9">
      <c r="H7024" s="1358"/>
      <c r="I7024" s="1358"/>
    </row>
    <row r="7025" spans="8:9">
      <c r="H7025" s="1358"/>
      <c r="I7025" s="1358"/>
    </row>
    <row r="7026" spans="8:9">
      <c r="H7026" s="1358"/>
      <c r="I7026" s="1358"/>
    </row>
    <row r="7027" spans="8:9">
      <c r="H7027" s="1358"/>
      <c r="I7027" s="1358"/>
    </row>
    <row r="7028" spans="8:9">
      <c r="H7028" s="1358"/>
      <c r="I7028" s="1358"/>
    </row>
    <row r="7029" spans="8:9">
      <c r="H7029" s="1358"/>
      <c r="I7029" s="1358"/>
    </row>
    <row r="7030" spans="8:9">
      <c r="H7030" s="1358"/>
      <c r="I7030" s="1358"/>
    </row>
    <row r="7031" spans="8:9">
      <c r="H7031" s="1358"/>
      <c r="I7031" s="1358"/>
    </row>
    <row r="7032" spans="8:9">
      <c r="H7032" s="1358"/>
      <c r="I7032" s="1358"/>
    </row>
    <row r="7033" spans="8:9">
      <c r="H7033" s="1358"/>
      <c r="I7033" s="1358"/>
    </row>
    <row r="7034" spans="8:9">
      <c r="H7034" s="1358"/>
      <c r="I7034" s="1358"/>
    </row>
    <row r="7035" spans="8:9">
      <c r="H7035" s="1358"/>
      <c r="I7035" s="1358"/>
    </row>
    <row r="7036" spans="8:9">
      <c r="H7036" s="1358"/>
      <c r="I7036" s="1358"/>
    </row>
    <row r="7037" spans="8:9">
      <c r="H7037" s="1358"/>
      <c r="I7037" s="1358"/>
    </row>
    <row r="7038" spans="8:9">
      <c r="H7038" s="1358"/>
      <c r="I7038" s="1358"/>
    </row>
    <row r="7039" spans="8:9">
      <c r="H7039" s="1358"/>
      <c r="I7039" s="1358"/>
    </row>
    <row r="7040" spans="8:9">
      <c r="H7040" s="1358"/>
      <c r="I7040" s="1358"/>
    </row>
    <row r="7041" spans="8:9">
      <c r="H7041" s="1358"/>
      <c r="I7041" s="1358"/>
    </row>
    <row r="7042" spans="8:9">
      <c r="H7042" s="1358"/>
      <c r="I7042" s="1358"/>
    </row>
    <row r="7043" spans="8:9">
      <c r="H7043" s="1358"/>
      <c r="I7043" s="1358"/>
    </row>
    <row r="7044" spans="8:9">
      <c r="H7044" s="1358"/>
      <c r="I7044" s="1358"/>
    </row>
    <row r="7045" spans="8:9">
      <c r="H7045" s="1358"/>
      <c r="I7045" s="1358"/>
    </row>
    <row r="7046" spans="8:9">
      <c r="H7046" s="1358"/>
      <c r="I7046" s="1358"/>
    </row>
    <row r="7047" spans="8:9">
      <c r="H7047" s="1358"/>
      <c r="I7047" s="1358"/>
    </row>
    <row r="7048" spans="8:9">
      <c r="H7048" s="1358"/>
      <c r="I7048" s="1358"/>
    </row>
    <row r="7049" spans="8:9">
      <c r="H7049" s="1358"/>
      <c r="I7049" s="1358"/>
    </row>
    <row r="7050" spans="8:9">
      <c r="H7050" s="1358"/>
      <c r="I7050" s="1358"/>
    </row>
    <row r="7051" spans="8:9">
      <c r="H7051" s="1358"/>
      <c r="I7051" s="1358"/>
    </row>
    <row r="7052" spans="8:9">
      <c r="H7052" s="1358"/>
      <c r="I7052" s="1358"/>
    </row>
    <row r="7053" spans="8:9">
      <c r="H7053" s="1358"/>
      <c r="I7053" s="1358"/>
    </row>
    <row r="7054" spans="8:9">
      <c r="H7054" s="1358"/>
      <c r="I7054" s="1358"/>
    </row>
    <row r="7055" spans="8:9">
      <c r="H7055" s="1358"/>
      <c r="I7055" s="1358"/>
    </row>
    <row r="7056" spans="8:9">
      <c r="H7056" s="1358"/>
      <c r="I7056" s="1358"/>
    </row>
    <row r="7057" spans="8:9">
      <c r="H7057" s="1358"/>
      <c r="I7057" s="1358"/>
    </row>
    <row r="7058" spans="8:9">
      <c r="H7058" s="1358"/>
      <c r="I7058" s="1358"/>
    </row>
    <row r="7059" spans="8:9">
      <c r="H7059" s="1358"/>
      <c r="I7059" s="1358"/>
    </row>
    <row r="7060" spans="8:9">
      <c r="H7060" s="1358"/>
      <c r="I7060" s="1358"/>
    </row>
    <row r="7061" spans="8:9">
      <c r="H7061" s="1358"/>
      <c r="I7061" s="1358"/>
    </row>
    <row r="7062" spans="8:9">
      <c r="H7062" s="1358"/>
      <c r="I7062" s="1358"/>
    </row>
    <row r="7063" spans="8:9">
      <c r="H7063" s="1358"/>
      <c r="I7063" s="1358"/>
    </row>
    <row r="7064" spans="8:9">
      <c r="H7064" s="1358"/>
      <c r="I7064" s="1358"/>
    </row>
    <row r="7065" spans="8:9">
      <c r="H7065" s="1358"/>
      <c r="I7065" s="1358"/>
    </row>
    <row r="7066" spans="8:9">
      <c r="H7066" s="1358"/>
      <c r="I7066" s="1358"/>
    </row>
    <row r="7067" spans="8:9">
      <c r="H7067" s="1358"/>
      <c r="I7067" s="1358"/>
    </row>
    <row r="7068" spans="8:9">
      <c r="H7068" s="1358"/>
      <c r="I7068" s="1358"/>
    </row>
    <row r="7069" spans="8:9">
      <c r="H7069" s="1358"/>
      <c r="I7069" s="1358"/>
    </row>
    <row r="7070" spans="8:9">
      <c r="H7070" s="1358"/>
      <c r="I7070" s="1358"/>
    </row>
    <row r="7071" spans="8:9">
      <c r="H7071" s="1358"/>
      <c r="I7071" s="1358"/>
    </row>
    <row r="7072" spans="8:9">
      <c r="H7072" s="1358"/>
      <c r="I7072" s="1358"/>
    </row>
    <row r="7073" spans="8:9">
      <c r="H7073" s="1358"/>
      <c r="I7073" s="1358"/>
    </row>
    <row r="7074" spans="8:9">
      <c r="H7074" s="1358"/>
      <c r="I7074" s="1358"/>
    </row>
    <row r="7075" spans="8:9">
      <c r="H7075" s="1358"/>
      <c r="I7075" s="1358"/>
    </row>
    <row r="7076" spans="8:9">
      <c r="H7076" s="1358"/>
      <c r="I7076" s="1358"/>
    </row>
    <row r="7077" spans="8:9">
      <c r="H7077" s="1358"/>
      <c r="I7077" s="1358"/>
    </row>
    <row r="7078" spans="8:9">
      <c r="H7078" s="1358"/>
      <c r="I7078" s="1358"/>
    </row>
    <row r="7079" spans="8:9">
      <c r="H7079" s="1358"/>
      <c r="I7079" s="1358"/>
    </row>
    <row r="7080" spans="8:9">
      <c r="H7080" s="1358"/>
      <c r="I7080" s="1358"/>
    </row>
    <row r="7081" spans="8:9">
      <c r="H7081" s="1358"/>
      <c r="I7081" s="1358"/>
    </row>
    <row r="7082" spans="8:9">
      <c r="H7082" s="1358"/>
      <c r="I7082" s="1358"/>
    </row>
    <row r="7083" spans="8:9">
      <c r="H7083" s="1358"/>
      <c r="I7083" s="1358"/>
    </row>
    <row r="7084" spans="8:9">
      <c r="H7084" s="1358"/>
      <c r="I7084" s="1358"/>
    </row>
    <row r="7085" spans="8:9">
      <c r="H7085" s="1358"/>
      <c r="I7085" s="1358"/>
    </row>
    <row r="7086" spans="8:9">
      <c r="H7086" s="1358"/>
      <c r="I7086" s="1358"/>
    </row>
    <row r="7087" spans="8:9">
      <c r="H7087" s="1358"/>
      <c r="I7087" s="1358"/>
    </row>
    <row r="7088" spans="8:9">
      <c r="H7088" s="1358"/>
      <c r="I7088" s="1358"/>
    </row>
    <row r="7089" spans="8:9">
      <c r="H7089" s="1358"/>
      <c r="I7089" s="1358"/>
    </row>
    <row r="7090" spans="8:9">
      <c r="H7090" s="1358"/>
      <c r="I7090" s="1358"/>
    </row>
    <row r="7091" spans="8:9">
      <c r="H7091" s="1358"/>
      <c r="I7091" s="1358"/>
    </row>
    <row r="7092" spans="8:9">
      <c r="H7092" s="1358"/>
      <c r="I7092" s="1358"/>
    </row>
    <row r="7093" spans="8:9">
      <c r="H7093" s="1358"/>
      <c r="I7093" s="1358"/>
    </row>
    <row r="7094" spans="8:9">
      <c r="H7094" s="1358"/>
      <c r="I7094" s="1358"/>
    </row>
    <row r="7095" spans="8:9">
      <c r="H7095" s="1358"/>
      <c r="I7095" s="1358"/>
    </row>
    <row r="7096" spans="8:9">
      <c r="H7096" s="1358"/>
      <c r="I7096" s="1358"/>
    </row>
    <row r="7097" spans="8:9">
      <c r="H7097" s="1358"/>
      <c r="I7097" s="1358"/>
    </row>
    <row r="7098" spans="8:9">
      <c r="H7098" s="1358"/>
      <c r="I7098" s="1358"/>
    </row>
    <row r="7099" spans="8:9">
      <c r="H7099" s="1358"/>
      <c r="I7099" s="1358"/>
    </row>
    <row r="7100" spans="8:9">
      <c r="H7100" s="1358"/>
      <c r="I7100" s="1358"/>
    </row>
    <row r="7101" spans="8:9">
      <c r="H7101" s="1358"/>
      <c r="I7101" s="1358"/>
    </row>
    <row r="7102" spans="8:9">
      <c r="H7102" s="1358"/>
      <c r="I7102" s="1358"/>
    </row>
    <row r="7103" spans="8:9">
      <c r="H7103" s="1358"/>
      <c r="I7103" s="1358"/>
    </row>
    <row r="7104" spans="8:9">
      <c r="H7104" s="1358"/>
      <c r="I7104" s="1358"/>
    </row>
    <row r="7105" spans="8:9">
      <c r="H7105" s="1358"/>
      <c r="I7105" s="1358"/>
    </row>
    <row r="7106" spans="8:9">
      <c r="H7106" s="1358"/>
      <c r="I7106" s="1358"/>
    </row>
    <row r="7107" spans="8:9">
      <c r="H7107" s="1358"/>
      <c r="I7107" s="1358"/>
    </row>
    <row r="7108" spans="8:9">
      <c r="H7108" s="1358"/>
      <c r="I7108" s="1358"/>
    </row>
    <row r="7109" spans="8:9">
      <c r="H7109" s="1358"/>
      <c r="I7109" s="1358"/>
    </row>
    <row r="7110" spans="8:9">
      <c r="H7110" s="1358"/>
      <c r="I7110" s="1358"/>
    </row>
    <row r="7111" spans="8:9">
      <c r="H7111" s="1358"/>
      <c r="I7111" s="1358"/>
    </row>
    <row r="7112" spans="8:9">
      <c r="H7112" s="1358"/>
      <c r="I7112" s="1358"/>
    </row>
    <row r="7113" spans="8:9">
      <c r="H7113" s="1358"/>
      <c r="I7113" s="1358"/>
    </row>
    <row r="7114" spans="8:9">
      <c r="H7114" s="1358"/>
      <c r="I7114" s="1358"/>
    </row>
    <row r="7115" spans="8:9">
      <c r="H7115" s="1358"/>
      <c r="I7115" s="1358"/>
    </row>
    <row r="7116" spans="8:9">
      <c r="H7116" s="1358"/>
      <c r="I7116" s="1358"/>
    </row>
    <row r="7117" spans="8:9">
      <c r="H7117" s="1358"/>
      <c r="I7117" s="1358"/>
    </row>
    <row r="7118" spans="8:9">
      <c r="H7118" s="1358"/>
      <c r="I7118" s="1358"/>
    </row>
    <row r="7119" spans="8:9">
      <c r="H7119" s="1358"/>
      <c r="I7119" s="1358"/>
    </row>
    <row r="7120" spans="8:9">
      <c r="H7120" s="1358"/>
      <c r="I7120" s="1358"/>
    </row>
    <row r="7121" spans="8:9">
      <c r="H7121" s="1358"/>
      <c r="I7121" s="1358"/>
    </row>
    <row r="7122" spans="8:9">
      <c r="H7122" s="1358"/>
      <c r="I7122" s="1358"/>
    </row>
    <row r="7123" spans="8:9">
      <c r="H7123" s="1358"/>
      <c r="I7123" s="1358"/>
    </row>
    <row r="7124" spans="8:9">
      <c r="H7124" s="1358"/>
      <c r="I7124" s="1358"/>
    </row>
    <row r="7125" spans="8:9">
      <c r="H7125" s="1358"/>
      <c r="I7125" s="1358"/>
    </row>
    <row r="7126" spans="8:9">
      <c r="H7126" s="1358"/>
      <c r="I7126" s="1358"/>
    </row>
    <row r="7127" spans="8:9">
      <c r="H7127" s="1358"/>
      <c r="I7127" s="1358"/>
    </row>
    <row r="7128" spans="8:9">
      <c r="H7128" s="1358"/>
      <c r="I7128" s="1358"/>
    </row>
    <row r="7129" spans="8:9">
      <c r="H7129" s="1358"/>
      <c r="I7129" s="1358"/>
    </row>
    <row r="7130" spans="8:9">
      <c r="H7130" s="1358"/>
      <c r="I7130" s="1358"/>
    </row>
    <row r="7131" spans="8:9">
      <c r="H7131" s="1358"/>
      <c r="I7131" s="1358"/>
    </row>
    <row r="7132" spans="8:9">
      <c r="H7132" s="1358"/>
      <c r="I7132" s="1358"/>
    </row>
    <row r="7133" spans="8:9">
      <c r="H7133" s="1358"/>
      <c r="I7133" s="1358"/>
    </row>
    <row r="7134" spans="8:9">
      <c r="H7134" s="1358"/>
      <c r="I7134" s="1358"/>
    </row>
    <row r="7135" spans="8:9">
      <c r="H7135" s="1358"/>
      <c r="I7135" s="1358"/>
    </row>
    <row r="7136" spans="8:9">
      <c r="H7136" s="1358"/>
      <c r="I7136" s="1358"/>
    </row>
    <row r="7137" spans="8:9">
      <c r="H7137" s="1358"/>
      <c r="I7137" s="1358"/>
    </row>
    <row r="7138" spans="8:9">
      <c r="H7138" s="1358"/>
      <c r="I7138" s="1358"/>
    </row>
    <row r="7139" spans="8:9">
      <c r="H7139" s="1358"/>
      <c r="I7139" s="1358"/>
    </row>
    <row r="7140" spans="8:9">
      <c r="H7140" s="1358"/>
      <c r="I7140" s="1358"/>
    </row>
    <row r="7141" spans="8:9">
      <c r="H7141" s="1358"/>
      <c r="I7141" s="1358"/>
    </row>
    <row r="7142" spans="8:9">
      <c r="H7142" s="1358"/>
      <c r="I7142" s="1358"/>
    </row>
    <row r="7143" spans="8:9">
      <c r="H7143" s="1358"/>
      <c r="I7143" s="1358"/>
    </row>
    <row r="7144" spans="8:9">
      <c r="H7144" s="1358"/>
      <c r="I7144" s="1358"/>
    </row>
    <row r="7145" spans="8:9">
      <c r="H7145" s="1358"/>
      <c r="I7145" s="1358"/>
    </row>
    <row r="7146" spans="8:9">
      <c r="H7146" s="1358"/>
      <c r="I7146" s="1358"/>
    </row>
    <row r="7147" spans="8:9">
      <c r="H7147" s="1358"/>
      <c r="I7147" s="1358"/>
    </row>
    <row r="7148" spans="8:9">
      <c r="H7148" s="1358"/>
      <c r="I7148" s="1358"/>
    </row>
    <row r="7149" spans="8:9">
      <c r="H7149" s="1358"/>
      <c r="I7149" s="1358"/>
    </row>
    <row r="7150" spans="8:9">
      <c r="H7150" s="1358"/>
      <c r="I7150" s="1358"/>
    </row>
    <row r="7151" spans="8:9">
      <c r="H7151" s="1358"/>
      <c r="I7151" s="1358"/>
    </row>
    <row r="7152" spans="8:9">
      <c r="H7152" s="1358"/>
      <c r="I7152" s="1358"/>
    </row>
    <row r="7153" spans="8:9">
      <c r="H7153" s="1358"/>
      <c r="I7153" s="1358"/>
    </row>
    <row r="7154" spans="8:9">
      <c r="H7154" s="1358"/>
      <c r="I7154" s="1358"/>
    </row>
    <row r="7155" spans="8:9">
      <c r="H7155" s="1358"/>
      <c r="I7155" s="1358"/>
    </row>
    <row r="7156" spans="8:9">
      <c r="H7156" s="1358"/>
      <c r="I7156" s="1358"/>
    </row>
    <row r="7157" spans="8:9">
      <c r="H7157" s="1358"/>
      <c r="I7157" s="1358"/>
    </row>
    <row r="7158" spans="8:9">
      <c r="H7158" s="1358"/>
      <c r="I7158" s="1358"/>
    </row>
    <row r="7159" spans="8:9">
      <c r="H7159" s="1358"/>
      <c r="I7159" s="1358"/>
    </row>
    <row r="7160" spans="8:9">
      <c r="H7160" s="1358"/>
      <c r="I7160" s="1358"/>
    </row>
    <row r="7161" spans="8:9">
      <c r="H7161" s="1358"/>
      <c r="I7161" s="1358"/>
    </row>
    <row r="7162" spans="8:9">
      <c r="H7162" s="1358"/>
      <c r="I7162" s="1358"/>
    </row>
    <row r="7163" spans="8:9">
      <c r="H7163" s="1358"/>
      <c r="I7163" s="1358"/>
    </row>
    <row r="7164" spans="8:9">
      <c r="H7164" s="1358"/>
      <c r="I7164" s="1358"/>
    </row>
    <row r="7165" spans="8:9">
      <c r="H7165" s="1358"/>
      <c r="I7165" s="1358"/>
    </row>
    <row r="7166" spans="8:9">
      <c r="H7166" s="1358"/>
      <c r="I7166" s="1358"/>
    </row>
    <row r="7167" spans="8:9">
      <c r="H7167" s="1358"/>
      <c r="I7167" s="1358"/>
    </row>
    <row r="7168" spans="8:9">
      <c r="H7168" s="1358"/>
      <c r="I7168" s="1358"/>
    </row>
    <row r="7169" spans="8:9">
      <c r="H7169" s="1358"/>
      <c r="I7169" s="1358"/>
    </row>
    <row r="7170" spans="8:9">
      <c r="H7170" s="1358"/>
      <c r="I7170" s="1358"/>
    </row>
    <row r="7171" spans="8:9">
      <c r="H7171" s="1358"/>
      <c r="I7171" s="1358"/>
    </row>
    <row r="7172" spans="8:9">
      <c r="H7172" s="1358"/>
      <c r="I7172" s="1358"/>
    </row>
    <row r="7173" spans="8:9">
      <c r="H7173" s="1358"/>
      <c r="I7173" s="1358"/>
    </row>
    <row r="7174" spans="8:9">
      <c r="H7174" s="1358"/>
      <c r="I7174" s="1358"/>
    </row>
    <row r="7175" spans="8:9">
      <c r="H7175" s="1358"/>
      <c r="I7175" s="1358"/>
    </row>
    <row r="7176" spans="8:9">
      <c r="H7176" s="1358"/>
      <c r="I7176" s="1358"/>
    </row>
    <row r="7177" spans="8:9">
      <c r="H7177" s="1358"/>
      <c r="I7177" s="1358"/>
    </row>
    <row r="7178" spans="8:9">
      <c r="H7178" s="1358"/>
      <c r="I7178" s="1358"/>
    </row>
    <row r="7179" spans="8:9">
      <c r="H7179" s="1358"/>
      <c r="I7179" s="1358"/>
    </row>
    <row r="7180" spans="8:9">
      <c r="H7180" s="1358"/>
      <c r="I7180" s="1358"/>
    </row>
    <row r="7181" spans="8:9">
      <c r="H7181" s="1358"/>
      <c r="I7181" s="1358"/>
    </row>
    <row r="7182" spans="8:9">
      <c r="H7182" s="1358"/>
      <c r="I7182" s="1358"/>
    </row>
    <row r="7183" spans="8:9">
      <c r="H7183" s="1358"/>
      <c r="I7183" s="1358"/>
    </row>
    <row r="7184" spans="8:9">
      <c r="H7184" s="1358"/>
      <c r="I7184" s="1358"/>
    </row>
    <row r="7185" spans="8:9">
      <c r="H7185" s="1358"/>
      <c r="I7185" s="1358"/>
    </row>
    <row r="7186" spans="8:9">
      <c r="H7186" s="1358"/>
      <c r="I7186" s="1358"/>
    </row>
    <row r="7187" spans="8:9">
      <c r="H7187" s="1358"/>
      <c r="I7187" s="1358"/>
    </row>
    <row r="7188" spans="8:9">
      <c r="H7188" s="1358"/>
      <c r="I7188" s="1358"/>
    </row>
    <row r="7189" spans="8:9">
      <c r="H7189" s="1358"/>
      <c r="I7189" s="1358"/>
    </row>
    <row r="7190" spans="8:9">
      <c r="H7190" s="1358"/>
      <c r="I7190" s="1358"/>
    </row>
    <row r="7191" spans="8:9">
      <c r="H7191" s="1358"/>
      <c r="I7191" s="1358"/>
    </row>
    <row r="7192" spans="8:9">
      <c r="H7192" s="1358"/>
      <c r="I7192" s="1358"/>
    </row>
    <row r="7193" spans="8:9">
      <c r="H7193" s="1358"/>
      <c r="I7193" s="1358"/>
    </row>
    <row r="7194" spans="8:9">
      <c r="H7194" s="1358"/>
      <c r="I7194" s="1358"/>
    </row>
    <row r="7195" spans="8:9">
      <c r="H7195" s="1358"/>
      <c r="I7195" s="1358"/>
    </row>
    <row r="7196" spans="8:9">
      <c r="H7196" s="1358"/>
      <c r="I7196" s="1358"/>
    </row>
    <row r="7197" spans="8:9">
      <c r="H7197" s="1358"/>
      <c r="I7197" s="1358"/>
    </row>
    <row r="7198" spans="8:9">
      <c r="H7198" s="1358"/>
      <c r="I7198" s="1358"/>
    </row>
    <row r="7199" spans="8:9">
      <c r="H7199" s="1358"/>
      <c r="I7199" s="1358"/>
    </row>
    <row r="7200" spans="8:9">
      <c r="H7200" s="1358"/>
      <c r="I7200" s="1358"/>
    </row>
    <row r="7201" spans="8:9">
      <c r="H7201" s="1358"/>
      <c r="I7201" s="1358"/>
    </row>
    <row r="7202" spans="8:9">
      <c r="H7202" s="1358"/>
      <c r="I7202" s="1358"/>
    </row>
    <row r="7203" spans="8:9">
      <c r="H7203" s="1358"/>
      <c r="I7203" s="1358"/>
    </row>
    <row r="7204" spans="8:9">
      <c r="H7204" s="1358"/>
      <c r="I7204" s="1358"/>
    </row>
    <row r="7205" spans="8:9">
      <c r="H7205" s="1358"/>
      <c r="I7205" s="1358"/>
    </row>
    <row r="7206" spans="8:9">
      <c r="H7206" s="1358"/>
      <c r="I7206" s="1358"/>
    </row>
    <row r="7207" spans="8:9">
      <c r="H7207" s="1358"/>
      <c r="I7207" s="1358"/>
    </row>
    <row r="7208" spans="8:9">
      <c r="H7208" s="1358"/>
      <c r="I7208" s="1358"/>
    </row>
    <row r="7209" spans="8:9">
      <c r="H7209" s="1358"/>
      <c r="I7209" s="1358"/>
    </row>
    <row r="7210" spans="8:9">
      <c r="H7210" s="1358"/>
      <c r="I7210" s="1358"/>
    </row>
    <row r="7211" spans="8:9">
      <c r="H7211" s="1358"/>
      <c r="I7211" s="1358"/>
    </row>
    <row r="7212" spans="8:9">
      <c r="H7212" s="1358"/>
      <c r="I7212" s="1358"/>
    </row>
    <row r="7213" spans="8:9">
      <c r="H7213" s="1358"/>
      <c r="I7213" s="1358"/>
    </row>
    <row r="7214" spans="8:9">
      <c r="H7214" s="1358"/>
      <c r="I7214" s="1358"/>
    </row>
    <row r="7215" spans="8:9">
      <c r="H7215" s="1358"/>
      <c r="I7215" s="1358"/>
    </row>
    <row r="7216" spans="8:9">
      <c r="H7216" s="1358"/>
      <c r="I7216" s="1358"/>
    </row>
    <row r="7217" spans="8:9">
      <c r="H7217" s="1358"/>
      <c r="I7217" s="1358"/>
    </row>
    <row r="7218" spans="8:9">
      <c r="H7218" s="1358"/>
      <c r="I7218" s="1358"/>
    </row>
    <row r="7219" spans="8:9">
      <c r="H7219" s="1358"/>
      <c r="I7219" s="1358"/>
    </row>
    <row r="7220" spans="8:9">
      <c r="H7220" s="1358"/>
      <c r="I7220" s="1358"/>
    </row>
    <row r="7221" spans="8:9">
      <c r="H7221" s="1358"/>
      <c r="I7221" s="1358"/>
    </row>
    <row r="7222" spans="8:9">
      <c r="H7222" s="1358"/>
      <c r="I7222" s="1358"/>
    </row>
    <row r="7223" spans="8:9">
      <c r="H7223" s="1358"/>
      <c r="I7223" s="1358"/>
    </row>
    <row r="7224" spans="8:9">
      <c r="H7224" s="1358"/>
      <c r="I7224" s="1358"/>
    </row>
    <row r="7225" spans="8:9">
      <c r="H7225" s="1358"/>
      <c r="I7225" s="1358"/>
    </row>
    <row r="7226" spans="8:9">
      <c r="H7226" s="1358"/>
      <c r="I7226" s="1358"/>
    </row>
    <row r="7227" spans="8:9">
      <c r="H7227" s="1358"/>
      <c r="I7227" s="1358"/>
    </row>
    <row r="7228" spans="8:9">
      <c r="H7228" s="1358"/>
      <c r="I7228" s="1358"/>
    </row>
    <row r="7229" spans="8:9">
      <c r="H7229" s="1358"/>
      <c r="I7229" s="1358"/>
    </row>
    <row r="7230" spans="8:9">
      <c r="H7230" s="1358"/>
      <c r="I7230" s="1358"/>
    </row>
    <row r="7231" spans="8:9">
      <c r="H7231" s="1358"/>
      <c r="I7231" s="1358"/>
    </row>
    <row r="7232" spans="8:9">
      <c r="H7232" s="1358"/>
      <c r="I7232" s="1358"/>
    </row>
    <row r="7233" spans="8:9">
      <c r="H7233" s="1358"/>
      <c r="I7233" s="1358"/>
    </row>
    <row r="7234" spans="8:9">
      <c r="H7234" s="1358"/>
      <c r="I7234" s="1358"/>
    </row>
    <row r="7235" spans="8:9">
      <c r="H7235" s="1358"/>
      <c r="I7235" s="1358"/>
    </row>
    <row r="7236" spans="8:9">
      <c r="H7236" s="1358"/>
      <c r="I7236" s="1358"/>
    </row>
    <row r="7237" spans="8:9">
      <c r="H7237" s="1358"/>
      <c r="I7237" s="1358"/>
    </row>
    <row r="7238" spans="8:9">
      <c r="H7238" s="1358"/>
      <c r="I7238" s="1358"/>
    </row>
    <row r="7239" spans="8:9">
      <c r="H7239" s="1358"/>
      <c r="I7239" s="1358"/>
    </row>
    <row r="7240" spans="8:9">
      <c r="H7240" s="1358"/>
      <c r="I7240" s="1358"/>
    </row>
    <row r="7241" spans="8:9">
      <c r="H7241" s="1358"/>
      <c r="I7241" s="1358"/>
    </row>
    <row r="7242" spans="8:9">
      <c r="H7242" s="1358"/>
      <c r="I7242" s="1358"/>
    </row>
    <row r="7243" spans="8:9">
      <c r="H7243" s="1358"/>
      <c r="I7243" s="1358"/>
    </row>
    <row r="7244" spans="8:9">
      <c r="H7244" s="1358"/>
      <c r="I7244" s="1358"/>
    </row>
    <row r="7245" spans="8:9">
      <c r="H7245" s="1358"/>
      <c r="I7245" s="1358"/>
    </row>
    <row r="7246" spans="8:9">
      <c r="H7246" s="1358"/>
      <c r="I7246" s="1358"/>
    </row>
    <row r="7247" spans="8:9">
      <c r="H7247" s="1358"/>
      <c r="I7247" s="1358"/>
    </row>
    <row r="7248" spans="8:9">
      <c r="H7248" s="1358"/>
      <c r="I7248" s="1358"/>
    </row>
    <row r="7249" spans="8:9">
      <c r="H7249" s="1358"/>
      <c r="I7249" s="1358"/>
    </row>
    <row r="7250" spans="8:9">
      <c r="H7250" s="1358"/>
      <c r="I7250" s="1358"/>
    </row>
    <row r="7251" spans="8:9">
      <c r="H7251" s="1358"/>
      <c r="I7251" s="1358"/>
    </row>
    <row r="7252" spans="8:9">
      <c r="H7252" s="1358"/>
      <c r="I7252" s="1358"/>
    </row>
    <row r="7253" spans="8:9">
      <c r="H7253" s="1358"/>
      <c r="I7253" s="1358"/>
    </row>
    <row r="7254" spans="8:9">
      <c r="H7254" s="1358"/>
      <c r="I7254" s="1358"/>
    </row>
    <row r="7255" spans="8:9">
      <c r="H7255" s="1358"/>
      <c r="I7255" s="1358"/>
    </row>
    <row r="7256" spans="8:9">
      <c r="H7256" s="1358"/>
      <c r="I7256" s="1358"/>
    </row>
    <row r="7257" spans="8:9">
      <c r="H7257" s="1358"/>
      <c r="I7257" s="1358"/>
    </row>
    <row r="7258" spans="8:9">
      <c r="H7258" s="1358"/>
      <c r="I7258" s="1358"/>
    </row>
    <row r="7259" spans="8:9">
      <c r="H7259" s="1358"/>
      <c r="I7259" s="1358"/>
    </row>
    <row r="7260" spans="8:9">
      <c r="H7260" s="1358"/>
      <c r="I7260" s="1358"/>
    </row>
    <row r="7261" spans="8:9">
      <c r="H7261" s="1358"/>
      <c r="I7261" s="1358"/>
    </row>
    <row r="7262" spans="8:9">
      <c r="H7262" s="1358"/>
      <c r="I7262" s="1358"/>
    </row>
    <row r="7263" spans="8:9">
      <c r="H7263" s="1358"/>
      <c r="I7263" s="1358"/>
    </row>
    <row r="7264" spans="8:9">
      <c r="H7264" s="1358"/>
      <c r="I7264" s="1358"/>
    </row>
    <row r="7265" spans="8:9">
      <c r="H7265" s="1358"/>
      <c r="I7265" s="1358"/>
    </row>
    <row r="7266" spans="8:9">
      <c r="H7266" s="1358"/>
      <c r="I7266" s="1358"/>
    </row>
    <row r="7267" spans="8:9">
      <c r="H7267" s="1358"/>
      <c r="I7267" s="1358"/>
    </row>
    <row r="7268" spans="8:9">
      <c r="H7268" s="1358"/>
      <c r="I7268" s="1358"/>
    </row>
    <row r="7269" spans="8:9">
      <c r="H7269" s="1358"/>
      <c r="I7269" s="1358"/>
    </row>
    <row r="7270" spans="8:9">
      <c r="H7270" s="1358"/>
      <c r="I7270" s="1358"/>
    </row>
    <row r="7271" spans="8:9">
      <c r="H7271" s="1358"/>
      <c r="I7271" s="1358"/>
    </row>
    <row r="7272" spans="8:9">
      <c r="H7272" s="1358"/>
      <c r="I7272" s="1358"/>
    </row>
    <row r="7273" spans="8:9">
      <c r="H7273" s="1358"/>
      <c r="I7273" s="1358"/>
    </row>
    <row r="7274" spans="8:9">
      <c r="H7274" s="1358"/>
      <c r="I7274" s="1358"/>
    </row>
    <row r="7275" spans="8:9">
      <c r="H7275" s="1358"/>
      <c r="I7275" s="1358"/>
    </row>
    <row r="7276" spans="8:9">
      <c r="H7276" s="1358"/>
      <c r="I7276" s="1358"/>
    </row>
    <row r="7277" spans="8:9">
      <c r="H7277" s="1358"/>
      <c r="I7277" s="1358"/>
    </row>
    <row r="7278" spans="8:9">
      <c r="H7278" s="1358"/>
      <c r="I7278" s="1358"/>
    </row>
    <row r="7279" spans="8:9">
      <c r="H7279" s="1358"/>
      <c r="I7279" s="1358"/>
    </row>
    <row r="7280" spans="8:9">
      <c r="H7280" s="1358"/>
      <c r="I7280" s="1358"/>
    </row>
    <row r="7281" spans="8:9">
      <c r="H7281" s="1358"/>
      <c r="I7281" s="1358"/>
    </row>
    <row r="7282" spans="8:9">
      <c r="H7282" s="1358"/>
      <c r="I7282" s="1358"/>
    </row>
    <row r="7283" spans="8:9">
      <c r="H7283" s="1358"/>
      <c r="I7283" s="1358"/>
    </row>
    <row r="7284" spans="8:9">
      <c r="H7284" s="1358"/>
      <c r="I7284" s="1358"/>
    </row>
    <row r="7285" spans="8:9">
      <c r="H7285" s="1358"/>
      <c r="I7285" s="1358"/>
    </row>
    <row r="7286" spans="8:9">
      <c r="H7286" s="1358"/>
      <c r="I7286" s="1358"/>
    </row>
    <row r="7287" spans="8:9">
      <c r="H7287" s="1358"/>
      <c r="I7287" s="1358"/>
    </row>
    <row r="7288" spans="8:9">
      <c r="H7288" s="1358"/>
      <c r="I7288" s="1358"/>
    </row>
    <row r="7289" spans="8:9">
      <c r="H7289" s="1358"/>
      <c r="I7289" s="1358"/>
    </row>
    <row r="7290" spans="8:9">
      <c r="H7290" s="1358"/>
      <c r="I7290" s="1358"/>
    </row>
    <row r="7291" spans="8:9">
      <c r="H7291" s="1358"/>
      <c r="I7291" s="1358"/>
    </row>
    <row r="7292" spans="8:9">
      <c r="H7292" s="1358"/>
      <c r="I7292" s="1358"/>
    </row>
    <row r="7293" spans="8:9">
      <c r="H7293" s="1358"/>
      <c r="I7293" s="1358"/>
    </row>
    <row r="7294" spans="8:9">
      <c r="H7294" s="1358"/>
      <c r="I7294" s="1358"/>
    </row>
    <row r="7295" spans="8:9">
      <c r="H7295" s="1358"/>
      <c r="I7295" s="1358"/>
    </row>
    <row r="7296" spans="8:9">
      <c r="H7296" s="1358"/>
      <c r="I7296" s="1358"/>
    </row>
    <row r="7297" spans="8:9">
      <c r="H7297" s="1358"/>
      <c r="I7297" s="1358"/>
    </row>
    <row r="7298" spans="8:9">
      <c r="H7298" s="1358"/>
      <c r="I7298" s="1358"/>
    </row>
    <row r="7299" spans="8:9">
      <c r="H7299" s="1358"/>
      <c r="I7299" s="1358"/>
    </row>
    <row r="7300" spans="8:9">
      <c r="H7300" s="1358"/>
      <c r="I7300" s="1358"/>
    </row>
    <row r="7301" spans="8:9">
      <c r="H7301" s="1358"/>
      <c r="I7301" s="1358"/>
    </row>
    <row r="7302" spans="8:9">
      <c r="H7302" s="1358"/>
      <c r="I7302" s="1358"/>
    </row>
    <row r="7303" spans="8:9">
      <c r="H7303" s="1358"/>
      <c r="I7303" s="1358"/>
    </row>
    <row r="7304" spans="8:9">
      <c r="H7304" s="1358"/>
      <c r="I7304" s="1358"/>
    </row>
    <row r="7305" spans="8:9">
      <c r="H7305" s="1358"/>
      <c r="I7305" s="1358"/>
    </row>
    <row r="7306" spans="8:9">
      <c r="H7306" s="1358"/>
      <c r="I7306" s="1358"/>
    </row>
    <row r="7307" spans="8:9">
      <c r="H7307" s="1358"/>
      <c r="I7307" s="1358"/>
    </row>
    <row r="7308" spans="8:9">
      <c r="H7308" s="1358"/>
      <c r="I7308" s="1358"/>
    </row>
    <row r="7309" spans="8:9">
      <c r="H7309" s="1358"/>
      <c r="I7309" s="1358"/>
    </row>
    <row r="7310" spans="8:9">
      <c r="H7310" s="1358"/>
      <c r="I7310" s="1358"/>
    </row>
    <row r="7311" spans="8:9">
      <c r="H7311" s="1358"/>
      <c r="I7311" s="1358"/>
    </row>
    <row r="7312" spans="8:9">
      <c r="H7312" s="1358"/>
      <c r="I7312" s="1358"/>
    </row>
    <row r="7313" spans="8:9">
      <c r="H7313" s="1358"/>
      <c r="I7313" s="1358"/>
    </row>
    <row r="7314" spans="8:9">
      <c r="H7314" s="1358"/>
      <c r="I7314" s="1358"/>
    </row>
    <row r="7315" spans="8:9">
      <c r="H7315" s="1358"/>
      <c r="I7315" s="1358"/>
    </row>
    <row r="7316" spans="8:9">
      <c r="H7316" s="1358"/>
      <c r="I7316" s="1358"/>
    </row>
    <row r="7317" spans="8:9">
      <c r="H7317" s="1358"/>
      <c r="I7317" s="1358"/>
    </row>
    <row r="7318" spans="8:9">
      <c r="H7318" s="1358"/>
      <c r="I7318" s="1358"/>
    </row>
    <row r="7319" spans="8:9">
      <c r="H7319" s="1358"/>
      <c r="I7319" s="1358"/>
    </row>
    <row r="7320" spans="8:9">
      <c r="H7320" s="1358"/>
      <c r="I7320" s="1358"/>
    </row>
    <row r="7321" spans="8:9">
      <c r="H7321" s="1358"/>
      <c r="I7321" s="1358"/>
    </row>
    <row r="7322" spans="8:9">
      <c r="H7322" s="1358"/>
      <c r="I7322" s="1358"/>
    </row>
    <row r="7323" spans="8:9">
      <c r="H7323" s="1358"/>
      <c r="I7323" s="1358"/>
    </row>
    <row r="7324" spans="8:9">
      <c r="H7324" s="1358"/>
      <c r="I7324" s="1358"/>
    </row>
    <row r="7325" spans="8:9">
      <c r="H7325" s="1358"/>
      <c r="I7325" s="1358"/>
    </row>
    <row r="7326" spans="8:9">
      <c r="H7326" s="1358"/>
      <c r="I7326" s="1358"/>
    </row>
    <row r="7327" spans="8:9">
      <c r="H7327" s="1358"/>
      <c r="I7327" s="1358"/>
    </row>
    <row r="7328" spans="8:9">
      <c r="H7328" s="1358"/>
      <c r="I7328" s="1358"/>
    </row>
    <row r="7329" spans="8:9">
      <c r="H7329" s="1358"/>
      <c r="I7329" s="1358"/>
    </row>
    <row r="7330" spans="8:9">
      <c r="H7330" s="1358"/>
      <c r="I7330" s="1358"/>
    </row>
    <row r="7331" spans="8:9">
      <c r="H7331" s="1358"/>
      <c r="I7331" s="1358"/>
    </row>
    <row r="7332" spans="8:9">
      <c r="H7332" s="1358"/>
      <c r="I7332" s="1358"/>
    </row>
    <row r="7333" spans="8:9">
      <c r="H7333" s="1358"/>
      <c r="I7333" s="1358"/>
    </row>
    <row r="7334" spans="8:9">
      <c r="H7334" s="1358"/>
      <c r="I7334" s="1358"/>
    </row>
    <row r="7335" spans="8:9">
      <c r="H7335" s="1358"/>
      <c r="I7335" s="1358"/>
    </row>
    <row r="7336" spans="8:9">
      <c r="H7336" s="1358"/>
      <c r="I7336" s="1358"/>
    </row>
    <row r="7337" spans="8:9">
      <c r="H7337" s="1358"/>
      <c r="I7337" s="1358"/>
    </row>
    <row r="7338" spans="8:9">
      <c r="H7338" s="1358"/>
      <c r="I7338" s="1358"/>
    </row>
    <row r="7339" spans="8:9">
      <c r="H7339" s="1358"/>
      <c r="I7339" s="1358"/>
    </row>
    <row r="7340" spans="8:9">
      <c r="H7340" s="1358"/>
      <c r="I7340" s="1358"/>
    </row>
    <row r="7341" spans="8:9">
      <c r="H7341" s="1358"/>
      <c r="I7341" s="1358"/>
    </row>
    <row r="7342" spans="8:9">
      <c r="H7342" s="1358"/>
      <c r="I7342" s="1358"/>
    </row>
    <row r="7343" spans="8:9">
      <c r="H7343" s="1358"/>
      <c r="I7343" s="1358"/>
    </row>
    <row r="7344" spans="8:9">
      <c r="H7344" s="1358"/>
      <c r="I7344" s="1358"/>
    </row>
    <row r="7345" spans="8:9">
      <c r="H7345" s="1358"/>
      <c r="I7345" s="1358"/>
    </row>
    <row r="7346" spans="8:9">
      <c r="H7346" s="1358"/>
      <c r="I7346" s="1358"/>
    </row>
    <row r="7347" spans="8:9">
      <c r="H7347" s="1358"/>
      <c r="I7347" s="1358"/>
    </row>
    <row r="7348" spans="8:9">
      <c r="H7348" s="1358"/>
      <c r="I7348" s="1358"/>
    </row>
    <row r="7349" spans="8:9">
      <c r="H7349" s="1358"/>
      <c r="I7349" s="1358"/>
    </row>
    <row r="7350" spans="8:9">
      <c r="H7350" s="1358"/>
      <c r="I7350" s="1358"/>
    </row>
    <row r="7351" spans="8:9">
      <c r="H7351" s="1358"/>
      <c r="I7351" s="1358"/>
    </row>
    <row r="7352" spans="8:9">
      <c r="H7352" s="1358"/>
      <c r="I7352" s="1358"/>
    </row>
    <row r="7353" spans="8:9">
      <c r="H7353" s="1358"/>
      <c r="I7353" s="1358"/>
    </row>
    <row r="7354" spans="8:9">
      <c r="H7354" s="1358"/>
      <c r="I7354" s="1358"/>
    </row>
    <row r="7355" spans="8:9">
      <c r="H7355" s="1358"/>
      <c r="I7355" s="1358"/>
    </row>
    <row r="7356" spans="8:9">
      <c r="H7356" s="1358"/>
      <c r="I7356" s="1358"/>
    </row>
    <row r="7357" spans="8:9">
      <c r="H7357" s="1358"/>
      <c r="I7357" s="1358"/>
    </row>
    <row r="7358" spans="8:9">
      <c r="H7358" s="1358"/>
      <c r="I7358" s="1358"/>
    </row>
    <row r="7359" spans="8:9">
      <c r="H7359" s="1358"/>
      <c r="I7359" s="1358"/>
    </row>
    <row r="7360" spans="8:9">
      <c r="H7360" s="1358"/>
      <c r="I7360" s="1358"/>
    </row>
    <row r="7361" spans="8:9">
      <c r="H7361" s="1358"/>
      <c r="I7361" s="1358"/>
    </row>
    <row r="7362" spans="8:9">
      <c r="H7362" s="1358"/>
      <c r="I7362" s="1358"/>
    </row>
    <row r="7363" spans="8:9">
      <c r="H7363" s="1358"/>
      <c r="I7363" s="1358"/>
    </row>
    <row r="7364" spans="8:9">
      <c r="H7364" s="1358"/>
      <c r="I7364" s="1358"/>
    </row>
    <row r="7365" spans="8:9">
      <c r="H7365" s="1358"/>
      <c r="I7365" s="1358"/>
    </row>
    <row r="7366" spans="8:9">
      <c r="H7366" s="1358"/>
      <c r="I7366" s="1358"/>
    </row>
    <row r="7367" spans="8:9">
      <c r="H7367" s="1358"/>
      <c r="I7367" s="1358"/>
    </row>
    <row r="7368" spans="8:9">
      <c r="H7368" s="1358"/>
      <c r="I7368" s="1358"/>
    </row>
    <row r="7369" spans="8:9">
      <c r="H7369" s="1358"/>
      <c r="I7369" s="1358"/>
    </row>
    <row r="7370" spans="8:9">
      <c r="H7370" s="1358"/>
      <c r="I7370" s="1358"/>
    </row>
    <row r="7371" spans="8:9">
      <c r="H7371" s="1358"/>
      <c r="I7371" s="1358"/>
    </row>
    <row r="7372" spans="8:9">
      <c r="H7372" s="1358"/>
      <c r="I7372" s="1358"/>
    </row>
    <row r="7373" spans="8:9">
      <c r="H7373" s="1358"/>
      <c r="I7373" s="1358"/>
    </row>
    <row r="7374" spans="8:9">
      <c r="H7374" s="1358"/>
      <c r="I7374" s="1358"/>
    </row>
    <row r="7375" spans="8:9">
      <c r="H7375" s="1358"/>
      <c r="I7375" s="1358"/>
    </row>
    <row r="7376" spans="8:9">
      <c r="H7376" s="1358"/>
      <c r="I7376" s="1358"/>
    </row>
    <row r="7377" spans="8:9">
      <c r="H7377" s="1358"/>
      <c r="I7377" s="1358"/>
    </row>
    <row r="7378" spans="8:9">
      <c r="H7378" s="1358"/>
      <c r="I7378" s="1358"/>
    </row>
    <row r="7379" spans="8:9">
      <c r="H7379" s="1358"/>
      <c r="I7379" s="1358"/>
    </row>
    <row r="7380" spans="8:9">
      <c r="H7380" s="1358"/>
      <c r="I7380" s="1358"/>
    </row>
    <row r="7381" spans="8:9">
      <c r="H7381" s="1358"/>
      <c r="I7381" s="1358"/>
    </row>
    <row r="7382" spans="8:9">
      <c r="H7382" s="1358"/>
      <c r="I7382" s="1358"/>
    </row>
    <row r="7383" spans="8:9">
      <c r="H7383" s="1358"/>
      <c r="I7383" s="1358"/>
    </row>
    <row r="7384" spans="8:9">
      <c r="H7384" s="1358"/>
      <c r="I7384" s="1358"/>
    </row>
    <row r="7385" spans="8:9">
      <c r="H7385" s="1358"/>
      <c r="I7385" s="1358"/>
    </row>
    <row r="7386" spans="8:9">
      <c r="H7386" s="1358"/>
      <c r="I7386" s="1358"/>
    </row>
    <row r="7387" spans="8:9">
      <c r="H7387" s="1358"/>
      <c r="I7387" s="1358"/>
    </row>
    <row r="7388" spans="8:9">
      <c r="H7388" s="1358"/>
      <c r="I7388" s="1358"/>
    </row>
    <row r="7389" spans="8:9">
      <c r="H7389" s="1358"/>
      <c r="I7389" s="1358"/>
    </row>
    <row r="7390" spans="8:9">
      <c r="H7390" s="1358"/>
      <c r="I7390" s="1358"/>
    </row>
    <row r="7391" spans="8:9">
      <c r="H7391" s="1358"/>
      <c r="I7391" s="1358"/>
    </row>
    <row r="7392" spans="8:9">
      <c r="H7392" s="1358"/>
      <c r="I7392" s="1358"/>
    </row>
    <row r="7393" spans="8:9">
      <c r="H7393" s="1358"/>
      <c r="I7393" s="1358"/>
    </row>
    <row r="7394" spans="8:9">
      <c r="H7394" s="1358"/>
      <c r="I7394" s="1358"/>
    </row>
    <row r="7395" spans="8:9">
      <c r="H7395" s="1358"/>
      <c r="I7395" s="1358"/>
    </row>
    <row r="7396" spans="8:9">
      <c r="H7396" s="1358"/>
      <c r="I7396" s="1358"/>
    </row>
    <row r="7397" spans="8:9">
      <c r="H7397" s="1358"/>
      <c r="I7397" s="1358"/>
    </row>
    <row r="7398" spans="8:9">
      <c r="H7398" s="1358"/>
      <c r="I7398" s="1358"/>
    </row>
    <row r="7399" spans="8:9">
      <c r="H7399" s="1358"/>
      <c r="I7399" s="1358"/>
    </row>
    <row r="7400" spans="8:9">
      <c r="H7400" s="1358"/>
      <c r="I7400" s="1358"/>
    </row>
    <row r="7401" spans="8:9">
      <c r="H7401" s="1358"/>
      <c r="I7401" s="1358"/>
    </row>
    <row r="7402" spans="8:9">
      <c r="H7402" s="1358"/>
      <c r="I7402" s="1358"/>
    </row>
    <row r="7403" spans="8:9">
      <c r="H7403" s="1358"/>
      <c r="I7403" s="1358"/>
    </row>
    <row r="7404" spans="8:9">
      <c r="H7404" s="1358"/>
      <c r="I7404" s="1358"/>
    </row>
    <row r="7405" spans="8:9">
      <c r="H7405" s="1358"/>
      <c r="I7405" s="1358"/>
    </row>
    <row r="7406" spans="8:9">
      <c r="H7406" s="1358"/>
      <c r="I7406" s="1358"/>
    </row>
    <row r="7407" spans="8:9">
      <c r="H7407" s="1358"/>
      <c r="I7407" s="1358"/>
    </row>
    <row r="7408" spans="8:9">
      <c r="H7408" s="1358"/>
      <c r="I7408" s="1358"/>
    </row>
    <row r="7409" spans="8:9">
      <c r="H7409" s="1358"/>
      <c r="I7409" s="1358"/>
    </row>
    <row r="7410" spans="8:9">
      <c r="H7410" s="1358"/>
      <c r="I7410" s="1358"/>
    </row>
    <row r="7411" spans="8:9">
      <c r="H7411" s="1358"/>
      <c r="I7411" s="1358"/>
    </row>
    <row r="7412" spans="8:9">
      <c r="H7412" s="1358"/>
      <c r="I7412" s="1358"/>
    </row>
    <row r="7413" spans="8:9">
      <c r="H7413" s="1358"/>
      <c r="I7413" s="1358"/>
    </row>
    <row r="7414" spans="8:9">
      <c r="H7414" s="1358"/>
      <c r="I7414" s="1358"/>
    </row>
    <row r="7415" spans="8:9">
      <c r="H7415" s="1358"/>
      <c r="I7415" s="1358"/>
    </row>
    <row r="7416" spans="8:9">
      <c r="H7416" s="1358"/>
      <c r="I7416" s="1358"/>
    </row>
    <row r="7417" spans="8:9">
      <c r="H7417" s="1358"/>
      <c r="I7417" s="1358"/>
    </row>
    <row r="7418" spans="8:9">
      <c r="H7418" s="1358"/>
      <c r="I7418" s="1358"/>
    </row>
    <row r="7419" spans="8:9">
      <c r="H7419" s="1358"/>
      <c r="I7419" s="1358"/>
    </row>
    <row r="7420" spans="8:9">
      <c r="H7420" s="1358"/>
      <c r="I7420" s="1358"/>
    </row>
    <row r="7421" spans="8:9">
      <c r="H7421" s="1358"/>
      <c r="I7421" s="1358"/>
    </row>
    <row r="7422" spans="8:9">
      <c r="H7422" s="1358"/>
      <c r="I7422" s="1358"/>
    </row>
    <row r="7423" spans="8:9">
      <c r="H7423" s="1358"/>
      <c r="I7423" s="1358"/>
    </row>
    <row r="7424" spans="8:9">
      <c r="H7424" s="1358"/>
      <c r="I7424" s="1358"/>
    </row>
    <row r="7425" spans="8:9">
      <c r="H7425" s="1358"/>
      <c r="I7425" s="1358"/>
    </row>
    <row r="7426" spans="8:9">
      <c r="H7426" s="1358"/>
      <c r="I7426" s="1358"/>
    </row>
    <row r="7427" spans="8:9">
      <c r="H7427" s="1358"/>
      <c r="I7427" s="1358"/>
    </row>
    <row r="7428" spans="8:9">
      <c r="H7428" s="1358"/>
      <c r="I7428" s="1358"/>
    </row>
    <row r="7429" spans="8:9">
      <c r="H7429" s="1358"/>
      <c r="I7429" s="1358"/>
    </row>
    <row r="7430" spans="8:9">
      <c r="H7430" s="1358"/>
      <c r="I7430" s="1358"/>
    </row>
    <row r="7431" spans="8:9">
      <c r="H7431" s="1358"/>
      <c r="I7431" s="1358"/>
    </row>
    <row r="7432" spans="8:9">
      <c r="H7432" s="1358"/>
      <c r="I7432" s="1358"/>
    </row>
    <row r="7433" spans="8:9">
      <c r="H7433" s="1358"/>
      <c r="I7433" s="1358"/>
    </row>
    <row r="7434" spans="8:9">
      <c r="H7434" s="1358"/>
      <c r="I7434" s="1358"/>
    </row>
    <row r="7435" spans="8:9">
      <c r="H7435" s="1358"/>
      <c r="I7435" s="1358"/>
    </row>
    <row r="7436" spans="8:9">
      <c r="H7436" s="1358"/>
      <c r="I7436" s="1358"/>
    </row>
    <row r="7437" spans="8:9">
      <c r="H7437" s="1358"/>
      <c r="I7437" s="1358"/>
    </row>
    <row r="7438" spans="8:9">
      <c r="H7438" s="1358"/>
      <c r="I7438" s="1358"/>
    </row>
    <row r="7439" spans="8:9">
      <c r="H7439" s="1358"/>
      <c r="I7439" s="1358"/>
    </row>
    <row r="7440" spans="8:9">
      <c r="H7440" s="1358"/>
      <c r="I7440" s="1358"/>
    </row>
    <row r="7441" spans="8:9">
      <c r="H7441" s="1358"/>
      <c r="I7441" s="1358"/>
    </row>
    <row r="7442" spans="8:9">
      <c r="H7442" s="1358"/>
      <c r="I7442" s="1358"/>
    </row>
    <row r="7443" spans="8:9">
      <c r="H7443" s="1358"/>
      <c r="I7443" s="1358"/>
    </row>
    <row r="7444" spans="8:9">
      <c r="H7444" s="1358"/>
      <c r="I7444" s="1358"/>
    </row>
    <row r="7445" spans="8:9">
      <c r="H7445" s="1358"/>
      <c r="I7445" s="1358"/>
    </row>
    <row r="7446" spans="8:9">
      <c r="H7446" s="1358"/>
      <c r="I7446" s="1358"/>
    </row>
    <row r="7447" spans="8:9">
      <c r="H7447" s="1358"/>
      <c r="I7447" s="1358"/>
    </row>
    <row r="7448" spans="8:9">
      <c r="H7448" s="1358"/>
      <c r="I7448" s="1358"/>
    </row>
    <row r="7449" spans="8:9">
      <c r="H7449" s="1358"/>
      <c r="I7449" s="1358"/>
    </row>
    <row r="7450" spans="8:9">
      <c r="H7450" s="1358"/>
      <c r="I7450" s="1358"/>
    </row>
    <row r="7451" spans="8:9">
      <c r="H7451" s="1358"/>
      <c r="I7451" s="1358"/>
    </row>
    <row r="7452" spans="8:9">
      <c r="H7452" s="1358"/>
      <c r="I7452" s="1358"/>
    </row>
    <row r="7453" spans="8:9">
      <c r="H7453" s="1358"/>
      <c r="I7453" s="1358"/>
    </row>
    <row r="7454" spans="8:9">
      <c r="H7454" s="1358"/>
      <c r="I7454" s="1358"/>
    </row>
    <row r="7455" spans="8:9">
      <c r="H7455" s="1358"/>
      <c r="I7455" s="1358"/>
    </row>
    <row r="7456" spans="8:9">
      <c r="H7456" s="1358"/>
      <c r="I7456" s="1358"/>
    </row>
    <row r="7457" spans="8:9">
      <c r="H7457" s="1358"/>
      <c r="I7457" s="1358"/>
    </row>
    <row r="7458" spans="8:9">
      <c r="H7458" s="1358"/>
      <c r="I7458" s="1358"/>
    </row>
    <row r="7459" spans="8:9">
      <c r="H7459" s="1358"/>
      <c r="I7459" s="1358"/>
    </row>
    <row r="7460" spans="8:9">
      <c r="H7460" s="1358"/>
      <c r="I7460" s="1358"/>
    </row>
    <row r="7461" spans="8:9">
      <c r="H7461" s="1358"/>
      <c r="I7461" s="1358"/>
    </row>
    <row r="7462" spans="8:9">
      <c r="H7462" s="1358"/>
      <c r="I7462" s="1358"/>
    </row>
    <row r="7463" spans="8:9">
      <c r="H7463" s="1358"/>
      <c r="I7463" s="1358"/>
    </row>
    <row r="7464" spans="8:9">
      <c r="H7464" s="1358"/>
      <c r="I7464" s="1358"/>
    </row>
    <row r="7465" spans="8:9">
      <c r="H7465" s="1358"/>
      <c r="I7465" s="1358"/>
    </row>
    <row r="7466" spans="8:9">
      <c r="H7466" s="1358"/>
      <c r="I7466" s="1358"/>
    </row>
    <row r="7467" spans="8:9">
      <c r="H7467" s="1358"/>
      <c r="I7467" s="1358"/>
    </row>
    <row r="7468" spans="8:9">
      <c r="H7468" s="1358"/>
      <c r="I7468" s="1358"/>
    </row>
    <row r="7469" spans="8:9">
      <c r="H7469" s="1358"/>
      <c r="I7469" s="1358"/>
    </row>
    <row r="7470" spans="8:9">
      <c r="H7470" s="1358"/>
      <c r="I7470" s="1358"/>
    </row>
    <row r="7471" spans="8:9">
      <c r="H7471" s="1358"/>
      <c r="I7471" s="1358"/>
    </row>
    <row r="7472" spans="8:9">
      <c r="H7472" s="1358"/>
      <c r="I7472" s="1358"/>
    </row>
    <row r="7473" spans="8:9">
      <c r="H7473" s="1358"/>
      <c r="I7473" s="1358"/>
    </row>
    <row r="7474" spans="8:9">
      <c r="H7474" s="1358"/>
      <c r="I7474" s="1358"/>
    </row>
    <row r="7475" spans="8:9">
      <c r="H7475" s="1358"/>
      <c r="I7475" s="1358"/>
    </row>
    <row r="7476" spans="8:9">
      <c r="H7476" s="1358"/>
      <c r="I7476" s="1358"/>
    </row>
    <row r="7477" spans="8:9">
      <c r="H7477" s="1358"/>
      <c r="I7477" s="1358"/>
    </row>
    <row r="7478" spans="8:9">
      <c r="H7478" s="1358"/>
      <c r="I7478" s="1358"/>
    </row>
    <row r="7479" spans="8:9">
      <c r="H7479" s="1358"/>
      <c r="I7479" s="1358"/>
    </row>
    <row r="7480" spans="8:9">
      <c r="H7480" s="1358"/>
      <c r="I7480" s="1358"/>
    </row>
    <row r="7481" spans="8:9">
      <c r="H7481" s="1358"/>
      <c r="I7481" s="1358"/>
    </row>
    <row r="7482" spans="8:9">
      <c r="H7482" s="1358"/>
      <c r="I7482" s="1358"/>
    </row>
    <row r="7483" spans="8:9">
      <c r="H7483" s="1358"/>
      <c r="I7483" s="1358"/>
    </row>
    <row r="7484" spans="8:9">
      <c r="H7484" s="1358"/>
      <c r="I7484" s="1358"/>
    </row>
    <row r="7485" spans="8:9">
      <c r="H7485" s="1358"/>
      <c r="I7485" s="1358"/>
    </row>
    <row r="7486" spans="8:9">
      <c r="H7486" s="1358"/>
      <c r="I7486" s="1358"/>
    </row>
    <row r="7487" spans="8:9">
      <c r="H7487" s="1358"/>
      <c r="I7487" s="1358"/>
    </row>
    <row r="7488" spans="8:9">
      <c r="H7488" s="1358"/>
      <c r="I7488" s="1358"/>
    </row>
    <row r="7489" spans="8:9">
      <c r="H7489" s="1358"/>
      <c r="I7489" s="1358"/>
    </row>
    <row r="7490" spans="8:9">
      <c r="H7490" s="1358"/>
      <c r="I7490" s="1358"/>
    </row>
    <row r="7491" spans="8:9">
      <c r="H7491" s="1358"/>
      <c r="I7491" s="1358"/>
    </row>
    <row r="7492" spans="8:9">
      <c r="H7492" s="1358"/>
      <c r="I7492" s="1358"/>
    </row>
    <row r="7493" spans="8:9">
      <c r="H7493" s="1358"/>
      <c r="I7493" s="1358"/>
    </row>
    <row r="7494" spans="8:9">
      <c r="H7494" s="1358"/>
      <c r="I7494" s="1358"/>
    </row>
    <row r="7495" spans="8:9">
      <c r="H7495" s="1358"/>
      <c r="I7495" s="1358"/>
    </row>
    <row r="7496" spans="8:9">
      <c r="H7496" s="1358"/>
      <c r="I7496" s="1358"/>
    </row>
    <row r="7497" spans="8:9">
      <c r="H7497" s="1358"/>
      <c r="I7497" s="1358"/>
    </row>
    <row r="7498" spans="8:9">
      <c r="H7498" s="1358"/>
      <c r="I7498" s="1358"/>
    </row>
    <row r="7499" spans="8:9">
      <c r="H7499" s="1358"/>
      <c r="I7499" s="1358"/>
    </row>
    <row r="7500" spans="8:9">
      <c r="H7500" s="1358"/>
      <c r="I7500" s="1358"/>
    </row>
    <row r="7501" spans="8:9">
      <c r="H7501" s="1358"/>
      <c r="I7501" s="1358"/>
    </row>
    <row r="7502" spans="8:9">
      <c r="H7502" s="1358"/>
      <c r="I7502" s="1358"/>
    </row>
    <row r="7503" spans="8:9">
      <c r="H7503" s="1358"/>
      <c r="I7503" s="1358"/>
    </row>
    <row r="7504" spans="8:9">
      <c r="H7504" s="1358"/>
      <c r="I7504" s="1358"/>
    </row>
    <row r="7505" spans="8:9">
      <c r="H7505" s="1358"/>
      <c r="I7505" s="1358"/>
    </row>
    <row r="7506" spans="8:9">
      <c r="H7506" s="1358"/>
      <c r="I7506" s="1358"/>
    </row>
    <row r="7507" spans="8:9">
      <c r="H7507" s="1358"/>
      <c r="I7507" s="1358"/>
    </row>
    <row r="7508" spans="8:9">
      <c r="H7508" s="1358"/>
      <c r="I7508" s="1358"/>
    </row>
    <row r="7509" spans="8:9">
      <c r="H7509" s="1358"/>
      <c r="I7509" s="1358"/>
    </row>
    <row r="7510" spans="8:9">
      <c r="H7510" s="1358"/>
      <c r="I7510" s="1358"/>
    </row>
    <row r="7511" spans="8:9">
      <c r="H7511" s="1358"/>
      <c r="I7511" s="1358"/>
    </row>
    <row r="7512" spans="8:9">
      <c r="H7512" s="1358"/>
      <c r="I7512" s="1358"/>
    </row>
    <row r="7513" spans="8:9">
      <c r="H7513" s="1358"/>
      <c r="I7513" s="1358"/>
    </row>
    <row r="7514" spans="8:9">
      <c r="H7514" s="1358"/>
      <c r="I7514" s="1358"/>
    </row>
    <row r="7515" spans="8:9">
      <c r="H7515" s="1358"/>
      <c r="I7515" s="1358"/>
    </row>
    <row r="7516" spans="8:9">
      <c r="H7516" s="1358"/>
      <c r="I7516" s="1358"/>
    </row>
    <row r="7517" spans="8:9">
      <c r="H7517" s="1358"/>
      <c r="I7517" s="1358"/>
    </row>
    <row r="7518" spans="8:9">
      <c r="H7518" s="1358"/>
      <c r="I7518" s="1358"/>
    </row>
    <row r="7519" spans="8:9">
      <c r="H7519" s="1358"/>
      <c r="I7519" s="1358"/>
    </row>
    <row r="7520" spans="8:9">
      <c r="H7520" s="1358"/>
      <c r="I7520" s="1358"/>
    </row>
    <row r="7521" spans="8:9">
      <c r="H7521" s="1358"/>
      <c r="I7521" s="1358"/>
    </row>
    <row r="7522" spans="8:9">
      <c r="H7522" s="1358"/>
      <c r="I7522" s="1358"/>
    </row>
    <row r="7523" spans="8:9">
      <c r="H7523" s="1358"/>
      <c r="I7523" s="1358"/>
    </row>
    <row r="7524" spans="8:9">
      <c r="H7524" s="1358"/>
      <c r="I7524" s="1358"/>
    </row>
    <row r="7525" spans="8:9">
      <c r="H7525" s="1358"/>
      <c r="I7525" s="1358"/>
    </row>
    <row r="7526" spans="8:9">
      <c r="H7526" s="1358"/>
      <c r="I7526" s="1358"/>
    </row>
    <row r="7527" spans="8:9">
      <c r="H7527" s="1358"/>
      <c r="I7527" s="1358"/>
    </row>
    <row r="7528" spans="8:9">
      <c r="H7528" s="1358"/>
      <c r="I7528" s="1358"/>
    </row>
    <row r="7529" spans="8:9">
      <c r="H7529" s="1358"/>
      <c r="I7529" s="1358"/>
    </row>
    <row r="7530" spans="8:9">
      <c r="H7530" s="1358"/>
      <c r="I7530" s="1358"/>
    </row>
    <row r="7531" spans="8:9">
      <c r="H7531" s="1358"/>
      <c r="I7531" s="1358"/>
    </row>
    <row r="7532" spans="8:9">
      <c r="H7532" s="1358"/>
      <c r="I7532" s="1358"/>
    </row>
    <row r="7533" spans="8:9">
      <c r="H7533" s="1358"/>
      <c r="I7533" s="1358"/>
    </row>
    <row r="7534" spans="8:9">
      <c r="H7534" s="1358"/>
      <c r="I7534" s="1358"/>
    </row>
    <row r="7535" spans="8:9">
      <c r="H7535" s="1358"/>
      <c r="I7535" s="1358"/>
    </row>
    <row r="7536" spans="8:9">
      <c r="H7536" s="1358"/>
      <c r="I7536" s="1358"/>
    </row>
    <row r="7537" spans="8:9">
      <c r="H7537" s="1358"/>
      <c r="I7537" s="1358"/>
    </row>
    <row r="7538" spans="8:9">
      <c r="H7538" s="1358"/>
      <c r="I7538" s="1358"/>
    </row>
    <row r="7539" spans="8:9">
      <c r="H7539" s="1358"/>
      <c r="I7539" s="1358"/>
    </row>
    <row r="7540" spans="8:9">
      <c r="H7540" s="1358"/>
      <c r="I7540" s="1358"/>
    </row>
    <row r="7541" spans="8:9">
      <c r="H7541" s="1358"/>
      <c r="I7541" s="1358"/>
    </row>
    <row r="7542" spans="8:9">
      <c r="H7542" s="1358"/>
      <c r="I7542" s="1358"/>
    </row>
    <row r="7543" spans="8:9">
      <c r="H7543" s="1358"/>
      <c r="I7543" s="1358"/>
    </row>
    <row r="7544" spans="8:9">
      <c r="H7544" s="1358"/>
      <c r="I7544" s="1358"/>
    </row>
    <row r="7545" spans="8:9">
      <c r="H7545" s="1358"/>
      <c r="I7545" s="1358"/>
    </row>
    <row r="7546" spans="8:9">
      <c r="H7546" s="1358"/>
      <c r="I7546" s="1358"/>
    </row>
    <row r="7547" spans="8:9">
      <c r="H7547" s="1358"/>
      <c r="I7547" s="1358"/>
    </row>
    <row r="7548" spans="8:9">
      <c r="H7548" s="1358"/>
      <c r="I7548" s="1358"/>
    </row>
    <row r="7549" spans="8:9">
      <c r="H7549" s="1358"/>
      <c r="I7549" s="1358"/>
    </row>
    <row r="7550" spans="8:9">
      <c r="H7550" s="1358"/>
      <c r="I7550" s="1358"/>
    </row>
    <row r="7551" spans="8:9">
      <c r="H7551" s="1358"/>
      <c r="I7551" s="1358"/>
    </row>
    <row r="7552" spans="8:9">
      <c r="H7552" s="1358"/>
      <c r="I7552" s="1358"/>
    </row>
    <row r="7553" spans="8:9">
      <c r="H7553" s="1358"/>
      <c r="I7553" s="1358"/>
    </row>
    <row r="7554" spans="8:9">
      <c r="H7554" s="1358"/>
      <c r="I7554" s="1358"/>
    </row>
    <row r="7555" spans="8:9">
      <c r="H7555" s="1358"/>
      <c r="I7555" s="1358"/>
    </row>
    <row r="7556" spans="8:9">
      <c r="H7556" s="1358"/>
      <c r="I7556" s="1358"/>
    </row>
    <row r="7557" spans="8:9">
      <c r="H7557" s="1358"/>
      <c r="I7557" s="1358"/>
    </row>
    <row r="7558" spans="8:9">
      <c r="H7558" s="1358"/>
      <c r="I7558" s="1358"/>
    </row>
    <row r="7559" spans="8:9">
      <c r="H7559" s="1358"/>
      <c r="I7559" s="1358"/>
    </row>
    <row r="7560" spans="8:9">
      <c r="H7560" s="1358"/>
      <c r="I7560" s="1358"/>
    </row>
    <row r="7561" spans="8:9">
      <c r="H7561" s="1358"/>
      <c r="I7561" s="1358"/>
    </row>
    <row r="7562" spans="8:9">
      <c r="H7562" s="1358"/>
      <c r="I7562" s="1358"/>
    </row>
    <row r="7563" spans="8:9">
      <c r="H7563" s="1358"/>
      <c r="I7563" s="1358"/>
    </row>
    <row r="7564" spans="8:9">
      <c r="H7564" s="1358"/>
      <c r="I7564" s="1358"/>
    </row>
    <row r="7565" spans="8:9">
      <c r="H7565" s="1358"/>
      <c r="I7565" s="1358"/>
    </row>
    <row r="7566" spans="8:9">
      <c r="H7566" s="1358"/>
      <c r="I7566" s="1358"/>
    </row>
    <row r="7567" spans="8:9">
      <c r="H7567" s="1358"/>
      <c r="I7567" s="1358"/>
    </row>
    <row r="7568" spans="8:9">
      <c r="H7568" s="1358"/>
      <c r="I7568" s="1358"/>
    </row>
    <row r="7569" spans="8:9">
      <c r="H7569" s="1358"/>
      <c r="I7569" s="1358"/>
    </row>
    <row r="7570" spans="8:9">
      <c r="H7570" s="1358"/>
      <c r="I7570" s="1358"/>
    </row>
    <row r="7571" spans="8:9">
      <c r="H7571" s="1358"/>
      <c r="I7571" s="1358"/>
    </row>
    <row r="7572" spans="8:9">
      <c r="H7572" s="1358"/>
      <c r="I7572" s="1358"/>
    </row>
    <row r="7573" spans="8:9">
      <c r="H7573" s="1358"/>
      <c r="I7573" s="1358"/>
    </row>
    <row r="7574" spans="8:9">
      <c r="H7574" s="1358"/>
      <c r="I7574" s="1358"/>
    </row>
    <row r="7575" spans="8:9">
      <c r="H7575" s="1358"/>
      <c r="I7575" s="1358"/>
    </row>
    <row r="7576" spans="8:9">
      <c r="H7576" s="1358"/>
      <c r="I7576" s="1358"/>
    </row>
    <row r="7577" spans="8:9">
      <c r="H7577" s="1358"/>
      <c r="I7577" s="1358"/>
    </row>
    <row r="7578" spans="8:9">
      <c r="H7578" s="1358"/>
      <c r="I7578" s="1358"/>
    </row>
    <row r="7579" spans="8:9">
      <c r="H7579" s="1358"/>
      <c r="I7579" s="1358"/>
    </row>
    <row r="7580" spans="8:9">
      <c r="H7580" s="1358"/>
      <c r="I7580" s="1358"/>
    </row>
    <row r="7581" spans="8:9">
      <c r="H7581" s="1358"/>
      <c r="I7581" s="1358"/>
    </row>
    <row r="7582" spans="8:9">
      <c r="H7582" s="1358"/>
      <c r="I7582" s="1358"/>
    </row>
    <row r="7583" spans="8:9">
      <c r="H7583" s="1358"/>
      <c r="I7583" s="1358"/>
    </row>
    <row r="7584" spans="8:9">
      <c r="H7584" s="1358"/>
      <c r="I7584" s="1358"/>
    </row>
    <row r="7585" spans="8:9">
      <c r="H7585" s="1358"/>
      <c r="I7585" s="1358"/>
    </row>
    <row r="7586" spans="8:9">
      <c r="H7586" s="1358"/>
      <c r="I7586" s="1358"/>
    </row>
    <row r="7587" spans="8:9">
      <c r="H7587" s="1358"/>
      <c r="I7587" s="1358"/>
    </row>
    <row r="7588" spans="8:9">
      <c r="H7588" s="1358"/>
      <c r="I7588" s="1358"/>
    </row>
    <row r="7589" spans="8:9">
      <c r="H7589" s="1358"/>
      <c r="I7589" s="1358"/>
    </row>
    <row r="7590" spans="8:9">
      <c r="H7590" s="1358"/>
      <c r="I7590" s="1358"/>
    </row>
    <row r="7591" spans="8:9">
      <c r="H7591" s="1358"/>
      <c r="I7591" s="1358"/>
    </row>
    <row r="7592" spans="8:9">
      <c r="H7592" s="1358"/>
      <c r="I7592" s="1358"/>
    </row>
    <row r="7593" spans="8:9">
      <c r="H7593" s="1358"/>
      <c r="I7593" s="1358"/>
    </row>
    <row r="7594" spans="8:9">
      <c r="H7594" s="1358"/>
      <c r="I7594" s="1358"/>
    </row>
    <row r="7595" spans="8:9">
      <c r="H7595" s="1358"/>
      <c r="I7595" s="1358"/>
    </row>
    <row r="7596" spans="8:9">
      <c r="H7596" s="1358"/>
      <c r="I7596" s="1358"/>
    </row>
    <row r="7597" spans="8:9">
      <c r="H7597" s="1358"/>
      <c r="I7597" s="1358"/>
    </row>
    <row r="7598" spans="8:9">
      <c r="H7598" s="1358"/>
      <c r="I7598" s="1358"/>
    </row>
    <row r="7599" spans="8:9">
      <c r="H7599" s="1358"/>
      <c r="I7599" s="1358"/>
    </row>
    <row r="7600" spans="8:9">
      <c r="H7600" s="1358"/>
      <c r="I7600" s="1358"/>
    </row>
    <row r="7601" spans="8:9">
      <c r="H7601" s="1358"/>
      <c r="I7601" s="1358"/>
    </row>
    <row r="7602" spans="8:9">
      <c r="H7602" s="1358"/>
      <c r="I7602" s="1358"/>
    </row>
    <row r="7603" spans="8:9">
      <c r="H7603" s="1358"/>
      <c r="I7603" s="1358"/>
    </row>
    <row r="7604" spans="8:9">
      <c r="H7604" s="1358"/>
      <c r="I7604" s="1358"/>
    </row>
    <row r="7605" spans="8:9">
      <c r="H7605" s="1358"/>
      <c r="I7605" s="1358"/>
    </row>
    <row r="7606" spans="8:9">
      <c r="H7606" s="1358"/>
      <c r="I7606" s="1358"/>
    </row>
    <row r="7607" spans="8:9">
      <c r="H7607" s="1358"/>
      <c r="I7607" s="1358"/>
    </row>
    <row r="7608" spans="8:9">
      <c r="H7608" s="1358"/>
      <c r="I7608" s="1358"/>
    </row>
    <row r="7609" spans="8:9">
      <c r="H7609" s="1358"/>
      <c r="I7609" s="1358"/>
    </row>
    <row r="7610" spans="8:9">
      <c r="H7610" s="1358"/>
      <c r="I7610" s="1358"/>
    </row>
    <row r="7611" spans="8:9">
      <c r="H7611" s="1358"/>
      <c r="I7611" s="1358"/>
    </row>
    <row r="7612" spans="8:9">
      <c r="H7612" s="1358"/>
      <c r="I7612" s="1358"/>
    </row>
    <row r="7613" spans="8:9">
      <c r="H7613" s="1358"/>
      <c r="I7613" s="1358"/>
    </row>
    <row r="7614" spans="8:9">
      <c r="H7614" s="1358"/>
      <c r="I7614" s="1358"/>
    </row>
    <row r="7615" spans="8:9">
      <c r="H7615" s="1358"/>
      <c r="I7615" s="1358"/>
    </row>
    <row r="7616" spans="8:9">
      <c r="H7616" s="1358"/>
      <c r="I7616" s="1358"/>
    </row>
    <row r="7617" spans="8:9">
      <c r="H7617" s="1358"/>
      <c r="I7617" s="1358"/>
    </row>
    <row r="7618" spans="8:9">
      <c r="H7618" s="1358"/>
      <c r="I7618" s="1358"/>
    </row>
    <row r="7619" spans="8:9">
      <c r="H7619" s="1358"/>
      <c r="I7619" s="1358"/>
    </row>
    <row r="7620" spans="8:9">
      <c r="H7620" s="1358"/>
      <c r="I7620" s="1358"/>
    </row>
    <row r="7621" spans="8:9">
      <c r="H7621" s="1358"/>
      <c r="I7621" s="1358"/>
    </row>
    <row r="7622" spans="8:9">
      <c r="H7622" s="1358"/>
      <c r="I7622" s="1358"/>
    </row>
    <row r="7623" spans="8:9">
      <c r="H7623" s="1358"/>
      <c r="I7623" s="1358"/>
    </row>
    <row r="7624" spans="8:9">
      <c r="H7624" s="1358"/>
      <c r="I7624" s="1358"/>
    </row>
    <row r="7625" spans="8:9">
      <c r="H7625" s="1358"/>
      <c r="I7625" s="1358"/>
    </row>
    <row r="7626" spans="8:9">
      <c r="H7626" s="1358"/>
      <c r="I7626" s="1358"/>
    </row>
    <row r="7627" spans="8:9">
      <c r="H7627" s="1358"/>
      <c r="I7627" s="1358"/>
    </row>
    <row r="7628" spans="8:9">
      <c r="H7628" s="1358"/>
      <c r="I7628" s="1358"/>
    </row>
    <row r="7629" spans="8:9">
      <c r="H7629" s="1358"/>
      <c r="I7629" s="1358"/>
    </row>
    <row r="7630" spans="8:9">
      <c r="H7630" s="1358"/>
      <c r="I7630" s="1358"/>
    </row>
    <row r="7631" spans="8:9">
      <c r="H7631" s="1358"/>
      <c r="I7631" s="1358"/>
    </row>
    <row r="7632" spans="8:9">
      <c r="H7632" s="1358"/>
      <c r="I7632" s="1358"/>
    </row>
    <row r="7633" spans="8:9">
      <c r="H7633" s="1358"/>
      <c r="I7633" s="1358"/>
    </row>
    <row r="7634" spans="8:9">
      <c r="H7634" s="1358"/>
      <c r="I7634" s="1358"/>
    </row>
    <row r="7635" spans="8:9">
      <c r="H7635" s="1358"/>
      <c r="I7635" s="1358"/>
    </row>
    <row r="7636" spans="8:9">
      <c r="H7636" s="1358"/>
      <c r="I7636" s="1358"/>
    </row>
    <row r="7637" spans="8:9">
      <c r="H7637" s="1358"/>
      <c r="I7637" s="1358"/>
    </row>
    <row r="7638" spans="8:9">
      <c r="H7638" s="1358"/>
      <c r="I7638" s="1358"/>
    </row>
    <row r="7639" spans="8:9">
      <c r="H7639" s="1358"/>
      <c r="I7639" s="1358"/>
    </row>
    <row r="7640" spans="8:9">
      <c r="H7640" s="1358"/>
      <c r="I7640" s="1358"/>
    </row>
    <row r="7641" spans="8:9">
      <c r="H7641" s="1358"/>
      <c r="I7641" s="1358"/>
    </row>
    <row r="7642" spans="8:9">
      <c r="H7642" s="1358"/>
      <c r="I7642" s="1358"/>
    </row>
    <row r="7643" spans="8:9">
      <c r="H7643" s="1358"/>
      <c r="I7643" s="1358"/>
    </row>
    <row r="7644" spans="8:9">
      <c r="H7644" s="1358"/>
      <c r="I7644" s="1358"/>
    </row>
    <row r="7645" spans="8:9">
      <c r="H7645" s="1358"/>
      <c r="I7645" s="1358"/>
    </row>
    <row r="7646" spans="8:9">
      <c r="H7646" s="1358"/>
      <c r="I7646" s="1358"/>
    </row>
    <row r="7647" spans="8:9">
      <c r="H7647" s="1358"/>
      <c r="I7647" s="1358"/>
    </row>
    <row r="7648" spans="8:9">
      <c r="H7648" s="1358"/>
      <c r="I7648" s="1358"/>
    </row>
    <row r="7649" spans="8:9">
      <c r="H7649" s="1358"/>
      <c r="I7649" s="1358"/>
    </row>
    <row r="7650" spans="8:9">
      <c r="H7650" s="1358"/>
      <c r="I7650" s="1358"/>
    </row>
    <row r="7651" spans="8:9">
      <c r="H7651" s="1358"/>
      <c r="I7651" s="1358"/>
    </row>
    <row r="7652" spans="8:9">
      <c r="H7652" s="1358"/>
      <c r="I7652" s="1358"/>
    </row>
    <row r="7653" spans="8:9">
      <c r="H7653" s="1358"/>
      <c r="I7653" s="1358"/>
    </row>
    <row r="7654" spans="8:9">
      <c r="H7654" s="1358"/>
      <c r="I7654" s="1358"/>
    </row>
    <row r="7655" spans="8:9">
      <c r="H7655" s="1358"/>
      <c r="I7655" s="1358"/>
    </row>
    <row r="7656" spans="8:9">
      <c r="H7656" s="1358"/>
      <c r="I7656" s="1358"/>
    </row>
    <row r="7657" spans="8:9">
      <c r="H7657" s="1358"/>
      <c r="I7657" s="1358"/>
    </row>
    <row r="7658" spans="8:9">
      <c r="H7658" s="1358"/>
      <c r="I7658" s="1358"/>
    </row>
    <row r="7659" spans="8:9">
      <c r="H7659" s="1358"/>
      <c r="I7659" s="1358"/>
    </row>
    <row r="7660" spans="8:9">
      <c r="H7660" s="1358"/>
      <c r="I7660" s="1358"/>
    </row>
    <row r="7661" spans="8:9">
      <c r="H7661" s="1358"/>
      <c r="I7661" s="1358"/>
    </row>
    <row r="7662" spans="8:9">
      <c r="H7662" s="1358"/>
      <c r="I7662" s="1358"/>
    </row>
    <row r="7663" spans="8:9">
      <c r="H7663" s="1358"/>
      <c r="I7663" s="1358"/>
    </row>
    <row r="7664" spans="8:9">
      <c r="H7664" s="1358"/>
      <c r="I7664" s="1358"/>
    </row>
    <row r="7665" spans="8:9">
      <c r="H7665" s="1358"/>
      <c r="I7665" s="1358"/>
    </row>
    <row r="7666" spans="8:9">
      <c r="H7666" s="1358"/>
      <c r="I7666" s="1358"/>
    </row>
    <row r="7667" spans="8:9">
      <c r="H7667" s="1358"/>
      <c r="I7667" s="1358"/>
    </row>
    <row r="7668" spans="8:9">
      <c r="H7668" s="1358"/>
      <c r="I7668" s="1358"/>
    </row>
    <row r="7669" spans="8:9">
      <c r="H7669" s="1358"/>
      <c r="I7669" s="1358"/>
    </row>
    <row r="7670" spans="8:9">
      <c r="H7670" s="1358"/>
      <c r="I7670" s="1358"/>
    </row>
    <row r="7671" spans="8:9">
      <c r="H7671" s="1358"/>
      <c r="I7671" s="1358"/>
    </row>
    <row r="7672" spans="8:9">
      <c r="H7672" s="1358"/>
      <c r="I7672" s="1358"/>
    </row>
    <row r="7673" spans="8:9">
      <c r="H7673" s="1358"/>
      <c r="I7673" s="1358"/>
    </row>
    <row r="7674" spans="8:9">
      <c r="H7674" s="1358"/>
      <c r="I7674" s="1358"/>
    </row>
    <row r="7675" spans="8:9">
      <c r="H7675" s="1358"/>
      <c r="I7675" s="1358"/>
    </row>
    <row r="7676" spans="8:9">
      <c r="H7676" s="1358"/>
      <c r="I7676" s="1358"/>
    </row>
    <row r="7677" spans="8:9">
      <c r="H7677" s="1358"/>
      <c r="I7677" s="1358"/>
    </row>
    <row r="7678" spans="8:9">
      <c r="H7678" s="1358"/>
      <c r="I7678" s="1358"/>
    </row>
    <row r="7679" spans="8:9">
      <c r="H7679" s="1358"/>
      <c r="I7679" s="1358"/>
    </row>
    <row r="7680" spans="8:9">
      <c r="H7680" s="1358"/>
      <c r="I7680" s="1358"/>
    </row>
    <row r="7681" spans="8:9">
      <c r="H7681" s="1358"/>
      <c r="I7681" s="1358"/>
    </row>
    <row r="7682" spans="8:9">
      <c r="H7682" s="1358"/>
      <c r="I7682" s="1358"/>
    </row>
    <row r="7683" spans="8:9">
      <c r="H7683" s="1358"/>
      <c r="I7683" s="1358"/>
    </row>
    <row r="7684" spans="8:9">
      <c r="H7684" s="1358"/>
      <c r="I7684" s="1358"/>
    </row>
    <row r="7685" spans="8:9">
      <c r="H7685" s="1358"/>
      <c r="I7685" s="1358"/>
    </row>
    <row r="7686" spans="8:9">
      <c r="H7686" s="1358"/>
      <c r="I7686" s="1358"/>
    </row>
    <row r="7687" spans="8:9">
      <c r="H7687" s="1358"/>
      <c r="I7687" s="1358"/>
    </row>
    <row r="7688" spans="8:9">
      <c r="H7688" s="1358"/>
      <c r="I7688" s="1358"/>
    </row>
    <row r="7689" spans="8:9">
      <c r="H7689" s="1358"/>
      <c r="I7689" s="1358"/>
    </row>
    <row r="7690" spans="8:9">
      <c r="H7690" s="1358"/>
      <c r="I7690" s="1358"/>
    </row>
    <row r="7691" spans="8:9">
      <c r="H7691" s="1358"/>
      <c r="I7691" s="1358"/>
    </row>
    <row r="7692" spans="8:9">
      <c r="H7692" s="1358"/>
      <c r="I7692" s="1358"/>
    </row>
    <row r="7693" spans="8:9">
      <c r="H7693" s="1358"/>
      <c r="I7693" s="1358"/>
    </row>
    <row r="7694" spans="8:9">
      <c r="H7694" s="1358"/>
      <c r="I7694" s="1358"/>
    </row>
    <row r="7695" spans="8:9">
      <c r="H7695" s="1358"/>
      <c r="I7695" s="1358"/>
    </row>
    <row r="7696" spans="8:9">
      <c r="H7696" s="1358"/>
      <c r="I7696" s="1358"/>
    </row>
    <row r="7697" spans="8:9">
      <c r="H7697" s="1358"/>
      <c r="I7697" s="1358"/>
    </row>
    <row r="7698" spans="8:9">
      <c r="H7698" s="1358"/>
      <c r="I7698" s="1358"/>
    </row>
    <row r="7699" spans="8:9">
      <c r="H7699" s="1358"/>
      <c r="I7699" s="1358"/>
    </row>
    <row r="7700" spans="8:9">
      <c r="H7700" s="1358"/>
      <c r="I7700" s="1358"/>
    </row>
    <row r="7701" spans="8:9">
      <c r="H7701" s="1358"/>
      <c r="I7701" s="1358"/>
    </row>
    <row r="7702" spans="8:9">
      <c r="H7702" s="1358"/>
      <c r="I7702" s="1358"/>
    </row>
    <row r="7703" spans="8:9">
      <c r="H7703" s="1358"/>
      <c r="I7703" s="1358"/>
    </row>
    <row r="7704" spans="8:9">
      <c r="H7704" s="1358"/>
      <c r="I7704" s="1358"/>
    </row>
    <row r="7705" spans="8:9">
      <c r="H7705" s="1358"/>
      <c r="I7705" s="1358"/>
    </row>
    <row r="7706" spans="8:9">
      <c r="H7706" s="1358"/>
      <c r="I7706" s="1358"/>
    </row>
    <row r="7707" spans="8:9">
      <c r="H7707" s="1358"/>
      <c r="I7707" s="1358"/>
    </row>
    <row r="7708" spans="8:9">
      <c r="H7708" s="1358"/>
      <c r="I7708" s="1358"/>
    </row>
    <row r="7709" spans="8:9">
      <c r="H7709" s="1358"/>
      <c r="I7709" s="1358"/>
    </row>
    <row r="7710" spans="8:9">
      <c r="H7710" s="1358"/>
      <c r="I7710" s="1358"/>
    </row>
    <row r="7711" spans="8:9">
      <c r="H7711" s="1358"/>
      <c r="I7711" s="1358"/>
    </row>
    <row r="7712" spans="8:9">
      <c r="H7712" s="1358"/>
      <c r="I7712" s="1358"/>
    </row>
    <row r="7713" spans="8:9">
      <c r="H7713" s="1358"/>
      <c r="I7713" s="1358"/>
    </row>
    <row r="7714" spans="8:9">
      <c r="H7714" s="1358"/>
      <c r="I7714" s="1358"/>
    </row>
    <row r="7715" spans="8:9">
      <c r="H7715" s="1358"/>
      <c r="I7715" s="1358"/>
    </row>
    <row r="7716" spans="8:9">
      <c r="H7716" s="1358"/>
      <c r="I7716" s="1358"/>
    </row>
    <row r="7717" spans="8:9">
      <c r="H7717" s="1358"/>
      <c r="I7717" s="1358"/>
    </row>
    <row r="7718" spans="8:9">
      <c r="H7718" s="1358"/>
      <c r="I7718" s="1358"/>
    </row>
    <row r="7719" spans="8:9">
      <c r="H7719" s="1358"/>
      <c r="I7719" s="1358"/>
    </row>
    <row r="7720" spans="8:9">
      <c r="H7720" s="1358"/>
      <c r="I7720" s="1358"/>
    </row>
    <row r="7721" spans="8:9">
      <c r="H7721" s="1358"/>
      <c r="I7721" s="1358"/>
    </row>
    <row r="7722" spans="8:9">
      <c r="H7722" s="1358"/>
      <c r="I7722" s="1358"/>
    </row>
    <row r="7723" spans="8:9">
      <c r="H7723" s="1358"/>
      <c r="I7723" s="1358"/>
    </row>
    <row r="7724" spans="8:9">
      <c r="H7724" s="1358"/>
      <c r="I7724" s="1358"/>
    </row>
    <row r="7725" spans="8:9">
      <c r="H7725" s="1358"/>
      <c r="I7725" s="1358"/>
    </row>
    <row r="7726" spans="8:9">
      <c r="H7726" s="1358"/>
      <c r="I7726" s="1358"/>
    </row>
    <row r="7727" spans="8:9">
      <c r="H7727" s="1358"/>
      <c r="I7727" s="1358"/>
    </row>
    <row r="7728" spans="8:9">
      <c r="H7728" s="1358"/>
      <c r="I7728" s="1358"/>
    </row>
    <row r="7729" spans="8:9">
      <c r="H7729" s="1358"/>
      <c r="I7729" s="1358"/>
    </row>
    <row r="7730" spans="8:9">
      <c r="H7730" s="1358"/>
      <c r="I7730" s="1358"/>
    </row>
    <row r="7731" spans="8:9">
      <c r="H7731" s="1358"/>
      <c r="I7731" s="1358"/>
    </row>
    <row r="7732" spans="8:9">
      <c r="H7732" s="1358"/>
      <c r="I7732" s="1358"/>
    </row>
    <row r="7733" spans="8:9">
      <c r="H7733" s="1358"/>
      <c r="I7733" s="1358"/>
    </row>
    <row r="7734" spans="8:9">
      <c r="H7734" s="1358"/>
      <c r="I7734" s="1358"/>
    </row>
    <row r="7735" spans="8:9">
      <c r="H7735" s="1358"/>
      <c r="I7735" s="1358"/>
    </row>
    <row r="7736" spans="8:9">
      <c r="H7736" s="1358"/>
      <c r="I7736" s="1358"/>
    </row>
    <row r="7737" spans="8:9">
      <c r="H7737" s="1358"/>
      <c r="I7737" s="1358"/>
    </row>
    <row r="7738" spans="8:9">
      <c r="H7738" s="1358"/>
      <c r="I7738" s="1358"/>
    </row>
    <row r="7739" spans="8:9">
      <c r="H7739" s="1358"/>
      <c r="I7739" s="1358"/>
    </row>
    <row r="7740" spans="8:9">
      <c r="H7740" s="1358"/>
      <c r="I7740" s="1358"/>
    </row>
    <row r="7741" spans="8:9">
      <c r="H7741" s="1358"/>
      <c r="I7741" s="1358"/>
    </row>
    <row r="7742" spans="8:9">
      <c r="H7742" s="1358"/>
      <c r="I7742" s="1358"/>
    </row>
    <row r="7743" spans="8:9">
      <c r="H7743" s="1358"/>
      <c r="I7743" s="1358"/>
    </row>
    <row r="7744" spans="8:9">
      <c r="H7744" s="1358"/>
      <c r="I7744" s="1358"/>
    </row>
    <row r="7745" spans="8:9">
      <c r="H7745" s="1358"/>
      <c r="I7745" s="1358"/>
    </row>
    <row r="7746" spans="8:9">
      <c r="H7746" s="1358"/>
      <c r="I7746" s="1358"/>
    </row>
    <row r="7747" spans="8:9">
      <c r="H7747" s="1358"/>
      <c r="I7747" s="1358"/>
    </row>
    <row r="7748" spans="8:9">
      <c r="H7748" s="1358"/>
      <c r="I7748" s="1358"/>
    </row>
    <row r="7749" spans="8:9">
      <c r="H7749" s="1358"/>
      <c r="I7749" s="1358"/>
    </row>
    <row r="7750" spans="8:9">
      <c r="H7750" s="1358"/>
      <c r="I7750" s="1358"/>
    </row>
    <row r="7751" spans="8:9">
      <c r="H7751" s="1358"/>
      <c r="I7751" s="1358"/>
    </row>
    <row r="7752" spans="8:9">
      <c r="H7752" s="1358"/>
      <c r="I7752" s="1358"/>
    </row>
    <row r="7753" spans="8:9">
      <c r="H7753" s="1358"/>
      <c r="I7753" s="1358"/>
    </row>
    <row r="7754" spans="8:9">
      <c r="H7754" s="1358"/>
      <c r="I7754" s="1358"/>
    </row>
    <row r="7755" spans="8:9">
      <c r="H7755" s="1358"/>
      <c r="I7755" s="1358"/>
    </row>
    <row r="7756" spans="8:9">
      <c r="H7756" s="1358"/>
      <c r="I7756" s="1358"/>
    </row>
    <row r="7757" spans="8:9">
      <c r="H7757" s="1358"/>
      <c r="I7757" s="1358"/>
    </row>
    <row r="7758" spans="8:9">
      <c r="H7758" s="1358"/>
      <c r="I7758" s="1358"/>
    </row>
    <row r="7759" spans="8:9">
      <c r="H7759" s="1358"/>
      <c r="I7759" s="1358"/>
    </row>
    <row r="7760" spans="8:9">
      <c r="H7760" s="1358"/>
      <c r="I7760" s="1358"/>
    </row>
    <row r="7761" spans="8:9">
      <c r="H7761" s="1358"/>
      <c r="I7761" s="1358"/>
    </row>
    <row r="7762" spans="8:9">
      <c r="H7762" s="1358"/>
      <c r="I7762" s="1358"/>
    </row>
    <row r="7763" spans="8:9">
      <c r="H7763" s="1358"/>
      <c r="I7763" s="1358"/>
    </row>
    <row r="7764" spans="8:9">
      <c r="H7764" s="1358"/>
      <c r="I7764" s="1358"/>
    </row>
    <row r="7765" spans="8:9">
      <c r="H7765" s="1358"/>
      <c r="I7765" s="1358"/>
    </row>
    <row r="7766" spans="8:9">
      <c r="H7766" s="1358"/>
      <c r="I7766" s="1358"/>
    </row>
    <row r="7767" spans="8:9">
      <c r="H7767" s="1358"/>
      <c r="I7767" s="1358"/>
    </row>
    <row r="7768" spans="8:9">
      <c r="H7768" s="1358"/>
      <c r="I7768" s="1358"/>
    </row>
    <row r="7769" spans="8:9">
      <c r="H7769" s="1358"/>
      <c r="I7769" s="1358"/>
    </row>
    <row r="7770" spans="8:9">
      <c r="H7770" s="1358"/>
      <c r="I7770" s="1358"/>
    </row>
    <row r="7771" spans="8:9">
      <c r="H7771" s="1358"/>
      <c r="I7771" s="1358"/>
    </row>
    <row r="7772" spans="8:9">
      <c r="H7772" s="1358"/>
      <c r="I7772" s="1358"/>
    </row>
    <row r="7773" spans="8:9">
      <c r="H7773" s="1358"/>
      <c r="I7773" s="1358"/>
    </row>
    <row r="7774" spans="8:9">
      <c r="H7774" s="1358"/>
      <c r="I7774" s="1358"/>
    </row>
    <row r="7775" spans="8:9">
      <c r="H7775" s="1358"/>
      <c r="I7775" s="1358"/>
    </row>
    <row r="7776" spans="8:9">
      <c r="H7776" s="1358"/>
      <c r="I7776" s="1358"/>
    </row>
    <row r="7777" spans="8:9">
      <c r="H7777" s="1358"/>
      <c r="I7777" s="1358"/>
    </row>
    <row r="7778" spans="8:9">
      <c r="H7778" s="1358"/>
      <c r="I7778" s="1358"/>
    </row>
    <row r="7779" spans="8:9">
      <c r="H7779" s="1358"/>
      <c r="I7779" s="1358"/>
    </row>
    <row r="7780" spans="8:9">
      <c r="H7780" s="1358"/>
      <c r="I7780" s="1358"/>
    </row>
    <row r="7781" spans="8:9">
      <c r="H7781" s="1358"/>
      <c r="I7781" s="1358"/>
    </row>
    <row r="7782" spans="8:9">
      <c r="H7782" s="1358"/>
      <c r="I7782" s="1358"/>
    </row>
    <row r="7783" spans="8:9">
      <c r="H7783" s="1358"/>
      <c r="I7783" s="1358"/>
    </row>
    <row r="7784" spans="8:9">
      <c r="H7784" s="1358"/>
      <c r="I7784" s="1358"/>
    </row>
    <row r="7785" spans="8:9">
      <c r="H7785" s="1358"/>
      <c r="I7785" s="1358"/>
    </row>
    <row r="7786" spans="8:9">
      <c r="H7786" s="1358"/>
      <c r="I7786" s="1358"/>
    </row>
    <row r="7787" spans="8:9">
      <c r="H7787" s="1358"/>
      <c r="I7787" s="1358"/>
    </row>
    <row r="7788" spans="8:9">
      <c r="H7788" s="1358"/>
      <c r="I7788" s="1358"/>
    </row>
    <row r="7789" spans="8:9">
      <c r="H7789" s="1358"/>
      <c r="I7789" s="1358"/>
    </row>
    <row r="7790" spans="8:9">
      <c r="H7790" s="1358"/>
      <c r="I7790" s="1358"/>
    </row>
    <row r="7791" spans="8:9">
      <c r="H7791" s="1358"/>
      <c r="I7791" s="1358"/>
    </row>
    <row r="7792" spans="8:9">
      <c r="H7792" s="1358"/>
      <c r="I7792" s="1358"/>
    </row>
    <row r="7793" spans="8:9">
      <c r="H7793" s="1358"/>
      <c r="I7793" s="1358"/>
    </row>
    <row r="7794" spans="8:9">
      <c r="H7794" s="1358"/>
      <c r="I7794" s="1358"/>
    </row>
    <row r="7795" spans="8:9">
      <c r="H7795" s="1358"/>
      <c r="I7795" s="1358"/>
    </row>
    <row r="7796" spans="8:9">
      <c r="H7796" s="1358"/>
      <c r="I7796" s="1358"/>
    </row>
    <row r="7797" spans="8:9">
      <c r="H7797" s="1358"/>
      <c r="I7797" s="1358"/>
    </row>
    <row r="7798" spans="8:9">
      <c r="H7798" s="1358"/>
      <c r="I7798" s="1358"/>
    </row>
    <row r="7799" spans="8:9">
      <c r="H7799" s="1358"/>
      <c r="I7799" s="1358"/>
    </row>
    <row r="7800" spans="8:9">
      <c r="H7800" s="1358"/>
      <c r="I7800" s="1358"/>
    </row>
    <row r="7801" spans="8:9">
      <c r="H7801" s="1358"/>
      <c r="I7801" s="1358"/>
    </row>
    <row r="7802" spans="8:9">
      <c r="H7802" s="1358"/>
      <c r="I7802" s="1358"/>
    </row>
    <row r="7803" spans="8:9">
      <c r="H7803" s="1358"/>
      <c r="I7803" s="1358"/>
    </row>
    <row r="7804" spans="8:9">
      <c r="H7804" s="1358"/>
      <c r="I7804" s="1358"/>
    </row>
    <row r="7805" spans="8:9">
      <c r="H7805" s="1358"/>
      <c r="I7805" s="1358"/>
    </row>
    <row r="7806" spans="8:9">
      <c r="H7806" s="1358"/>
      <c r="I7806" s="1358"/>
    </row>
    <row r="7807" spans="8:9">
      <c r="H7807" s="1358"/>
      <c r="I7807" s="1358"/>
    </row>
    <row r="7808" spans="8:9">
      <c r="H7808" s="1358"/>
      <c r="I7808" s="1358"/>
    </row>
    <row r="7809" spans="8:9">
      <c r="H7809" s="1358"/>
      <c r="I7809" s="1358"/>
    </row>
    <row r="7810" spans="8:9">
      <c r="H7810" s="1358"/>
      <c r="I7810" s="1358"/>
    </row>
    <row r="7811" spans="8:9">
      <c r="H7811" s="1358"/>
      <c r="I7811" s="1358"/>
    </row>
    <row r="7812" spans="8:9">
      <c r="H7812" s="1358"/>
      <c r="I7812" s="1358"/>
    </row>
    <row r="7813" spans="8:9">
      <c r="H7813" s="1358"/>
      <c r="I7813" s="1358"/>
    </row>
    <row r="7814" spans="8:9">
      <c r="H7814" s="1358"/>
      <c r="I7814" s="1358"/>
    </row>
    <row r="7815" spans="8:9">
      <c r="H7815" s="1358"/>
      <c r="I7815" s="1358"/>
    </row>
    <row r="7816" spans="8:9">
      <c r="H7816" s="1358"/>
      <c r="I7816" s="1358"/>
    </row>
    <row r="7817" spans="8:9">
      <c r="H7817" s="1358"/>
      <c r="I7817" s="1358"/>
    </row>
    <row r="7818" spans="8:9">
      <c r="H7818" s="1358"/>
      <c r="I7818" s="1358"/>
    </row>
    <row r="7819" spans="8:9">
      <c r="H7819" s="1358"/>
      <c r="I7819" s="1358"/>
    </row>
    <row r="7820" spans="8:9">
      <c r="H7820" s="1358"/>
      <c r="I7820" s="1358"/>
    </row>
    <row r="7821" spans="8:9">
      <c r="H7821" s="1358"/>
      <c r="I7821" s="1358"/>
    </row>
    <row r="7822" spans="8:9">
      <c r="H7822" s="1358"/>
      <c r="I7822" s="1358"/>
    </row>
    <row r="7823" spans="8:9">
      <c r="H7823" s="1358"/>
      <c r="I7823" s="1358"/>
    </row>
    <row r="7824" spans="8:9">
      <c r="H7824" s="1358"/>
      <c r="I7824" s="1358"/>
    </row>
    <row r="7825" spans="8:9">
      <c r="H7825" s="1358"/>
      <c r="I7825" s="1358"/>
    </row>
    <row r="7826" spans="8:9">
      <c r="H7826" s="1358"/>
      <c r="I7826" s="1358"/>
    </row>
    <row r="7827" spans="8:9">
      <c r="H7827" s="1358"/>
      <c r="I7827" s="1358"/>
    </row>
    <row r="7828" spans="8:9">
      <c r="H7828" s="1358"/>
      <c r="I7828" s="1358"/>
    </row>
    <row r="7829" spans="8:9">
      <c r="H7829" s="1358"/>
      <c r="I7829" s="1358"/>
    </row>
    <row r="7830" spans="8:9">
      <c r="H7830" s="1358"/>
      <c r="I7830" s="1358"/>
    </row>
    <row r="7831" spans="8:9">
      <c r="H7831" s="1358"/>
      <c r="I7831" s="1358"/>
    </row>
    <row r="7832" spans="8:9">
      <c r="H7832" s="1358"/>
      <c r="I7832" s="1358"/>
    </row>
    <row r="7833" spans="8:9">
      <c r="H7833" s="1358"/>
      <c r="I7833" s="1358"/>
    </row>
    <row r="7834" spans="8:9">
      <c r="H7834" s="1358"/>
      <c r="I7834" s="1358"/>
    </row>
    <row r="7835" spans="8:9">
      <c r="H7835" s="1358"/>
      <c r="I7835" s="1358"/>
    </row>
    <row r="7836" spans="8:9">
      <c r="H7836" s="1358"/>
      <c r="I7836" s="1358"/>
    </row>
    <row r="7837" spans="8:9">
      <c r="H7837" s="1358"/>
      <c r="I7837" s="1358"/>
    </row>
    <row r="7838" spans="8:9">
      <c r="H7838" s="1358"/>
      <c r="I7838" s="1358"/>
    </row>
    <row r="7839" spans="8:9">
      <c r="H7839" s="1358"/>
      <c r="I7839" s="1358"/>
    </row>
    <row r="7840" spans="8:9">
      <c r="H7840" s="1358"/>
      <c r="I7840" s="1358"/>
    </row>
    <row r="7841" spans="8:9">
      <c r="H7841" s="1358"/>
      <c r="I7841" s="1358"/>
    </row>
    <row r="7842" spans="8:9">
      <c r="H7842" s="1358"/>
      <c r="I7842" s="1358"/>
    </row>
    <row r="7843" spans="8:9">
      <c r="H7843" s="1358"/>
      <c r="I7843" s="1358"/>
    </row>
    <row r="7844" spans="8:9">
      <c r="H7844" s="1358"/>
      <c r="I7844" s="1358"/>
    </row>
    <row r="7845" spans="8:9">
      <c r="H7845" s="1358"/>
      <c r="I7845" s="1358"/>
    </row>
    <row r="7846" spans="8:9">
      <c r="H7846" s="1358"/>
      <c r="I7846" s="1358"/>
    </row>
    <row r="7847" spans="8:9">
      <c r="H7847" s="1358"/>
      <c r="I7847" s="1358"/>
    </row>
    <row r="7848" spans="8:9">
      <c r="H7848" s="1358"/>
      <c r="I7848" s="1358"/>
    </row>
    <row r="7849" spans="8:9">
      <c r="H7849" s="1358"/>
      <c r="I7849" s="1358"/>
    </row>
    <row r="7850" spans="8:9">
      <c r="H7850" s="1358"/>
      <c r="I7850" s="1358"/>
    </row>
    <row r="7851" spans="8:9">
      <c r="H7851" s="1358"/>
      <c r="I7851" s="1358"/>
    </row>
    <row r="7852" spans="8:9">
      <c r="H7852" s="1358"/>
      <c r="I7852" s="1358"/>
    </row>
    <row r="7853" spans="8:9">
      <c r="H7853" s="1358"/>
      <c r="I7853" s="1358"/>
    </row>
    <row r="7854" spans="8:9">
      <c r="H7854" s="1358"/>
      <c r="I7854" s="1358"/>
    </row>
    <row r="7855" spans="8:9">
      <c r="H7855" s="1358"/>
      <c r="I7855" s="1358"/>
    </row>
    <row r="7856" spans="8:9">
      <c r="H7856" s="1358"/>
      <c r="I7856" s="1358"/>
    </row>
    <row r="7857" spans="8:9">
      <c r="H7857" s="1358"/>
      <c r="I7857" s="1358"/>
    </row>
    <row r="7858" spans="8:9">
      <c r="H7858" s="1358"/>
      <c r="I7858" s="1358"/>
    </row>
    <row r="7859" spans="8:9">
      <c r="H7859" s="1358"/>
      <c r="I7859" s="1358"/>
    </row>
    <row r="7860" spans="8:9">
      <c r="H7860" s="1358"/>
      <c r="I7860" s="1358"/>
    </row>
    <row r="7861" spans="8:9">
      <c r="H7861" s="1358"/>
      <c r="I7861" s="1358"/>
    </row>
    <row r="7862" spans="8:9">
      <c r="H7862" s="1358"/>
      <c r="I7862" s="1358"/>
    </row>
    <row r="7863" spans="8:9">
      <c r="H7863" s="1358"/>
      <c r="I7863" s="1358"/>
    </row>
    <row r="7864" spans="8:9">
      <c r="H7864" s="1358"/>
      <c r="I7864" s="1358"/>
    </row>
    <row r="7865" spans="8:9">
      <c r="H7865" s="1358"/>
      <c r="I7865" s="1358"/>
    </row>
    <row r="7866" spans="8:9">
      <c r="H7866" s="1358"/>
      <c r="I7866" s="1358"/>
    </row>
    <row r="7867" spans="8:9">
      <c r="H7867" s="1358"/>
      <c r="I7867" s="1358"/>
    </row>
    <row r="7868" spans="8:9">
      <c r="H7868" s="1358"/>
      <c r="I7868" s="1358"/>
    </row>
    <row r="7869" spans="8:9">
      <c r="H7869" s="1358"/>
      <c r="I7869" s="1358"/>
    </row>
    <row r="7870" spans="8:9">
      <c r="H7870" s="1358"/>
      <c r="I7870" s="1358"/>
    </row>
    <row r="7871" spans="8:9">
      <c r="H7871" s="1358"/>
      <c r="I7871" s="1358"/>
    </row>
    <row r="7872" spans="8:9">
      <c r="H7872" s="1358"/>
      <c r="I7872" s="1358"/>
    </row>
    <row r="7873" spans="8:9">
      <c r="H7873" s="1358"/>
      <c r="I7873" s="1358"/>
    </row>
    <row r="7874" spans="8:9">
      <c r="H7874" s="1358"/>
      <c r="I7874" s="1358"/>
    </row>
    <row r="7875" spans="8:9">
      <c r="H7875" s="1358"/>
      <c r="I7875" s="1358"/>
    </row>
    <row r="7876" spans="8:9">
      <c r="H7876" s="1358"/>
      <c r="I7876" s="1358"/>
    </row>
    <row r="7877" spans="8:9">
      <c r="H7877" s="1358"/>
      <c r="I7877" s="1358"/>
    </row>
    <row r="7878" spans="8:9">
      <c r="H7878" s="1358"/>
      <c r="I7878" s="1358"/>
    </row>
    <row r="7879" spans="8:9">
      <c r="H7879" s="1358"/>
      <c r="I7879" s="1358"/>
    </row>
    <row r="7880" spans="8:9">
      <c r="H7880" s="1358"/>
      <c r="I7880" s="1358"/>
    </row>
    <row r="7881" spans="8:9">
      <c r="H7881" s="1358"/>
      <c r="I7881" s="1358"/>
    </row>
    <row r="7882" spans="8:9">
      <c r="H7882" s="1358"/>
      <c r="I7882" s="1358"/>
    </row>
    <row r="7883" spans="8:9">
      <c r="H7883" s="1358"/>
      <c r="I7883" s="1358"/>
    </row>
    <row r="7884" spans="8:9">
      <c r="H7884" s="1358"/>
      <c r="I7884" s="1358"/>
    </row>
    <row r="7885" spans="8:9">
      <c r="H7885" s="1358"/>
      <c r="I7885" s="1358"/>
    </row>
    <row r="7886" spans="8:9">
      <c r="H7886" s="1358"/>
      <c r="I7886" s="1358"/>
    </row>
    <row r="7887" spans="8:9">
      <c r="H7887" s="1358"/>
      <c r="I7887" s="1358"/>
    </row>
    <row r="7888" spans="8:9">
      <c r="H7888" s="1358"/>
      <c r="I7888" s="1358"/>
    </row>
    <row r="7889" spans="8:9">
      <c r="H7889" s="1358"/>
      <c r="I7889" s="1358"/>
    </row>
    <row r="7890" spans="8:9">
      <c r="H7890" s="1358"/>
      <c r="I7890" s="1358"/>
    </row>
    <row r="7891" spans="8:9">
      <c r="H7891" s="1358"/>
      <c r="I7891" s="1358"/>
    </row>
    <row r="7892" spans="8:9">
      <c r="H7892" s="1358"/>
      <c r="I7892" s="1358"/>
    </row>
    <row r="7893" spans="8:9">
      <c r="H7893" s="1358"/>
      <c r="I7893" s="1358"/>
    </row>
    <row r="7894" spans="8:9">
      <c r="H7894" s="1358"/>
      <c r="I7894" s="1358"/>
    </row>
    <row r="7895" spans="8:9">
      <c r="H7895" s="1358"/>
      <c r="I7895" s="1358"/>
    </row>
    <row r="7896" spans="8:9">
      <c r="H7896" s="1358"/>
      <c r="I7896" s="1358"/>
    </row>
    <row r="7897" spans="8:9">
      <c r="H7897" s="1358"/>
      <c r="I7897" s="1358"/>
    </row>
    <row r="7898" spans="8:9">
      <c r="H7898" s="1358"/>
      <c r="I7898" s="1358"/>
    </row>
    <row r="7899" spans="8:9">
      <c r="H7899" s="1358"/>
      <c r="I7899" s="1358"/>
    </row>
    <row r="7900" spans="8:9">
      <c r="H7900" s="1358"/>
      <c r="I7900" s="1358"/>
    </row>
    <row r="7901" spans="8:9">
      <c r="H7901" s="1358"/>
      <c r="I7901" s="1358"/>
    </row>
    <row r="7902" spans="8:9">
      <c r="H7902" s="1358"/>
      <c r="I7902" s="1358"/>
    </row>
    <row r="7903" spans="8:9">
      <c r="H7903" s="1358"/>
      <c r="I7903" s="1358"/>
    </row>
    <row r="7904" spans="8:9">
      <c r="H7904" s="1358"/>
      <c r="I7904" s="1358"/>
    </row>
    <row r="7905" spans="8:9">
      <c r="H7905" s="1358"/>
      <c r="I7905" s="1358"/>
    </row>
    <row r="7906" spans="8:9">
      <c r="H7906" s="1358"/>
      <c r="I7906" s="1358"/>
    </row>
    <row r="7907" spans="8:9">
      <c r="H7907" s="1358"/>
      <c r="I7907" s="1358"/>
    </row>
    <row r="7908" spans="8:9">
      <c r="H7908" s="1358"/>
      <c r="I7908" s="1358"/>
    </row>
    <row r="7909" spans="8:9">
      <c r="H7909" s="1358"/>
      <c r="I7909" s="1358"/>
    </row>
    <row r="7910" spans="8:9">
      <c r="H7910" s="1358"/>
      <c r="I7910" s="1358"/>
    </row>
    <row r="7911" spans="8:9">
      <c r="H7911" s="1358"/>
      <c r="I7911" s="1358"/>
    </row>
    <row r="7912" spans="8:9">
      <c r="H7912" s="1358"/>
      <c r="I7912" s="1358"/>
    </row>
    <row r="7913" spans="8:9">
      <c r="H7913" s="1358"/>
      <c r="I7913" s="1358"/>
    </row>
    <row r="7914" spans="8:9">
      <c r="H7914" s="1358"/>
      <c r="I7914" s="1358"/>
    </row>
    <row r="7915" spans="8:9">
      <c r="H7915" s="1358"/>
      <c r="I7915" s="1358"/>
    </row>
    <row r="7916" spans="8:9">
      <c r="H7916" s="1358"/>
      <c r="I7916" s="1358"/>
    </row>
    <row r="7917" spans="8:9">
      <c r="H7917" s="1358"/>
      <c r="I7917" s="1358"/>
    </row>
    <row r="7918" spans="8:9">
      <c r="H7918" s="1358"/>
      <c r="I7918" s="1358"/>
    </row>
    <row r="7919" spans="8:9">
      <c r="H7919" s="1358"/>
      <c r="I7919" s="1358"/>
    </row>
    <row r="7920" spans="8:9">
      <c r="H7920" s="1358"/>
      <c r="I7920" s="1358"/>
    </row>
    <row r="7921" spans="8:9">
      <c r="H7921" s="1358"/>
      <c r="I7921" s="1358"/>
    </row>
    <row r="7922" spans="8:9">
      <c r="H7922" s="1358"/>
      <c r="I7922" s="1358"/>
    </row>
    <row r="7923" spans="8:9">
      <c r="H7923" s="1358"/>
      <c r="I7923" s="1358"/>
    </row>
    <row r="7924" spans="8:9">
      <c r="H7924" s="1358"/>
      <c r="I7924" s="1358"/>
    </row>
    <row r="7925" spans="8:9">
      <c r="H7925" s="1358"/>
      <c r="I7925" s="1358"/>
    </row>
    <row r="7926" spans="8:9">
      <c r="H7926" s="1358"/>
      <c r="I7926" s="1358"/>
    </row>
    <row r="7927" spans="8:9">
      <c r="H7927" s="1358"/>
      <c r="I7927" s="1358"/>
    </row>
    <row r="7928" spans="8:9">
      <c r="H7928" s="1358"/>
      <c r="I7928" s="1358"/>
    </row>
    <row r="7929" spans="8:9">
      <c r="H7929" s="1358"/>
      <c r="I7929" s="1358"/>
    </row>
    <row r="7930" spans="8:9">
      <c r="H7930" s="1358"/>
      <c r="I7930" s="1358"/>
    </row>
    <row r="7931" spans="8:9">
      <c r="H7931" s="1358"/>
      <c r="I7931" s="1358"/>
    </row>
    <row r="7932" spans="8:9">
      <c r="H7932" s="1358"/>
      <c r="I7932" s="1358"/>
    </row>
    <row r="7933" spans="8:9">
      <c r="H7933" s="1358"/>
      <c r="I7933" s="1358"/>
    </row>
    <row r="7934" spans="8:9">
      <c r="H7934" s="1358"/>
      <c r="I7934" s="1358"/>
    </row>
    <row r="7935" spans="8:9">
      <c r="H7935" s="1358"/>
      <c r="I7935" s="1358"/>
    </row>
    <row r="7936" spans="8:9">
      <c r="H7936" s="1358"/>
      <c r="I7936" s="1358"/>
    </row>
    <row r="7937" spans="8:9">
      <c r="H7937" s="1358"/>
      <c r="I7937" s="1358"/>
    </row>
    <row r="7938" spans="8:9">
      <c r="H7938" s="1358"/>
      <c r="I7938" s="1358"/>
    </row>
    <row r="7939" spans="8:9">
      <c r="H7939" s="1358"/>
      <c r="I7939" s="1358"/>
    </row>
    <row r="7940" spans="8:9">
      <c r="H7940" s="1358"/>
      <c r="I7940" s="1358"/>
    </row>
    <row r="7941" spans="8:9">
      <c r="H7941" s="1358"/>
      <c r="I7941" s="1358"/>
    </row>
    <row r="7942" spans="8:9">
      <c r="H7942" s="1358"/>
      <c r="I7942" s="1358"/>
    </row>
    <row r="7943" spans="8:9">
      <c r="H7943" s="1358"/>
      <c r="I7943" s="1358"/>
    </row>
    <row r="7944" spans="8:9">
      <c r="H7944" s="1358"/>
      <c r="I7944" s="1358"/>
    </row>
    <row r="7945" spans="8:9">
      <c r="H7945" s="1358"/>
      <c r="I7945" s="1358"/>
    </row>
    <row r="7946" spans="8:9">
      <c r="H7946" s="1358"/>
      <c r="I7946" s="1358"/>
    </row>
    <row r="7947" spans="8:9">
      <c r="H7947" s="1358"/>
      <c r="I7947" s="1358"/>
    </row>
    <row r="7948" spans="8:9">
      <c r="H7948" s="1358"/>
      <c r="I7948" s="1358"/>
    </row>
    <row r="7949" spans="8:9">
      <c r="H7949" s="1358"/>
      <c r="I7949" s="1358"/>
    </row>
    <row r="7950" spans="8:9">
      <c r="H7950" s="1358"/>
      <c r="I7950" s="1358"/>
    </row>
    <row r="7951" spans="8:9">
      <c r="H7951" s="1358"/>
      <c r="I7951" s="1358"/>
    </row>
    <row r="7952" spans="8:9">
      <c r="H7952" s="1358"/>
      <c r="I7952" s="1358"/>
    </row>
    <row r="7953" spans="8:9">
      <c r="H7953" s="1358"/>
      <c r="I7953" s="1358"/>
    </row>
    <row r="7954" spans="8:9">
      <c r="H7954" s="1358"/>
      <c r="I7954" s="1358"/>
    </row>
    <row r="7955" spans="8:9">
      <c r="H7955" s="1358"/>
      <c r="I7955" s="1358"/>
    </row>
    <row r="7956" spans="8:9">
      <c r="H7956" s="1358"/>
      <c r="I7956" s="1358"/>
    </row>
    <row r="7957" spans="8:9">
      <c r="H7957" s="1358"/>
      <c r="I7957" s="1358"/>
    </row>
    <row r="7958" spans="8:9">
      <c r="H7958" s="1358"/>
      <c r="I7958" s="1358"/>
    </row>
    <row r="7959" spans="8:9">
      <c r="H7959" s="1358"/>
      <c r="I7959" s="1358"/>
    </row>
    <row r="7960" spans="8:9">
      <c r="H7960" s="1358"/>
      <c r="I7960" s="1358"/>
    </row>
    <row r="7961" spans="8:9">
      <c r="H7961" s="1358"/>
      <c r="I7961" s="1358"/>
    </row>
    <row r="7962" spans="8:9">
      <c r="H7962" s="1358"/>
      <c r="I7962" s="1358"/>
    </row>
    <row r="7963" spans="8:9">
      <c r="H7963" s="1358"/>
      <c r="I7963" s="1358"/>
    </row>
    <row r="7964" spans="8:9">
      <c r="H7964" s="1358"/>
      <c r="I7964" s="1358"/>
    </row>
    <row r="7965" spans="8:9">
      <c r="H7965" s="1358"/>
      <c r="I7965" s="1358"/>
    </row>
    <row r="7966" spans="8:9">
      <c r="H7966" s="1358"/>
      <c r="I7966" s="1358"/>
    </row>
    <row r="7967" spans="8:9">
      <c r="H7967" s="1358"/>
      <c r="I7967" s="1358"/>
    </row>
    <row r="7968" spans="8:9">
      <c r="H7968" s="1358"/>
      <c r="I7968" s="1358"/>
    </row>
    <row r="7969" spans="8:9">
      <c r="H7969" s="1358"/>
      <c r="I7969" s="1358"/>
    </row>
    <row r="7970" spans="8:9">
      <c r="H7970" s="1358"/>
      <c r="I7970" s="1358"/>
    </row>
    <row r="7971" spans="8:9">
      <c r="H7971" s="1358"/>
      <c r="I7971" s="1358"/>
    </row>
    <row r="7972" spans="8:9">
      <c r="H7972" s="1358"/>
      <c r="I7972" s="1358"/>
    </row>
    <row r="7973" spans="8:9">
      <c r="H7973" s="1358"/>
      <c r="I7973" s="1358"/>
    </row>
    <row r="7974" spans="8:9">
      <c r="H7974" s="1358"/>
      <c r="I7974" s="1358"/>
    </row>
    <row r="7975" spans="8:9">
      <c r="H7975" s="1358"/>
      <c r="I7975" s="1358"/>
    </row>
    <row r="7976" spans="8:9">
      <c r="H7976" s="1358"/>
      <c r="I7976" s="1358"/>
    </row>
    <row r="7977" spans="8:9">
      <c r="H7977" s="1358"/>
      <c r="I7977" s="1358"/>
    </row>
    <row r="7978" spans="8:9">
      <c r="H7978" s="1358"/>
      <c r="I7978" s="1358"/>
    </row>
    <row r="7979" spans="8:9">
      <c r="H7979" s="1358"/>
      <c r="I7979" s="1358"/>
    </row>
    <row r="7980" spans="8:9">
      <c r="H7980" s="1358"/>
      <c r="I7980" s="1358"/>
    </row>
    <row r="7981" spans="8:9">
      <c r="H7981" s="1358"/>
      <c r="I7981" s="1358"/>
    </row>
    <row r="7982" spans="8:9">
      <c r="H7982" s="1358"/>
      <c r="I7982" s="1358"/>
    </row>
    <row r="7983" spans="8:9">
      <c r="H7983" s="1358"/>
      <c r="I7983" s="1358"/>
    </row>
    <row r="7984" spans="8:9">
      <c r="H7984" s="1358"/>
      <c r="I7984" s="1358"/>
    </row>
    <row r="7985" spans="8:9">
      <c r="H7985" s="1358"/>
      <c r="I7985" s="1358"/>
    </row>
    <row r="7986" spans="8:9">
      <c r="H7986" s="1358"/>
      <c r="I7986" s="1358"/>
    </row>
    <row r="7987" spans="8:9">
      <c r="H7987" s="1358"/>
      <c r="I7987" s="1358"/>
    </row>
    <row r="7988" spans="8:9">
      <c r="H7988" s="1358"/>
      <c r="I7988" s="1358"/>
    </row>
    <row r="7989" spans="8:9">
      <c r="H7989" s="1358"/>
      <c r="I7989" s="1358"/>
    </row>
    <row r="7990" spans="8:9">
      <c r="H7990" s="1358"/>
      <c r="I7990" s="1358"/>
    </row>
    <row r="7991" spans="8:9">
      <c r="H7991" s="1358"/>
      <c r="I7991" s="1358"/>
    </row>
    <row r="7992" spans="8:9">
      <c r="H7992" s="1358"/>
      <c r="I7992" s="1358"/>
    </row>
    <row r="7993" spans="8:9">
      <c r="H7993" s="1358"/>
      <c r="I7993" s="1358"/>
    </row>
    <row r="7994" spans="8:9">
      <c r="H7994" s="1358"/>
      <c r="I7994" s="1358"/>
    </row>
    <row r="7995" spans="8:9">
      <c r="H7995" s="1358"/>
      <c r="I7995" s="1358"/>
    </row>
    <row r="7996" spans="8:9">
      <c r="H7996" s="1358"/>
      <c r="I7996" s="1358"/>
    </row>
    <row r="7997" spans="8:9">
      <c r="H7997" s="1358"/>
      <c r="I7997" s="1358"/>
    </row>
    <row r="7998" spans="8:9">
      <c r="H7998" s="1358"/>
      <c r="I7998" s="1358"/>
    </row>
    <row r="7999" spans="8:9">
      <c r="H7999" s="1358"/>
      <c r="I7999" s="1358"/>
    </row>
    <row r="8000" spans="8:9">
      <c r="H8000" s="1358"/>
      <c r="I8000" s="1358"/>
    </row>
    <row r="8001" spans="8:9">
      <c r="H8001" s="1358"/>
      <c r="I8001" s="1358"/>
    </row>
    <row r="8002" spans="8:9">
      <c r="H8002" s="1358"/>
      <c r="I8002" s="1358"/>
    </row>
    <row r="8003" spans="8:9">
      <c r="H8003" s="1358"/>
      <c r="I8003" s="1358"/>
    </row>
    <row r="8004" spans="8:9">
      <c r="H8004" s="1358"/>
      <c r="I8004" s="1358"/>
    </row>
    <row r="8005" spans="8:9">
      <c r="H8005" s="1358"/>
      <c r="I8005" s="1358"/>
    </row>
    <row r="8006" spans="8:9">
      <c r="H8006" s="1358"/>
      <c r="I8006" s="1358"/>
    </row>
    <row r="8007" spans="8:9">
      <c r="H8007" s="1358"/>
      <c r="I8007" s="1358"/>
    </row>
    <row r="8008" spans="8:9">
      <c r="H8008" s="1358"/>
      <c r="I8008" s="1358"/>
    </row>
    <row r="8009" spans="8:9">
      <c r="H8009" s="1358"/>
      <c r="I8009" s="1358"/>
    </row>
    <row r="8010" spans="8:9">
      <c r="H8010" s="1358"/>
      <c r="I8010" s="1358"/>
    </row>
    <row r="8011" spans="8:9">
      <c r="H8011" s="1358"/>
      <c r="I8011" s="1358"/>
    </row>
    <row r="8012" spans="8:9">
      <c r="H8012" s="1358"/>
      <c r="I8012" s="1358"/>
    </row>
    <row r="8013" spans="8:9">
      <c r="H8013" s="1358"/>
      <c r="I8013" s="1358"/>
    </row>
    <row r="8014" spans="8:9">
      <c r="H8014" s="1358"/>
      <c r="I8014" s="1358"/>
    </row>
    <row r="8015" spans="8:9">
      <c r="H8015" s="1358"/>
      <c r="I8015" s="1358"/>
    </row>
    <row r="8016" spans="8:9">
      <c r="H8016" s="1358"/>
      <c r="I8016" s="1358"/>
    </row>
    <row r="8017" spans="8:9">
      <c r="H8017" s="1358"/>
      <c r="I8017" s="1358"/>
    </row>
    <row r="8018" spans="8:9">
      <c r="H8018" s="1358"/>
      <c r="I8018" s="1358"/>
    </row>
    <row r="8019" spans="8:9">
      <c r="H8019" s="1358"/>
      <c r="I8019" s="1358"/>
    </row>
    <row r="8020" spans="8:9">
      <c r="H8020" s="1358"/>
      <c r="I8020" s="1358"/>
    </row>
    <row r="8021" spans="8:9">
      <c r="H8021" s="1358"/>
      <c r="I8021" s="1358"/>
    </row>
    <row r="8022" spans="8:9">
      <c r="H8022" s="1358"/>
      <c r="I8022" s="1358"/>
    </row>
    <row r="8023" spans="8:9">
      <c r="H8023" s="1358"/>
      <c r="I8023" s="1358"/>
    </row>
    <row r="8024" spans="8:9">
      <c r="H8024" s="1358"/>
      <c r="I8024" s="1358"/>
    </row>
    <row r="8025" spans="8:9">
      <c r="H8025" s="1358"/>
      <c r="I8025" s="1358"/>
    </row>
    <row r="8026" spans="8:9">
      <c r="H8026" s="1358"/>
      <c r="I8026" s="1358"/>
    </row>
    <row r="8027" spans="8:9">
      <c r="H8027" s="1358"/>
      <c r="I8027" s="1358"/>
    </row>
    <row r="8028" spans="8:9">
      <c r="H8028" s="1358"/>
      <c r="I8028" s="1358"/>
    </row>
    <row r="8029" spans="8:9">
      <c r="H8029" s="1358"/>
      <c r="I8029" s="1358"/>
    </row>
    <row r="8030" spans="8:9">
      <c r="H8030" s="1358"/>
      <c r="I8030" s="1358"/>
    </row>
    <row r="8031" spans="8:9">
      <c r="H8031" s="1358"/>
      <c r="I8031" s="1358"/>
    </row>
    <row r="8032" spans="8:9">
      <c r="H8032" s="1358"/>
      <c r="I8032" s="1358"/>
    </row>
    <row r="8033" spans="8:9">
      <c r="H8033" s="1358"/>
      <c r="I8033" s="1358"/>
    </row>
    <row r="8034" spans="8:9">
      <c r="H8034" s="1358"/>
      <c r="I8034" s="1358"/>
    </row>
    <row r="8035" spans="8:9">
      <c r="H8035" s="1358"/>
      <c r="I8035" s="1358"/>
    </row>
    <row r="8036" spans="8:9">
      <c r="H8036" s="1358"/>
      <c r="I8036" s="1358"/>
    </row>
    <row r="8037" spans="8:9">
      <c r="H8037" s="1358"/>
      <c r="I8037" s="1358"/>
    </row>
    <row r="8038" spans="8:9">
      <c r="H8038" s="1358"/>
      <c r="I8038" s="1358"/>
    </row>
    <row r="8039" spans="8:9">
      <c r="H8039" s="1358"/>
      <c r="I8039" s="1358"/>
    </row>
    <row r="8040" spans="8:9">
      <c r="H8040" s="1358"/>
      <c r="I8040" s="1358"/>
    </row>
    <row r="8041" spans="8:9">
      <c r="H8041" s="1358"/>
      <c r="I8041" s="1358"/>
    </row>
    <row r="8042" spans="8:9">
      <c r="H8042" s="1358"/>
      <c r="I8042" s="1358"/>
    </row>
    <row r="8043" spans="8:9">
      <c r="H8043" s="1358"/>
      <c r="I8043" s="1358"/>
    </row>
    <row r="8044" spans="8:9">
      <c r="H8044" s="1358"/>
      <c r="I8044" s="1358"/>
    </row>
    <row r="8045" spans="8:9">
      <c r="H8045" s="1358"/>
      <c r="I8045" s="1358"/>
    </row>
    <row r="8046" spans="8:9">
      <c r="H8046" s="1358"/>
      <c r="I8046" s="1358"/>
    </row>
    <row r="8047" spans="8:9">
      <c r="H8047" s="1358"/>
      <c r="I8047" s="1358"/>
    </row>
    <row r="8048" spans="8:9">
      <c r="H8048" s="1358"/>
      <c r="I8048" s="1358"/>
    </row>
    <row r="8049" spans="8:9">
      <c r="H8049" s="1358"/>
      <c r="I8049" s="1358"/>
    </row>
    <row r="8050" spans="8:9">
      <c r="H8050" s="1358"/>
      <c r="I8050" s="1358"/>
    </row>
    <row r="8051" spans="8:9">
      <c r="H8051" s="1358"/>
      <c r="I8051" s="1358"/>
    </row>
    <row r="8052" spans="8:9">
      <c r="H8052" s="1358"/>
      <c r="I8052" s="1358"/>
    </row>
    <row r="8053" spans="8:9">
      <c r="H8053" s="1358"/>
      <c r="I8053" s="1358"/>
    </row>
    <row r="8054" spans="8:9">
      <c r="H8054" s="1358"/>
      <c r="I8054" s="1358"/>
    </row>
    <row r="8055" spans="8:9">
      <c r="H8055" s="1358"/>
      <c r="I8055" s="1358"/>
    </row>
    <row r="8056" spans="8:9">
      <c r="H8056" s="1358"/>
      <c r="I8056" s="1358"/>
    </row>
    <row r="8057" spans="8:9">
      <c r="H8057" s="1358"/>
      <c r="I8057" s="1358"/>
    </row>
    <row r="8058" spans="8:9">
      <c r="H8058" s="1358"/>
      <c r="I8058" s="1358"/>
    </row>
    <row r="8059" spans="8:9">
      <c r="H8059" s="1358"/>
      <c r="I8059" s="1358"/>
    </row>
    <row r="8060" spans="8:9">
      <c r="H8060" s="1358"/>
      <c r="I8060" s="1358"/>
    </row>
    <row r="8061" spans="8:9">
      <c r="H8061" s="1358"/>
      <c r="I8061" s="1358"/>
    </row>
    <row r="8062" spans="8:9">
      <c r="H8062" s="1358"/>
      <c r="I8062" s="1358"/>
    </row>
    <row r="8063" spans="8:9">
      <c r="H8063" s="1358"/>
      <c r="I8063" s="1358"/>
    </row>
    <row r="8064" spans="8:9">
      <c r="H8064" s="1358"/>
      <c r="I8064" s="1358"/>
    </row>
    <row r="8065" spans="8:9">
      <c r="H8065" s="1358"/>
      <c r="I8065" s="1358"/>
    </row>
    <row r="8066" spans="8:9">
      <c r="H8066" s="1358"/>
      <c r="I8066" s="1358"/>
    </row>
    <row r="8067" spans="8:9">
      <c r="H8067" s="1358"/>
      <c r="I8067" s="1358"/>
    </row>
    <row r="8068" spans="8:9">
      <c r="H8068" s="1358"/>
      <c r="I8068" s="1358"/>
    </row>
    <row r="8069" spans="8:9">
      <c r="H8069" s="1358"/>
      <c r="I8069" s="1358"/>
    </row>
    <row r="8070" spans="8:9">
      <c r="H8070" s="1358"/>
      <c r="I8070" s="1358"/>
    </row>
    <row r="8071" spans="8:9">
      <c r="H8071" s="1358"/>
      <c r="I8071" s="1358"/>
    </row>
    <row r="8072" spans="8:9">
      <c r="H8072" s="1358"/>
      <c r="I8072" s="1358"/>
    </row>
    <row r="8073" spans="8:9">
      <c r="H8073" s="1358"/>
      <c r="I8073" s="1358"/>
    </row>
    <row r="8074" spans="8:9">
      <c r="H8074" s="1358"/>
      <c r="I8074" s="1358"/>
    </row>
    <row r="8075" spans="8:9">
      <c r="H8075" s="1358"/>
      <c r="I8075" s="1358"/>
    </row>
    <row r="8076" spans="8:9">
      <c r="H8076" s="1358"/>
      <c r="I8076" s="1358"/>
    </row>
    <row r="8077" spans="8:9">
      <c r="H8077" s="1358"/>
      <c r="I8077" s="1358"/>
    </row>
    <row r="8078" spans="8:9">
      <c r="H8078" s="1358"/>
      <c r="I8078" s="1358"/>
    </row>
    <row r="8079" spans="8:9">
      <c r="H8079" s="1358"/>
      <c r="I8079" s="1358"/>
    </row>
    <row r="8080" spans="8:9">
      <c r="H8080" s="1358"/>
      <c r="I8080" s="1358"/>
    </row>
    <row r="8081" spans="8:9">
      <c r="H8081" s="1358"/>
      <c r="I8081" s="1358"/>
    </row>
    <row r="8082" spans="8:9">
      <c r="H8082" s="1358"/>
      <c r="I8082" s="1358"/>
    </row>
    <row r="8083" spans="8:9">
      <c r="H8083" s="1358"/>
      <c r="I8083" s="1358"/>
    </row>
    <row r="8084" spans="8:9">
      <c r="H8084" s="1358"/>
      <c r="I8084" s="1358"/>
    </row>
    <row r="8085" spans="8:9">
      <c r="H8085" s="1358"/>
      <c r="I8085" s="1358"/>
    </row>
    <row r="8086" spans="8:9">
      <c r="H8086" s="1358"/>
      <c r="I8086" s="1358"/>
    </row>
    <row r="8087" spans="8:9">
      <c r="H8087" s="1358"/>
      <c r="I8087" s="1358"/>
    </row>
    <row r="8088" spans="8:9">
      <c r="H8088" s="1358"/>
      <c r="I8088" s="1358"/>
    </row>
    <row r="8089" spans="8:9">
      <c r="H8089" s="1358"/>
      <c r="I8089" s="1358"/>
    </row>
    <row r="8090" spans="8:9">
      <c r="H8090" s="1358"/>
      <c r="I8090" s="1358"/>
    </row>
    <row r="8091" spans="8:9">
      <c r="H8091" s="1358"/>
      <c r="I8091" s="1358"/>
    </row>
    <row r="8092" spans="8:9">
      <c r="H8092" s="1358"/>
      <c r="I8092" s="1358"/>
    </row>
    <row r="8093" spans="8:9">
      <c r="H8093" s="1358"/>
      <c r="I8093" s="1358"/>
    </row>
    <row r="8094" spans="8:9">
      <c r="H8094" s="1358"/>
      <c r="I8094" s="1358"/>
    </row>
    <row r="8095" spans="8:9">
      <c r="H8095" s="1358"/>
      <c r="I8095" s="1358"/>
    </row>
    <row r="8096" spans="8:9">
      <c r="H8096" s="1358"/>
      <c r="I8096" s="1358"/>
    </row>
    <row r="8097" spans="8:9">
      <c r="H8097" s="1358"/>
      <c r="I8097" s="1358"/>
    </row>
    <row r="8098" spans="8:9">
      <c r="H8098" s="1358"/>
      <c r="I8098" s="1358"/>
    </row>
    <row r="8099" spans="8:9">
      <c r="H8099" s="1358"/>
      <c r="I8099" s="1358"/>
    </row>
    <row r="8100" spans="8:9">
      <c r="H8100" s="1358"/>
      <c r="I8100" s="1358"/>
    </row>
    <row r="8101" spans="8:9">
      <c r="H8101" s="1358"/>
      <c r="I8101" s="1358"/>
    </row>
    <row r="8102" spans="8:9">
      <c r="H8102" s="1358"/>
      <c r="I8102" s="1358"/>
    </row>
    <row r="8103" spans="8:9">
      <c r="H8103" s="1358"/>
      <c r="I8103" s="1358"/>
    </row>
    <row r="8104" spans="8:9">
      <c r="H8104" s="1358"/>
      <c r="I8104" s="1358"/>
    </row>
    <row r="8105" spans="8:9">
      <c r="H8105" s="1358"/>
      <c r="I8105" s="1358"/>
    </row>
    <row r="8106" spans="8:9">
      <c r="H8106" s="1358"/>
      <c r="I8106" s="1358"/>
    </row>
    <row r="8107" spans="8:9">
      <c r="H8107" s="1358"/>
      <c r="I8107" s="1358"/>
    </row>
    <row r="8108" spans="8:9">
      <c r="H8108" s="1358"/>
      <c r="I8108" s="1358"/>
    </row>
    <row r="8109" spans="8:9">
      <c r="H8109" s="1358"/>
      <c r="I8109" s="1358"/>
    </row>
    <row r="8110" spans="8:9">
      <c r="H8110" s="1358"/>
      <c r="I8110" s="1358"/>
    </row>
    <row r="8111" spans="8:9">
      <c r="H8111" s="1358"/>
      <c r="I8111" s="1358"/>
    </row>
    <row r="8112" spans="8:9">
      <c r="H8112" s="1358"/>
      <c r="I8112" s="1358"/>
    </row>
    <row r="8113" spans="8:9">
      <c r="H8113" s="1358"/>
      <c r="I8113" s="1358"/>
    </row>
    <row r="8114" spans="8:9">
      <c r="H8114" s="1358"/>
      <c r="I8114" s="1358"/>
    </row>
    <row r="8115" spans="8:9">
      <c r="H8115" s="1358"/>
      <c r="I8115" s="1358"/>
    </row>
    <row r="8116" spans="8:9">
      <c r="H8116" s="1358"/>
      <c r="I8116" s="1358"/>
    </row>
    <row r="8117" spans="8:9">
      <c r="H8117" s="1358"/>
      <c r="I8117" s="1358"/>
    </row>
    <row r="8118" spans="8:9">
      <c r="H8118" s="1358"/>
      <c r="I8118" s="1358"/>
    </row>
    <row r="8119" spans="8:9">
      <c r="H8119" s="1358"/>
      <c r="I8119" s="1358"/>
    </row>
    <row r="8120" spans="8:9">
      <c r="H8120" s="1358"/>
      <c r="I8120" s="1358"/>
    </row>
    <row r="8121" spans="8:9">
      <c r="H8121" s="1358"/>
      <c r="I8121" s="1358"/>
    </row>
    <row r="8122" spans="8:9">
      <c r="H8122" s="1358"/>
      <c r="I8122" s="1358"/>
    </row>
    <row r="8123" spans="8:9">
      <c r="H8123" s="1358"/>
      <c r="I8123" s="1358"/>
    </row>
    <row r="8124" spans="8:9">
      <c r="H8124" s="1358"/>
      <c r="I8124" s="1358"/>
    </row>
    <row r="8125" spans="8:9">
      <c r="H8125" s="1358"/>
      <c r="I8125" s="1358"/>
    </row>
    <row r="8126" spans="8:9">
      <c r="H8126" s="1358"/>
      <c r="I8126" s="1358"/>
    </row>
    <row r="8127" spans="8:9">
      <c r="H8127" s="1358"/>
      <c r="I8127" s="1358"/>
    </row>
    <row r="8128" spans="8:9">
      <c r="H8128" s="1358"/>
      <c r="I8128" s="1358"/>
    </row>
    <row r="8129" spans="8:9">
      <c r="H8129" s="1358"/>
      <c r="I8129" s="1358"/>
    </row>
    <row r="8130" spans="8:9">
      <c r="H8130" s="1358"/>
      <c r="I8130" s="1358"/>
    </row>
    <row r="8131" spans="8:9">
      <c r="H8131" s="1358"/>
      <c r="I8131" s="1358"/>
    </row>
    <row r="8132" spans="8:9">
      <c r="H8132" s="1358"/>
      <c r="I8132" s="1358"/>
    </row>
    <row r="8133" spans="8:9">
      <c r="H8133" s="1358"/>
      <c r="I8133" s="1358"/>
    </row>
    <row r="8134" spans="8:9">
      <c r="H8134" s="1358"/>
      <c r="I8134" s="1358"/>
    </row>
    <row r="8135" spans="8:9">
      <c r="H8135" s="1358"/>
      <c r="I8135" s="1358"/>
    </row>
    <row r="8136" spans="8:9">
      <c r="H8136" s="1358"/>
      <c r="I8136" s="1358"/>
    </row>
    <row r="8137" spans="8:9">
      <c r="H8137" s="1358"/>
      <c r="I8137" s="1358"/>
    </row>
    <row r="8138" spans="8:9">
      <c r="H8138" s="1358"/>
      <c r="I8138" s="1358"/>
    </row>
    <row r="8139" spans="8:9">
      <c r="H8139" s="1358"/>
      <c r="I8139" s="1358"/>
    </row>
    <row r="8140" spans="8:9">
      <c r="H8140" s="1358"/>
      <c r="I8140" s="1358"/>
    </row>
    <row r="8141" spans="8:9">
      <c r="H8141" s="1358"/>
      <c r="I8141" s="1358"/>
    </row>
    <row r="8142" spans="8:9">
      <c r="H8142" s="1358"/>
      <c r="I8142" s="1358"/>
    </row>
    <row r="8143" spans="8:9">
      <c r="H8143" s="1358"/>
      <c r="I8143" s="1358"/>
    </row>
    <row r="8144" spans="8:9">
      <c r="H8144" s="1358"/>
      <c r="I8144" s="1358"/>
    </row>
    <row r="8145" spans="8:9">
      <c r="H8145" s="1358"/>
      <c r="I8145" s="1358"/>
    </row>
    <row r="8146" spans="8:9">
      <c r="H8146" s="1358"/>
      <c r="I8146" s="1358"/>
    </row>
    <row r="8147" spans="8:9">
      <c r="H8147" s="1358"/>
      <c r="I8147" s="1358"/>
    </row>
    <row r="8148" spans="8:9">
      <c r="H8148" s="1358"/>
      <c r="I8148" s="1358"/>
    </row>
    <row r="8149" spans="8:9">
      <c r="H8149" s="1358"/>
      <c r="I8149" s="1358"/>
    </row>
    <row r="8150" spans="8:9">
      <c r="H8150" s="1358"/>
      <c r="I8150" s="1358"/>
    </row>
    <row r="8151" spans="8:9">
      <c r="H8151" s="1358"/>
      <c r="I8151" s="1358"/>
    </row>
    <row r="8152" spans="8:9">
      <c r="H8152" s="1358"/>
      <c r="I8152" s="1358"/>
    </row>
    <row r="8153" spans="8:9">
      <c r="H8153" s="1358"/>
      <c r="I8153" s="1358"/>
    </row>
    <row r="8154" spans="8:9">
      <c r="H8154" s="1358"/>
      <c r="I8154" s="1358"/>
    </row>
    <row r="8155" spans="8:9">
      <c r="H8155" s="1358"/>
      <c r="I8155" s="1358"/>
    </row>
    <row r="8156" spans="8:9">
      <c r="H8156" s="1358"/>
      <c r="I8156" s="1358"/>
    </row>
    <row r="8157" spans="8:9">
      <c r="H8157" s="1358"/>
      <c r="I8157" s="1358"/>
    </row>
    <row r="8158" spans="8:9">
      <c r="H8158" s="1358"/>
      <c r="I8158" s="1358"/>
    </row>
    <row r="8159" spans="8:9">
      <c r="H8159" s="1358"/>
      <c r="I8159" s="1358"/>
    </row>
    <row r="8160" spans="8:9">
      <c r="H8160" s="1358"/>
      <c r="I8160" s="1358"/>
    </row>
    <row r="8161" spans="8:9">
      <c r="H8161" s="1358"/>
      <c r="I8161" s="1358"/>
    </row>
    <row r="8162" spans="8:9">
      <c r="H8162" s="1358"/>
      <c r="I8162" s="1358"/>
    </row>
    <row r="8163" spans="8:9">
      <c r="H8163" s="1358"/>
      <c r="I8163" s="1358"/>
    </row>
    <row r="8164" spans="8:9">
      <c r="H8164" s="1358"/>
      <c r="I8164" s="1358"/>
    </row>
    <row r="8165" spans="8:9">
      <c r="H8165" s="1358"/>
      <c r="I8165" s="1358"/>
    </row>
    <row r="8166" spans="8:9">
      <c r="H8166" s="1358"/>
      <c r="I8166" s="1358"/>
    </row>
    <row r="8167" spans="8:9">
      <c r="H8167" s="1358"/>
      <c r="I8167" s="1358"/>
    </row>
    <row r="8168" spans="8:9">
      <c r="H8168" s="1358"/>
      <c r="I8168" s="1358"/>
    </row>
    <row r="8169" spans="8:9">
      <c r="H8169" s="1358"/>
      <c r="I8169" s="1358"/>
    </row>
    <row r="8170" spans="8:9">
      <c r="H8170" s="1358"/>
      <c r="I8170" s="1358"/>
    </row>
    <row r="8171" spans="8:9">
      <c r="H8171" s="1358"/>
      <c r="I8171" s="1358"/>
    </row>
    <row r="8172" spans="8:9">
      <c r="H8172" s="1358"/>
      <c r="I8172" s="1358"/>
    </row>
    <row r="8173" spans="8:9">
      <c r="H8173" s="1358"/>
      <c r="I8173" s="1358"/>
    </row>
    <row r="8174" spans="8:9">
      <c r="H8174" s="1358"/>
      <c r="I8174" s="1358"/>
    </row>
    <row r="8175" spans="8:9">
      <c r="H8175" s="1358"/>
      <c r="I8175" s="1358"/>
    </row>
    <row r="8176" spans="8:9">
      <c r="H8176" s="1358"/>
      <c r="I8176" s="1358"/>
    </row>
    <row r="8177" spans="8:9">
      <c r="H8177" s="1358"/>
      <c r="I8177" s="1358"/>
    </row>
    <row r="8178" spans="8:9">
      <c r="H8178" s="1358"/>
      <c r="I8178" s="1358"/>
    </row>
    <row r="8179" spans="8:9">
      <c r="H8179" s="1358"/>
      <c r="I8179" s="1358"/>
    </row>
    <row r="8180" spans="8:9">
      <c r="H8180" s="1358"/>
      <c r="I8180" s="1358"/>
    </row>
    <row r="8181" spans="8:9">
      <c r="H8181" s="1358"/>
      <c r="I8181" s="1358"/>
    </row>
    <row r="8182" spans="8:9">
      <c r="H8182" s="1358"/>
      <c r="I8182" s="1358"/>
    </row>
    <row r="8183" spans="8:9">
      <c r="H8183" s="1358"/>
      <c r="I8183" s="1358"/>
    </row>
    <row r="8184" spans="8:9">
      <c r="H8184" s="1358"/>
      <c r="I8184" s="1358"/>
    </row>
    <row r="8185" spans="8:9">
      <c r="H8185" s="1358"/>
      <c r="I8185" s="1358"/>
    </row>
    <row r="8186" spans="8:9">
      <c r="H8186" s="1358"/>
      <c r="I8186" s="1358"/>
    </row>
    <row r="8187" spans="8:9">
      <c r="H8187" s="1358"/>
      <c r="I8187" s="1358"/>
    </row>
    <row r="8188" spans="8:9">
      <c r="H8188" s="1358"/>
      <c r="I8188" s="1358"/>
    </row>
    <row r="8189" spans="8:9">
      <c r="H8189" s="1358"/>
      <c r="I8189" s="1358"/>
    </row>
    <row r="8190" spans="8:9">
      <c r="H8190" s="1358"/>
      <c r="I8190" s="1358"/>
    </row>
    <row r="8191" spans="8:9">
      <c r="H8191" s="1358"/>
      <c r="I8191" s="1358"/>
    </row>
    <row r="8192" spans="8:9">
      <c r="H8192" s="1358"/>
      <c r="I8192" s="1358"/>
    </row>
    <row r="8193" spans="8:9">
      <c r="H8193" s="1358"/>
      <c r="I8193" s="1358"/>
    </row>
    <row r="8194" spans="8:9">
      <c r="H8194" s="1358"/>
      <c r="I8194" s="1358"/>
    </row>
    <row r="8195" spans="8:9">
      <c r="H8195" s="1358"/>
      <c r="I8195" s="1358"/>
    </row>
    <row r="8196" spans="8:9">
      <c r="H8196" s="1358"/>
      <c r="I8196" s="1358"/>
    </row>
    <row r="8197" spans="8:9">
      <c r="H8197" s="1358"/>
      <c r="I8197" s="1358"/>
    </row>
    <row r="8198" spans="8:9">
      <c r="H8198" s="1358"/>
      <c r="I8198" s="1358"/>
    </row>
    <row r="8199" spans="8:9">
      <c r="H8199" s="1358"/>
      <c r="I8199" s="1358"/>
    </row>
    <row r="8200" spans="8:9">
      <c r="H8200" s="1358"/>
      <c r="I8200" s="1358"/>
    </row>
    <row r="8201" spans="8:9">
      <c r="H8201" s="1358"/>
      <c r="I8201" s="1358"/>
    </row>
    <row r="8202" spans="8:9">
      <c r="H8202" s="1358"/>
      <c r="I8202" s="1358"/>
    </row>
    <row r="8203" spans="8:9">
      <c r="H8203" s="1358"/>
      <c r="I8203" s="1358"/>
    </row>
    <row r="8204" spans="8:9">
      <c r="H8204" s="1358"/>
      <c r="I8204" s="1358"/>
    </row>
    <row r="8205" spans="8:9">
      <c r="H8205" s="1358"/>
      <c r="I8205" s="1358"/>
    </row>
    <row r="8206" spans="8:9">
      <c r="H8206" s="1358"/>
      <c r="I8206" s="1358"/>
    </row>
    <row r="8207" spans="8:9">
      <c r="H8207" s="1358"/>
      <c r="I8207" s="1358"/>
    </row>
    <row r="8208" spans="8:9">
      <c r="H8208" s="1358"/>
      <c r="I8208" s="1358"/>
    </row>
    <row r="8209" spans="8:9">
      <c r="H8209" s="1358"/>
      <c r="I8209" s="1358"/>
    </row>
    <row r="8210" spans="8:9">
      <c r="H8210" s="1358"/>
      <c r="I8210" s="1358"/>
    </row>
    <row r="8211" spans="8:9">
      <c r="H8211" s="1358"/>
      <c r="I8211" s="1358"/>
    </row>
    <row r="8212" spans="8:9">
      <c r="H8212" s="1358"/>
      <c r="I8212" s="1358"/>
    </row>
    <row r="8213" spans="8:9">
      <c r="H8213" s="1358"/>
      <c r="I8213" s="1358"/>
    </row>
    <row r="8214" spans="8:9">
      <c r="H8214" s="1358"/>
      <c r="I8214" s="1358"/>
    </row>
    <row r="8215" spans="8:9">
      <c r="H8215" s="1358"/>
      <c r="I8215" s="1358"/>
    </row>
    <row r="8216" spans="8:9">
      <c r="H8216" s="1358"/>
      <c r="I8216" s="1358"/>
    </row>
    <row r="8217" spans="8:9">
      <c r="H8217" s="1358"/>
      <c r="I8217" s="1358"/>
    </row>
    <row r="8218" spans="8:9">
      <c r="H8218" s="1358"/>
      <c r="I8218" s="1358"/>
    </row>
    <row r="8219" spans="8:9">
      <c r="H8219" s="1358"/>
      <c r="I8219" s="1358"/>
    </row>
    <row r="8220" spans="8:9">
      <c r="H8220" s="1358"/>
      <c r="I8220" s="1358"/>
    </row>
    <row r="8221" spans="8:9">
      <c r="H8221" s="1358"/>
      <c r="I8221" s="1358"/>
    </row>
    <row r="8222" spans="8:9">
      <c r="H8222" s="1358"/>
      <c r="I8222" s="1358"/>
    </row>
    <row r="8223" spans="8:9">
      <c r="H8223" s="1358"/>
      <c r="I8223" s="1358"/>
    </row>
    <row r="8224" spans="8:9">
      <c r="H8224" s="1358"/>
      <c r="I8224" s="1358"/>
    </row>
    <row r="8225" spans="8:9">
      <c r="H8225" s="1358"/>
      <c r="I8225" s="1358"/>
    </row>
    <row r="8226" spans="8:9">
      <c r="H8226" s="1358"/>
      <c r="I8226" s="1358"/>
    </row>
    <row r="8227" spans="8:9">
      <c r="H8227" s="1358"/>
      <c r="I8227" s="1358"/>
    </row>
    <row r="8228" spans="8:9">
      <c r="H8228" s="1358"/>
      <c r="I8228" s="1358"/>
    </row>
    <row r="8229" spans="8:9">
      <c r="H8229" s="1358"/>
      <c r="I8229" s="1358"/>
    </row>
    <row r="8230" spans="8:9">
      <c r="H8230" s="1358"/>
      <c r="I8230" s="1358"/>
    </row>
    <row r="8231" spans="8:9">
      <c r="H8231" s="1358"/>
      <c r="I8231" s="1358"/>
    </row>
    <row r="8232" spans="8:9">
      <c r="H8232" s="1358"/>
      <c r="I8232" s="1358"/>
    </row>
    <row r="8233" spans="8:9">
      <c r="H8233" s="1358"/>
      <c r="I8233" s="1358"/>
    </row>
    <row r="8234" spans="8:9">
      <c r="H8234" s="1358"/>
      <c r="I8234" s="1358"/>
    </row>
    <row r="8235" spans="8:9">
      <c r="H8235" s="1358"/>
      <c r="I8235" s="1358"/>
    </row>
    <row r="8236" spans="8:9">
      <c r="H8236" s="1358"/>
      <c r="I8236" s="1358"/>
    </row>
    <row r="8237" spans="8:9">
      <c r="H8237" s="1358"/>
      <c r="I8237" s="1358"/>
    </row>
    <row r="8238" spans="8:9">
      <c r="H8238" s="1358"/>
      <c r="I8238" s="1358"/>
    </row>
    <row r="8239" spans="8:9">
      <c r="H8239" s="1358"/>
      <c r="I8239" s="1358"/>
    </row>
    <row r="8240" spans="8:9">
      <c r="H8240" s="1358"/>
      <c r="I8240" s="1358"/>
    </row>
    <row r="8241" spans="8:9">
      <c r="H8241" s="1358"/>
      <c r="I8241" s="1358"/>
    </row>
    <row r="8242" spans="8:9">
      <c r="H8242" s="1358"/>
      <c r="I8242" s="1358"/>
    </row>
    <row r="8243" spans="8:9">
      <c r="H8243" s="1358"/>
      <c r="I8243" s="1358"/>
    </row>
    <row r="8244" spans="8:9">
      <c r="H8244" s="1358"/>
      <c r="I8244" s="1358"/>
    </row>
    <row r="8245" spans="8:9">
      <c r="H8245" s="1358"/>
      <c r="I8245" s="1358"/>
    </row>
    <row r="8246" spans="8:9">
      <c r="H8246" s="1358"/>
      <c r="I8246" s="1358"/>
    </row>
    <row r="8247" spans="8:9">
      <c r="H8247" s="1358"/>
      <c r="I8247" s="1358"/>
    </row>
    <row r="8248" spans="8:9">
      <c r="H8248" s="1358"/>
      <c r="I8248" s="1358"/>
    </row>
    <row r="8249" spans="8:9">
      <c r="H8249" s="1358"/>
      <c r="I8249" s="1358"/>
    </row>
    <row r="8250" spans="8:9">
      <c r="H8250" s="1358"/>
      <c r="I8250" s="1358"/>
    </row>
    <row r="8251" spans="8:9">
      <c r="H8251" s="1358"/>
      <c r="I8251" s="1358"/>
    </row>
    <row r="8252" spans="8:9">
      <c r="H8252" s="1358"/>
      <c r="I8252" s="1358"/>
    </row>
    <row r="8253" spans="8:9">
      <c r="H8253" s="1358"/>
      <c r="I8253" s="1358"/>
    </row>
    <row r="8254" spans="8:9">
      <c r="H8254" s="1358"/>
      <c r="I8254" s="1358"/>
    </row>
    <row r="8255" spans="8:9">
      <c r="H8255" s="1358"/>
      <c r="I8255" s="1358"/>
    </row>
    <row r="8256" spans="8:9">
      <c r="H8256" s="1358"/>
      <c r="I8256" s="1358"/>
    </row>
    <row r="8257" spans="8:9">
      <c r="H8257" s="1358"/>
      <c r="I8257" s="1358"/>
    </row>
    <row r="8258" spans="8:9">
      <c r="H8258" s="1358"/>
      <c r="I8258" s="1358"/>
    </row>
    <row r="8259" spans="8:9">
      <c r="H8259" s="1358"/>
      <c r="I8259" s="1358"/>
    </row>
    <row r="8260" spans="8:9">
      <c r="H8260" s="1358"/>
      <c r="I8260" s="1358"/>
    </row>
    <row r="8261" spans="8:9">
      <c r="H8261" s="1358"/>
      <c r="I8261" s="1358"/>
    </row>
    <row r="8262" spans="8:9">
      <c r="H8262" s="1358"/>
      <c r="I8262" s="1358"/>
    </row>
    <row r="8263" spans="8:9">
      <c r="H8263" s="1358"/>
      <c r="I8263" s="1358"/>
    </row>
    <row r="8264" spans="8:9">
      <c r="H8264" s="1358"/>
      <c r="I8264" s="1358"/>
    </row>
    <row r="8265" spans="8:9">
      <c r="H8265" s="1358"/>
      <c r="I8265" s="1358"/>
    </row>
    <row r="8266" spans="8:9">
      <c r="H8266" s="1358"/>
      <c r="I8266" s="1358"/>
    </row>
    <row r="8267" spans="8:9">
      <c r="H8267" s="1358"/>
      <c r="I8267" s="1358"/>
    </row>
    <row r="8268" spans="8:9">
      <c r="H8268" s="1358"/>
      <c r="I8268" s="1358"/>
    </row>
    <row r="8269" spans="8:9">
      <c r="H8269" s="1358"/>
      <c r="I8269" s="1358"/>
    </row>
    <row r="8270" spans="8:9">
      <c r="H8270" s="1358"/>
      <c r="I8270" s="1358"/>
    </row>
    <row r="8271" spans="8:9">
      <c r="H8271" s="1358"/>
      <c r="I8271" s="1358"/>
    </row>
    <row r="8272" spans="8:9">
      <c r="H8272" s="1358"/>
      <c r="I8272" s="1358"/>
    </row>
    <row r="8273" spans="8:9">
      <c r="H8273" s="1358"/>
      <c r="I8273" s="1358"/>
    </row>
    <row r="8274" spans="8:9">
      <c r="H8274" s="1358"/>
      <c r="I8274" s="1358"/>
    </row>
    <row r="8275" spans="8:9">
      <c r="H8275" s="1358"/>
      <c r="I8275" s="1358"/>
    </row>
    <row r="8276" spans="8:9">
      <c r="H8276" s="1358"/>
      <c r="I8276" s="1358"/>
    </row>
    <row r="8277" spans="8:9">
      <c r="H8277" s="1358"/>
      <c r="I8277" s="1358"/>
    </row>
    <row r="8278" spans="8:9">
      <c r="H8278" s="1358"/>
      <c r="I8278" s="1358"/>
    </row>
    <row r="8279" spans="8:9">
      <c r="H8279" s="1358"/>
      <c r="I8279" s="1358"/>
    </row>
    <row r="8280" spans="8:9">
      <c r="H8280" s="1358"/>
      <c r="I8280" s="1358"/>
    </row>
    <row r="8281" spans="8:9">
      <c r="H8281" s="1358"/>
      <c r="I8281" s="1358"/>
    </row>
    <row r="8282" spans="8:9">
      <c r="H8282" s="1358"/>
      <c r="I8282" s="1358"/>
    </row>
    <row r="8283" spans="8:9">
      <c r="H8283" s="1358"/>
      <c r="I8283" s="1358"/>
    </row>
    <row r="8284" spans="8:9">
      <c r="H8284" s="1358"/>
      <c r="I8284" s="1358"/>
    </row>
    <row r="8285" spans="8:9">
      <c r="H8285" s="1358"/>
      <c r="I8285" s="1358"/>
    </row>
    <row r="8286" spans="8:9">
      <c r="H8286" s="1358"/>
      <c r="I8286" s="1358"/>
    </row>
    <row r="8287" spans="8:9">
      <c r="H8287" s="1358"/>
      <c r="I8287" s="1358"/>
    </row>
    <row r="8288" spans="8:9">
      <c r="H8288" s="1358"/>
      <c r="I8288" s="1358"/>
    </row>
    <row r="8289" spans="8:9">
      <c r="H8289" s="1358"/>
      <c r="I8289" s="1358"/>
    </row>
    <row r="8290" spans="8:9">
      <c r="H8290" s="1358"/>
      <c r="I8290" s="1358"/>
    </row>
    <row r="8291" spans="8:9">
      <c r="H8291" s="1358"/>
      <c r="I8291" s="1358"/>
    </row>
    <row r="8292" spans="8:9">
      <c r="H8292" s="1358"/>
      <c r="I8292" s="1358"/>
    </row>
    <row r="8293" spans="8:9">
      <c r="H8293" s="1358"/>
      <c r="I8293" s="1358"/>
    </row>
    <row r="8294" spans="8:9">
      <c r="H8294" s="1358"/>
      <c r="I8294" s="1358"/>
    </row>
    <row r="8295" spans="8:9">
      <c r="H8295" s="1358"/>
      <c r="I8295" s="1358"/>
    </row>
    <row r="8296" spans="8:9">
      <c r="H8296" s="1358"/>
      <c r="I8296" s="1358"/>
    </row>
    <row r="8297" spans="8:9">
      <c r="H8297" s="1358"/>
      <c r="I8297" s="1358"/>
    </row>
    <row r="8298" spans="8:9">
      <c r="H8298" s="1358"/>
      <c r="I8298" s="1358"/>
    </row>
    <row r="8299" spans="8:9">
      <c r="H8299" s="1358"/>
      <c r="I8299" s="1358"/>
    </row>
    <row r="8300" spans="8:9">
      <c r="H8300" s="1358"/>
      <c r="I8300" s="1358"/>
    </row>
    <row r="8301" spans="8:9">
      <c r="H8301" s="1358"/>
      <c r="I8301" s="1358"/>
    </row>
    <row r="8302" spans="8:9">
      <c r="H8302" s="1358"/>
      <c r="I8302" s="1358"/>
    </row>
    <row r="8303" spans="8:9">
      <c r="H8303" s="1358"/>
      <c r="I8303" s="1358"/>
    </row>
    <row r="8304" spans="8:9">
      <c r="H8304" s="1358"/>
      <c r="I8304" s="1358"/>
    </row>
    <row r="8305" spans="8:9">
      <c r="H8305" s="1358"/>
      <c r="I8305" s="1358"/>
    </row>
    <row r="8306" spans="8:9">
      <c r="H8306" s="1358"/>
      <c r="I8306" s="1358"/>
    </row>
    <row r="8307" spans="8:9">
      <c r="H8307" s="1358"/>
      <c r="I8307" s="1358"/>
    </row>
    <row r="8308" spans="8:9">
      <c r="H8308" s="1358"/>
      <c r="I8308" s="1358"/>
    </row>
    <row r="8309" spans="8:9">
      <c r="H8309" s="1358"/>
      <c r="I8309" s="1358"/>
    </row>
    <row r="8310" spans="8:9">
      <c r="H8310" s="1358"/>
      <c r="I8310" s="1358"/>
    </row>
    <row r="8311" spans="8:9">
      <c r="H8311" s="1358"/>
      <c r="I8311" s="1358"/>
    </row>
    <row r="8312" spans="8:9">
      <c r="H8312" s="1358"/>
      <c r="I8312" s="1358"/>
    </row>
    <row r="8313" spans="8:9">
      <c r="H8313" s="1358"/>
      <c r="I8313" s="1358"/>
    </row>
    <row r="8314" spans="8:9">
      <c r="H8314" s="1358"/>
      <c r="I8314" s="1358"/>
    </row>
    <row r="8315" spans="8:9">
      <c r="H8315" s="1358"/>
      <c r="I8315" s="1358"/>
    </row>
    <row r="8316" spans="8:9">
      <c r="H8316" s="1358"/>
      <c r="I8316" s="1358"/>
    </row>
    <row r="8317" spans="8:9">
      <c r="H8317" s="1358"/>
      <c r="I8317" s="1358"/>
    </row>
    <row r="8318" spans="8:9">
      <c r="H8318" s="1358"/>
      <c r="I8318" s="1358"/>
    </row>
    <row r="8319" spans="8:9">
      <c r="H8319" s="1358"/>
      <c r="I8319" s="1358"/>
    </row>
    <row r="8320" spans="8:9">
      <c r="H8320" s="1358"/>
      <c r="I8320" s="1358"/>
    </row>
    <row r="8321" spans="8:9">
      <c r="H8321" s="1358"/>
      <c r="I8321" s="1358"/>
    </row>
    <row r="8322" spans="8:9">
      <c r="H8322" s="1358"/>
      <c r="I8322" s="1358"/>
    </row>
    <row r="8323" spans="8:9">
      <c r="H8323" s="1358"/>
      <c r="I8323" s="1358"/>
    </row>
    <row r="8324" spans="8:9">
      <c r="H8324" s="1358"/>
      <c r="I8324" s="1358"/>
    </row>
    <row r="8325" spans="8:9">
      <c r="H8325" s="1358"/>
      <c r="I8325" s="1358"/>
    </row>
    <row r="8326" spans="8:9">
      <c r="H8326" s="1358"/>
      <c r="I8326" s="1358"/>
    </row>
    <row r="8327" spans="8:9">
      <c r="H8327" s="1358"/>
      <c r="I8327" s="1358"/>
    </row>
    <row r="8328" spans="8:9">
      <c r="H8328" s="1358"/>
      <c r="I8328" s="1358"/>
    </row>
    <row r="8329" spans="8:9">
      <c r="H8329" s="1358"/>
      <c r="I8329" s="1358"/>
    </row>
    <row r="8330" spans="8:9">
      <c r="H8330" s="1358"/>
      <c r="I8330" s="1358"/>
    </row>
    <row r="8331" spans="8:9">
      <c r="H8331" s="1358"/>
      <c r="I8331" s="1358"/>
    </row>
    <row r="8332" spans="8:9">
      <c r="H8332" s="1358"/>
      <c r="I8332" s="1358"/>
    </row>
    <row r="8333" spans="8:9">
      <c r="H8333" s="1358"/>
      <c r="I8333" s="1358"/>
    </row>
    <row r="8334" spans="8:9">
      <c r="H8334" s="1358"/>
      <c r="I8334" s="1358"/>
    </row>
    <row r="8335" spans="8:9">
      <c r="H8335" s="1358"/>
      <c r="I8335" s="1358"/>
    </row>
    <row r="8336" spans="8:9">
      <c r="H8336" s="1358"/>
      <c r="I8336" s="1358"/>
    </row>
    <row r="8337" spans="8:9">
      <c r="H8337" s="1358"/>
      <c r="I8337" s="1358"/>
    </row>
    <row r="8338" spans="8:9">
      <c r="H8338" s="1358"/>
      <c r="I8338" s="1358"/>
    </row>
    <row r="8339" spans="8:9">
      <c r="H8339" s="1358"/>
      <c r="I8339" s="1358"/>
    </row>
    <row r="8340" spans="8:9">
      <c r="H8340" s="1358"/>
      <c r="I8340" s="1358"/>
    </row>
    <row r="8341" spans="8:9">
      <c r="H8341" s="1358"/>
      <c r="I8341" s="1358"/>
    </row>
    <row r="8342" spans="8:9">
      <c r="H8342" s="1358"/>
      <c r="I8342" s="1358"/>
    </row>
    <row r="8343" spans="8:9">
      <c r="H8343" s="1358"/>
      <c r="I8343" s="1358"/>
    </row>
    <row r="8344" spans="8:9">
      <c r="H8344" s="1358"/>
      <c r="I8344" s="1358"/>
    </row>
    <row r="8345" spans="8:9">
      <c r="H8345" s="1358"/>
      <c r="I8345" s="1358"/>
    </row>
    <row r="8346" spans="8:9">
      <c r="H8346" s="1358"/>
      <c r="I8346" s="1358"/>
    </row>
    <row r="8347" spans="8:9">
      <c r="H8347" s="1358"/>
      <c r="I8347" s="1358"/>
    </row>
    <row r="8348" spans="8:9">
      <c r="H8348" s="1358"/>
      <c r="I8348" s="1358"/>
    </row>
    <row r="8349" spans="8:9">
      <c r="H8349" s="1358"/>
      <c r="I8349" s="1358"/>
    </row>
    <row r="8350" spans="8:9">
      <c r="H8350" s="1358"/>
      <c r="I8350" s="1358"/>
    </row>
    <row r="8351" spans="8:9">
      <c r="H8351" s="1358"/>
      <c r="I8351" s="1358"/>
    </row>
    <row r="8352" spans="8:9">
      <c r="H8352" s="1358"/>
      <c r="I8352" s="1358"/>
    </row>
    <row r="8353" spans="8:9">
      <c r="H8353" s="1358"/>
      <c r="I8353" s="1358"/>
    </row>
    <row r="8354" spans="8:9">
      <c r="H8354" s="1358"/>
      <c r="I8354" s="1358"/>
    </row>
    <row r="8355" spans="8:9">
      <c r="H8355" s="1358"/>
      <c r="I8355" s="1358"/>
    </row>
    <row r="8356" spans="8:9">
      <c r="H8356" s="1358"/>
      <c r="I8356" s="1358"/>
    </row>
    <row r="8357" spans="8:9">
      <c r="H8357" s="1358"/>
      <c r="I8357" s="1358"/>
    </row>
    <row r="8358" spans="8:9">
      <c r="H8358" s="1358"/>
      <c r="I8358" s="1358"/>
    </row>
    <row r="8359" spans="8:9">
      <c r="H8359" s="1358"/>
      <c r="I8359" s="1358"/>
    </row>
    <row r="8360" spans="8:9">
      <c r="H8360" s="1358"/>
      <c r="I8360" s="1358"/>
    </row>
    <row r="8361" spans="8:9">
      <c r="H8361" s="1358"/>
      <c r="I8361" s="1358"/>
    </row>
    <row r="8362" spans="8:9">
      <c r="H8362" s="1358"/>
      <c r="I8362" s="1358"/>
    </row>
    <row r="8363" spans="8:9">
      <c r="H8363" s="1358"/>
      <c r="I8363" s="1358"/>
    </row>
    <row r="8364" spans="8:9">
      <c r="H8364" s="1358"/>
      <c r="I8364" s="1358"/>
    </row>
    <row r="8365" spans="8:9">
      <c r="H8365" s="1358"/>
      <c r="I8365" s="1358"/>
    </row>
    <row r="8366" spans="8:9">
      <c r="H8366" s="1358"/>
      <c r="I8366" s="1358"/>
    </row>
    <row r="8367" spans="8:9">
      <c r="H8367" s="1358"/>
      <c r="I8367" s="1358"/>
    </row>
    <row r="8368" spans="8:9">
      <c r="H8368" s="1358"/>
      <c r="I8368" s="1358"/>
    </row>
    <row r="8369" spans="8:9">
      <c r="H8369" s="1358"/>
      <c r="I8369" s="1358"/>
    </row>
    <row r="8370" spans="8:9">
      <c r="H8370" s="1358"/>
      <c r="I8370" s="1358"/>
    </row>
    <row r="8371" spans="8:9">
      <c r="H8371" s="1358"/>
      <c r="I8371" s="1358"/>
    </row>
    <row r="8372" spans="8:9">
      <c r="H8372" s="1358"/>
      <c r="I8372" s="1358"/>
    </row>
    <row r="8373" spans="8:9">
      <c r="H8373" s="1358"/>
      <c r="I8373" s="1358"/>
    </row>
    <row r="8374" spans="8:9">
      <c r="H8374" s="1358"/>
      <c r="I8374" s="1358"/>
    </row>
    <row r="8375" spans="8:9">
      <c r="H8375" s="1358"/>
      <c r="I8375" s="1358"/>
    </row>
    <row r="8376" spans="8:9">
      <c r="H8376" s="1358"/>
      <c r="I8376" s="1358"/>
    </row>
    <row r="8377" spans="8:9">
      <c r="H8377" s="1358"/>
      <c r="I8377" s="1358"/>
    </row>
    <row r="8378" spans="8:9">
      <c r="H8378" s="1358"/>
      <c r="I8378" s="1358"/>
    </row>
    <row r="8379" spans="8:9">
      <c r="H8379" s="1358"/>
      <c r="I8379" s="1358"/>
    </row>
    <row r="8380" spans="8:9">
      <c r="H8380" s="1358"/>
      <c r="I8380" s="1358"/>
    </row>
    <row r="8381" spans="8:9">
      <c r="H8381" s="1358"/>
      <c r="I8381" s="1358"/>
    </row>
    <row r="8382" spans="8:9">
      <c r="H8382" s="1358"/>
      <c r="I8382" s="1358"/>
    </row>
    <row r="8383" spans="8:9">
      <c r="H8383" s="1358"/>
      <c r="I8383" s="1358"/>
    </row>
    <row r="8384" spans="8:9">
      <c r="H8384" s="1358"/>
      <c r="I8384" s="1358"/>
    </row>
    <row r="8385" spans="8:9">
      <c r="H8385" s="1358"/>
      <c r="I8385" s="1358"/>
    </row>
    <row r="8386" spans="8:9">
      <c r="H8386" s="1358"/>
      <c r="I8386" s="1358"/>
    </row>
    <row r="8387" spans="8:9">
      <c r="H8387" s="1358"/>
      <c r="I8387" s="1358"/>
    </row>
    <row r="8388" spans="8:9">
      <c r="H8388" s="1358"/>
      <c r="I8388" s="1358"/>
    </row>
    <row r="8389" spans="8:9">
      <c r="H8389" s="1358"/>
      <c r="I8389" s="1358"/>
    </row>
    <row r="8390" spans="8:9">
      <c r="H8390" s="1358"/>
      <c r="I8390" s="1358"/>
    </row>
    <row r="8391" spans="8:9">
      <c r="H8391" s="1358"/>
      <c r="I8391" s="1358"/>
    </row>
    <row r="8392" spans="8:9">
      <c r="H8392" s="1358"/>
      <c r="I8392" s="1358"/>
    </row>
    <row r="8393" spans="8:9">
      <c r="H8393" s="1358"/>
      <c r="I8393" s="1358"/>
    </row>
    <row r="8394" spans="8:9">
      <c r="H8394" s="1358"/>
      <c r="I8394" s="1358"/>
    </row>
    <row r="8395" spans="8:9">
      <c r="H8395" s="1358"/>
      <c r="I8395" s="1358"/>
    </row>
    <row r="8396" spans="8:9">
      <c r="H8396" s="1358"/>
      <c r="I8396" s="1358"/>
    </row>
    <row r="8397" spans="8:9">
      <c r="H8397" s="1358"/>
      <c r="I8397" s="1358"/>
    </row>
    <row r="8398" spans="8:9">
      <c r="H8398" s="1358"/>
      <c r="I8398" s="1358"/>
    </row>
    <row r="8399" spans="8:9">
      <c r="H8399" s="1358"/>
      <c r="I8399" s="1358"/>
    </row>
    <row r="8400" spans="8:9">
      <c r="H8400" s="1358"/>
      <c r="I8400" s="1358"/>
    </row>
    <row r="8401" spans="8:9">
      <c r="H8401" s="1358"/>
      <c r="I8401" s="1358"/>
    </row>
    <row r="8402" spans="8:9">
      <c r="H8402" s="1358"/>
      <c r="I8402" s="1358"/>
    </row>
    <row r="8403" spans="8:9">
      <c r="H8403" s="1358"/>
      <c r="I8403" s="1358"/>
    </row>
    <row r="8404" spans="8:9">
      <c r="H8404" s="1358"/>
      <c r="I8404" s="1358"/>
    </row>
    <row r="8405" spans="8:9">
      <c r="H8405" s="1358"/>
      <c r="I8405" s="1358"/>
    </row>
    <row r="8406" spans="8:9">
      <c r="H8406" s="1358"/>
      <c r="I8406" s="1358"/>
    </row>
    <row r="8407" spans="8:9">
      <c r="H8407" s="1358"/>
      <c r="I8407" s="1358"/>
    </row>
    <row r="8408" spans="8:9">
      <c r="H8408" s="1358"/>
      <c r="I8408" s="1358"/>
    </row>
    <row r="8409" spans="8:9">
      <c r="H8409" s="1358"/>
      <c r="I8409" s="1358"/>
    </row>
    <row r="8410" spans="8:9">
      <c r="H8410" s="1358"/>
      <c r="I8410" s="1358"/>
    </row>
    <row r="8411" spans="8:9">
      <c r="H8411" s="1358"/>
      <c r="I8411" s="1358"/>
    </row>
    <row r="8412" spans="8:9">
      <c r="H8412" s="1358"/>
      <c r="I8412" s="1358"/>
    </row>
    <row r="8413" spans="8:9">
      <c r="H8413" s="1358"/>
      <c r="I8413" s="1358"/>
    </row>
    <row r="8414" spans="8:9">
      <c r="H8414" s="1358"/>
      <c r="I8414" s="1358"/>
    </row>
    <row r="8415" spans="8:9">
      <c r="H8415" s="1358"/>
      <c r="I8415" s="1358"/>
    </row>
    <row r="8416" spans="8:9">
      <c r="H8416" s="1358"/>
      <c r="I8416" s="1358"/>
    </row>
    <row r="8417" spans="8:9">
      <c r="H8417" s="1358"/>
      <c r="I8417" s="1358"/>
    </row>
    <row r="8418" spans="8:9">
      <c r="H8418" s="1358"/>
      <c r="I8418" s="1358"/>
    </row>
    <row r="8419" spans="8:9">
      <c r="H8419" s="1358"/>
      <c r="I8419" s="1358"/>
    </row>
    <row r="8420" spans="8:9">
      <c r="H8420" s="1358"/>
      <c r="I8420" s="1358"/>
    </row>
    <row r="8421" spans="8:9">
      <c r="H8421" s="1358"/>
      <c r="I8421" s="1358"/>
    </row>
    <row r="8422" spans="8:9">
      <c r="H8422" s="1358"/>
      <c r="I8422" s="1358"/>
    </row>
    <row r="8423" spans="8:9">
      <c r="H8423" s="1358"/>
      <c r="I8423" s="1358"/>
    </row>
    <row r="8424" spans="8:9">
      <c r="H8424" s="1358"/>
      <c r="I8424" s="1358"/>
    </row>
    <row r="8425" spans="8:9">
      <c r="H8425" s="1358"/>
      <c r="I8425" s="1358"/>
    </row>
    <row r="8426" spans="8:9">
      <c r="H8426" s="1358"/>
      <c r="I8426" s="1358"/>
    </row>
    <row r="8427" spans="8:9">
      <c r="H8427" s="1358"/>
      <c r="I8427" s="1358"/>
    </row>
    <row r="8428" spans="8:9">
      <c r="H8428" s="1358"/>
      <c r="I8428" s="1358"/>
    </row>
    <row r="8429" spans="8:9">
      <c r="H8429" s="1358"/>
      <c r="I8429" s="1358"/>
    </row>
    <row r="8430" spans="8:9">
      <c r="H8430" s="1358"/>
      <c r="I8430" s="1358"/>
    </row>
    <row r="8431" spans="8:9">
      <c r="H8431" s="1358"/>
      <c r="I8431" s="1358"/>
    </row>
    <row r="8432" spans="8:9">
      <c r="H8432" s="1358"/>
      <c r="I8432" s="1358"/>
    </row>
    <row r="8433" spans="8:9">
      <c r="H8433" s="1358"/>
      <c r="I8433" s="1358"/>
    </row>
    <row r="8434" spans="8:9">
      <c r="H8434" s="1358"/>
      <c r="I8434" s="1358"/>
    </row>
    <row r="8435" spans="8:9">
      <c r="H8435" s="1358"/>
      <c r="I8435" s="1358"/>
    </row>
    <row r="8436" spans="8:9">
      <c r="H8436" s="1358"/>
      <c r="I8436" s="1358"/>
    </row>
    <row r="8437" spans="8:9">
      <c r="H8437" s="1358"/>
      <c r="I8437" s="1358"/>
    </row>
    <row r="8438" spans="8:9">
      <c r="H8438" s="1358"/>
      <c r="I8438" s="1358"/>
    </row>
    <row r="8439" spans="8:9">
      <c r="H8439" s="1358"/>
      <c r="I8439" s="1358"/>
    </row>
    <row r="8440" spans="8:9">
      <c r="H8440" s="1358"/>
      <c r="I8440" s="1358"/>
    </row>
    <row r="8441" spans="8:9">
      <c r="H8441" s="1358"/>
      <c r="I8441" s="1358"/>
    </row>
    <row r="8442" spans="8:9">
      <c r="H8442" s="1358"/>
      <c r="I8442" s="1358"/>
    </row>
    <row r="8443" spans="8:9">
      <c r="H8443" s="1358"/>
      <c r="I8443" s="1358"/>
    </row>
    <row r="8444" spans="8:9">
      <c r="H8444" s="1358"/>
      <c r="I8444" s="1358"/>
    </row>
    <row r="8445" spans="8:9">
      <c r="H8445" s="1358"/>
      <c r="I8445" s="1358"/>
    </row>
    <row r="8446" spans="8:9">
      <c r="H8446" s="1358"/>
      <c r="I8446" s="1358"/>
    </row>
    <row r="8447" spans="8:9">
      <c r="H8447" s="1358"/>
      <c r="I8447" s="1358"/>
    </row>
    <row r="8448" spans="8:9">
      <c r="H8448" s="1358"/>
      <c r="I8448" s="1358"/>
    </row>
    <row r="8449" spans="8:9">
      <c r="H8449" s="1358"/>
      <c r="I8449" s="1358"/>
    </row>
    <row r="8450" spans="8:9">
      <c r="H8450" s="1358"/>
      <c r="I8450" s="1358"/>
    </row>
    <row r="8451" spans="8:9">
      <c r="H8451" s="1358"/>
      <c r="I8451" s="1358"/>
    </row>
    <row r="8452" spans="8:9">
      <c r="H8452" s="1358"/>
      <c r="I8452" s="1358"/>
    </row>
    <row r="8453" spans="8:9">
      <c r="H8453" s="1358"/>
      <c r="I8453" s="1358"/>
    </row>
    <row r="8454" spans="8:9">
      <c r="H8454" s="1358"/>
      <c r="I8454" s="1358"/>
    </row>
    <row r="8455" spans="8:9">
      <c r="H8455" s="1358"/>
      <c r="I8455" s="1358"/>
    </row>
    <row r="8456" spans="8:9">
      <c r="H8456" s="1358"/>
      <c r="I8456" s="1358"/>
    </row>
    <row r="8457" spans="8:9">
      <c r="H8457" s="1358"/>
      <c r="I8457" s="1358"/>
    </row>
    <row r="8458" spans="8:9">
      <c r="H8458" s="1358"/>
      <c r="I8458" s="1358"/>
    </row>
    <row r="8459" spans="8:9">
      <c r="H8459" s="1358"/>
      <c r="I8459" s="1358"/>
    </row>
    <row r="8460" spans="8:9">
      <c r="H8460" s="1358"/>
      <c r="I8460" s="1358"/>
    </row>
    <row r="8461" spans="8:9">
      <c r="H8461" s="1358"/>
      <c r="I8461" s="1358"/>
    </row>
    <row r="8462" spans="8:9">
      <c r="H8462" s="1358"/>
      <c r="I8462" s="1358"/>
    </row>
    <row r="8463" spans="8:9">
      <c r="H8463" s="1358"/>
      <c r="I8463" s="1358"/>
    </row>
    <row r="8464" spans="8:9">
      <c r="H8464" s="1358"/>
      <c r="I8464" s="1358"/>
    </row>
    <row r="8465" spans="8:9">
      <c r="H8465" s="1358"/>
      <c r="I8465" s="1358"/>
    </row>
    <row r="8466" spans="8:9">
      <c r="H8466" s="1358"/>
      <c r="I8466" s="1358"/>
    </row>
    <row r="8467" spans="8:9">
      <c r="H8467" s="1358"/>
      <c r="I8467" s="1358"/>
    </row>
    <row r="8468" spans="8:9">
      <c r="H8468" s="1358"/>
      <c r="I8468" s="1358"/>
    </row>
    <row r="8469" spans="8:9">
      <c r="H8469" s="1358"/>
      <c r="I8469" s="1358"/>
    </row>
    <row r="8470" spans="8:9">
      <c r="H8470" s="1358"/>
      <c r="I8470" s="1358"/>
    </row>
    <row r="8471" spans="8:9">
      <c r="H8471" s="1358"/>
      <c r="I8471" s="1358"/>
    </row>
    <row r="8472" spans="8:9">
      <c r="H8472" s="1358"/>
      <c r="I8472" s="1358"/>
    </row>
    <row r="8473" spans="8:9">
      <c r="H8473" s="1358"/>
      <c r="I8473" s="1358"/>
    </row>
    <row r="8474" spans="8:9">
      <c r="H8474" s="1358"/>
      <c r="I8474" s="1358"/>
    </row>
    <row r="8475" spans="8:9">
      <c r="H8475" s="1358"/>
      <c r="I8475" s="1358"/>
    </row>
    <row r="8476" spans="8:9">
      <c r="H8476" s="1358"/>
      <c r="I8476" s="1358"/>
    </row>
    <row r="8477" spans="8:9">
      <c r="H8477" s="1358"/>
      <c r="I8477" s="1358"/>
    </row>
    <row r="8478" spans="8:9">
      <c r="H8478" s="1358"/>
      <c r="I8478" s="1358"/>
    </row>
    <row r="8479" spans="8:9">
      <c r="H8479" s="1358"/>
      <c r="I8479" s="1358"/>
    </row>
    <row r="8480" spans="8:9">
      <c r="H8480" s="1358"/>
      <c r="I8480" s="1358"/>
    </row>
    <row r="8481" spans="8:9">
      <c r="H8481" s="1358"/>
      <c r="I8481" s="1358"/>
    </row>
    <row r="8482" spans="8:9">
      <c r="H8482" s="1358"/>
      <c r="I8482" s="1358"/>
    </row>
    <row r="8483" spans="8:9">
      <c r="H8483" s="1358"/>
      <c r="I8483" s="1358"/>
    </row>
    <row r="8484" spans="8:9">
      <c r="H8484" s="1358"/>
      <c r="I8484" s="1358"/>
    </row>
    <row r="8485" spans="8:9">
      <c r="H8485" s="1358"/>
      <c r="I8485" s="1358"/>
    </row>
    <row r="8486" spans="8:9">
      <c r="H8486" s="1358"/>
      <c r="I8486" s="1358"/>
    </row>
    <row r="8487" spans="8:9">
      <c r="H8487" s="1358"/>
      <c r="I8487" s="1358"/>
    </row>
    <row r="8488" spans="8:9">
      <c r="H8488" s="1358"/>
      <c r="I8488" s="1358"/>
    </row>
    <row r="8489" spans="8:9">
      <c r="H8489" s="1358"/>
      <c r="I8489" s="1358"/>
    </row>
    <row r="8490" spans="8:9">
      <c r="H8490" s="1358"/>
      <c r="I8490" s="1358"/>
    </row>
    <row r="8491" spans="8:9">
      <c r="H8491" s="1358"/>
      <c r="I8491" s="1358"/>
    </row>
    <row r="8492" spans="8:9">
      <c r="H8492" s="1358"/>
      <c r="I8492" s="1358"/>
    </row>
    <row r="8493" spans="8:9">
      <c r="H8493" s="1358"/>
      <c r="I8493" s="1358"/>
    </row>
    <row r="8494" spans="8:9">
      <c r="H8494" s="1358"/>
      <c r="I8494" s="1358"/>
    </row>
    <row r="8495" spans="8:9">
      <c r="H8495" s="1358"/>
      <c r="I8495" s="1358"/>
    </row>
    <row r="8496" spans="8:9">
      <c r="H8496" s="1358"/>
      <c r="I8496" s="1358"/>
    </row>
    <row r="8497" spans="8:9">
      <c r="H8497" s="1358"/>
      <c r="I8497" s="1358"/>
    </row>
    <row r="8498" spans="8:9">
      <c r="H8498" s="1358"/>
      <c r="I8498" s="1358"/>
    </row>
    <row r="8499" spans="8:9">
      <c r="H8499" s="1358"/>
      <c r="I8499" s="1358"/>
    </row>
    <row r="8500" spans="8:9">
      <c r="H8500" s="1358"/>
      <c r="I8500" s="1358"/>
    </row>
    <row r="8501" spans="8:9">
      <c r="H8501" s="1358"/>
      <c r="I8501" s="1358"/>
    </row>
    <row r="8502" spans="8:9">
      <c r="H8502" s="1358"/>
      <c r="I8502" s="1358"/>
    </row>
    <row r="8503" spans="8:9">
      <c r="H8503" s="1358"/>
      <c r="I8503" s="1358"/>
    </row>
    <row r="8504" spans="8:9">
      <c r="H8504" s="1358"/>
      <c r="I8504" s="1358"/>
    </row>
    <row r="8505" spans="8:9">
      <c r="H8505" s="1358"/>
      <c r="I8505" s="1358"/>
    </row>
    <row r="8506" spans="8:9">
      <c r="H8506" s="1358"/>
      <c r="I8506" s="1358"/>
    </row>
    <row r="8507" spans="8:9">
      <c r="H8507" s="1358"/>
      <c r="I8507" s="1358"/>
    </row>
    <row r="8508" spans="8:9">
      <c r="H8508" s="1358"/>
      <c r="I8508" s="1358"/>
    </row>
    <row r="8509" spans="8:9">
      <c r="H8509" s="1358"/>
      <c r="I8509" s="1358"/>
    </row>
    <row r="8510" spans="8:9">
      <c r="H8510" s="1358"/>
      <c r="I8510" s="1358"/>
    </row>
    <row r="8511" spans="8:9">
      <c r="H8511" s="1358"/>
      <c r="I8511" s="1358"/>
    </row>
    <row r="8512" spans="8:9">
      <c r="H8512" s="1358"/>
      <c r="I8512" s="1358"/>
    </row>
    <row r="8513" spans="8:9">
      <c r="H8513" s="1358"/>
      <c r="I8513" s="1358"/>
    </row>
    <row r="8514" spans="8:9">
      <c r="H8514" s="1358"/>
      <c r="I8514" s="1358"/>
    </row>
    <row r="8515" spans="8:9">
      <c r="H8515" s="1358"/>
      <c r="I8515" s="1358"/>
    </row>
    <row r="8516" spans="8:9">
      <c r="H8516" s="1358"/>
      <c r="I8516" s="1358"/>
    </row>
    <row r="8517" spans="8:9">
      <c r="H8517" s="1358"/>
      <c r="I8517" s="1358"/>
    </row>
    <row r="8518" spans="8:9">
      <c r="H8518" s="1358"/>
      <c r="I8518" s="1358"/>
    </row>
    <row r="8519" spans="8:9">
      <c r="H8519" s="1358"/>
      <c r="I8519" s="1358"/>
    </row>
    <row r="8520" spans="8:9">
      <c r="H8520" s="1358"/>
      <c r="I8520" s="1358"/>
    </row>
    <row r="8521" spans="8:9">
      <c r="H8521" s="1358"/>
      <c r="I8521" s="1358"/>
    </row>
    <row r="8522" spans="8:9">
      <c r="H8522" s="1358"/>
      <c r="I8522" s="1358"/>
    </row>
    <row r="8523" spans="8:9">
      <c r="H8523" s="1358"/>
      <c r="I8523" s="1358"/>
    </row>
    <row r="8524" spans="8:9">
      <c r="H8524" s="1358"/>
      <c r="I8524" s="1358"/>
    </row>
    <row r="8525" spans="8:9">
      <c r="H8525" s="1358"/>
      <c r="I8525" s="1358"/>
    </row>
    <row r="8526" spans="8:9">
      <c r="H8526" s="1358"/>
      <c r="I8526" s="1358"/>
    </row>
    <row r="8527" spans="8:9">
      <c r="H8527" s="1358"/>
      <c r="I8527" s="1358"/>
    </row>
    <row r="8528" spans="8:9">
      <c r="H8528" s="1358"/>
      <c r="I8528" s="1358"/>
    </row>
    <row r="8529" spans="8:9">
      <c r="H8529" s="1358"/>
      <c r="I8529" s="1358"/>
    </row>
    <row r="8530" spans="8:9">
      <c r="H8530" s="1358"/>
      <c r="I8530" s="1358"/>
    </row>
    <row r="8531" spans="8:9">
      <c r="H8531" s="1358"/>
      <c r="I8531" s="1358"/>
    </row>
    <row r="8532" spans="8:9">
      <c r="H8532" s="1358"/>
      <c r="I8532" s="1358"/>
    </row>
    <row r="8533" spans="8:9">
      <c r="H8533" s="1358"/>
      <c r="I8533" s="1358"/>
    </row>
    <row r="8534" spans="8:9">
      <c r="H8534" s="1358"/>
      <c r="I8534" s="1358"/>
    </row>
    <row r="8535" spans="8:9">
      <c r="H8535" s="1358"/>
      <c r="I8535" s="1358"/>
    </row>
    <row r="8536" spans="8:9">
      <c r="H8536" s="1358"/>
      <c r="I8536" s="1358"/>
    </row>
    <row r="8537" spans="8:9">
      <c r="H8537" s="1358"/>
      <c r="I8537" s="1358"/>
    </row>
    <row r="8538" spans="8:9">
      <c r="H8538" s="1358"/>
      <c r="I8538" s="1358"/>
    </row>
    <row r="8539" spans="8:9">
      <c r="H8539" s="1358"/>
      <c r="I8539" s="1358"/>
    </row>
    <row r="8540" spans="8:9">
      <c r="H8540" s="1358"/>
      <c r="I8540" s="1358"/>
    </row>
    <row r="8541" spans="8:9">
      <c r="H8541" s="1358"/>
      <c r="I8541" s="1358"/>
    </row>
    <row r="8542" spans="8:9">
      <c r="H8542" s="1358"/>
      <c r="I8542" s="1358"/>
    </row>
    <row r="8543" spans="8:9">
      <c r="H8543" s="1358"/>
      <c r="I8543" s="1358"/>
    </row>
    <row r="8544" spans="8:9">
      <c r="H8544" s="1358"/>
      <c r="I8544" s="1358"/>
    </row>
    <row r="8545" spans="8:9">
      <c r="H8545" s="1358"/>
      <c r="I8545" s="1358"/>
    </row>
    <row r="8546" spans="8:9">
      <c r="H8546" s="1358"/>
      <c r="I8546" s="1358"/>
    </row>
    <row r="8547" spans="8:9">
      <c r="H8547" s="1358"/>
      <c r="I8547" s="1358"/>
    </row>
    <row r="8548" spans="8:9">
      <c r="H8548" s="1358"/>
      <c r="I8548" s="1358"/>
    </row>
    <row r="8549" spans="8:9">
      <c r="H8549" s="1358"/>
      <c r="I8549" s="1358"/>
    </row>
    <row r="8550" spans="8:9">
      <c r="H8550" s="1358"/>
      <c r="I8550" s="1358"/>
    </row>
    <row r="8551" spans="8:9">
      <c r="H8551" s="1358"/>
      <c r="I8551" s="1358"/>
    </row>
    <row r="8552" spans="8:9">
      <c r="H8552" s="1358"/>
      <c r="I8552" s="1358"/>
    </row>
    <row r="8553" spans="8:9">
      <c r="H8553" s="1358"/>
      <c r="I8553" s="1358"/>
    </row>
    <row r="8554" spans="8:9">
      <c r="H8554" s="1358"/>
      <c r="I8554" s="1358"/>
    </row>
    <row r="8555" spans="8:9">
      <c r="H8555" s="1358"/>
      <c r="I8555" s="1358"/>
    </row>
    <row r="8556" spans="8:9">
      <c r="H8556" s="1358"/>
      <c r="I8556" s="1358"/>
    </row>
    <row r="8557" spans="8:9">
      <c r="H8557" s="1358"/>
      <c r="I8557" s="1358"/>
    </row>
    <row r="8558" spans="8:9">
      <c r="H8558" s="1358"/>
      <c r="I8558" s="1358"/>
    </row>
    <row r="8559" spans="8:9">
      <c r="H8559" s="1358"/>
      <c r="I8559" s="1358"/>
    </row>
    <row r="8560" spans="8:9">
      <c r="H8560" s="1358"/>
      <c r="I8560" s="1358"/>
    </row>
    <row r="8561" spans="8:9">
      <c r="H8561" s="1358"/>
      <c r="I8561" s="1358"/>
    </row>
    <row r="8562" spans="8:9">
      <c r="H8562" s="1358"/>
      <c r="I8562" s="1358"/>
    </row>
    <row r="8563" spans="8:9">
      <c r="H8563" s="1358"/>
      <c r="I8563" s="1358"/>
    </row>
    <row r="8564" spans="8:9">
      <c r="H8564" s="1358"/>
      <c r="I8564" s="1358"/>
    </row>
    <row r="8565" spans="8:9">
      <c r="H8565" s="1358"/>
      <c r="I8565" s="1358"/>
    </row>
    <row r="8566" spans="8:9">
      <c r="H8566" s="1358"/>
      <c r="I8566" s="1358"/>
    </row>
    <row r="8567" spans="8:9">
      <c r="H8567" s="1358"/>
      <c r="I8567" s="1358"/>
    </row>
    <row r="8568" spans="8:9">
      <c r="H8568" s="1358"/>
      <c r="I8568" s="1358"/>
    </row>
    <row r="8569" spans="8:9">
      <c r="H8569" s="1358"/>
      <c r="I8569" s="1358"/>
    </row>
    <row r="8570" spans="8:9">
      <c r="H8570" s="1358"/>
      <c r="I8570" s="1358"/>
    </row>
    <row r="8571" spans="8:9">
      <c r="H8571" s="1358"/>
      <c r="I8571" s="1358"/>
    </row>
    <row r="8572" spans="8:9">
      <c r="H8572" s="1358"/>
      <c r="I8572" s="1358"/>
    </row>
    <row r="8573" spans="8:9">
      <c r="H8573" s="1358"/>
      <c r="I8573" s="1358"/>
    </row>
    <row r="8574" spans="8:9">
      <c r="H8574" s="1358"/>
      <c r="I8574" s="1358"/>
    </row>
    <row r="8575" spans="8:9">
      <c r="H8575" s="1358"/>
      <c r="I8575" s="1358"/>
    </row>
    <row r="8576" spans="8:9">
      <c r="H8576" s="1358"/>
      <c r="I8576" s="1358"/>
    </row>
    <row r="8577" spans="8:9">
      <c r="H8577" s="1358"/>
      <c r="I8577" s="1358"/>
    </row>
    <row r="8578" spans="8:9">
      <c r="H8578" s="1358"/>
      <c r="I8578" s="1358"/>
    </row>
    <row r="8579" spans="8:9">
      <c r="H8579" s="1358"/>
      <c r="I8579" s="1358"/>
    </row>
    <row r="8580" spans="8:9">
      <c r="H8580" s="1358"/>
      <c r="I8580" s="1358"/>
    </row>
    <row r="8581" spans="8:9">
      <c r="H8581" s="1358"/>
      <c r="I8581" s="1358"/>
    </row>
    <row r="8582" spans="8:9">
      <c r="H8582" s="1358"/>
      <c r="I8582" s="1358"/>
    </row>
    <row r="8583" spans="8:9">
      <c r="H8583" s="1358"/>
      <c r="I8583" s="1358"/>
    </row>
    <row r="8584" spans="8:9">
      <c r="H8584" s="1358"/>
      <c r="I8584" s="1358"/>
    </row>
    <row r="8585" spans="8:9">
      <c r="H8585" s="1358"/>
      <c r="I8585" s="1358"/>
    </row>
    <row r="8586" spans="8:9">
      <c r="H8586" s="1358"/>
      <c r="I8586" s="1358"/>
    </row>
    <row r="8587" spans="8:9">
      <c r="H8587" s="1358"/>
      <c r="I8587" s="1358"/>
    </row>
    <row r="8588" spans="8:9">
      <c r="H8588" s="1358"/>
      <c r="I8588" s="1358"/>
    </row>
    <row r="8589" spans="8:9">
      <c r="H8589" s="1358"/>
      <c r="I8589" s="1358"/>
    </row>
    <row r="8590" spans="8:9">
      <c r="H8590" s="1358"/>
      <c r="I8590" s="1358"/>
    </row>
    <row r="8591" spans="8:9">
      <c r="H8591" s="1358"/>
      <c r="I8591" s="1358"/>
    </row>
    <row r="8592" spans="8:9">
      <c r="H8592" s="1358"/>
      <c r="I8592" s="1358"/>
    </row>
    <row r="8593" spans="8:9">
      <c r="H8593" s="1358"/>
      <c r="I8593" s="1358"/>
    </row>
    <row r="8594" spans="8:9">
      <c r="H8594" s="1358"/>
      <c r="I8594" s="1358"/>
    </row>
    <row r="8595" spans="8:9">
      <c r="H8595" s="1358"/>
      <c r="I8595" s="1358"/>
    </row>
    <row r="8596" spans="8:9">
      <c r="H8596" s="1358"/>
      <c r="I8596" s="1358"/>
    </row>
    <row r="8597" spans="8:9">
      <c r="H8597" s="1358"/>
      <c r="I8597" s="1358"/>
    </row>
    <row r="8598" spans="8:9">
      <c r="H8598" s="1358"/>
      <c r="I8598" s="1358"/>
    </row>
    <row r="8599" spans="8:9">
      <c r="H8599" s="1358"/>
      <c r="I8599" s="1358"/>
    </row>
    <row r="8600" spans="8:9">
      <c r="H8600" s="1358"/>
      <c r="I8600" s="1358"/>
    </row>
    <row r="8601" spans="8:9">
      <c r="H8601" s="1358"/>
      <c r="I8601" s="1358"/>
    </row>
    <row r="8602" spans="8:9">
      <c r="H8602" s="1358"/>
      <c r="I8602" s="1358"/>
    </row>
    <row r="8603" spans="8:9">
      <c r="H8603" s="1358"/>
      <c r="I8603" s="1358"/>
    </row>
    <row r="8604" spans="8:9">
      <c r="H8604" s="1358"/>
      <c r="I8604" s="1358"/>
    </row>
    <row r="8605" spans="8:9">
      <c r="H8605" s="1358"/>
      <c r="I8605" s="1358"/>
    </row>
    <row r="8606" spans="8:9">
      <c r="H8606" s="1358"/>
      <c r="I8606" s="1358"/>
    </row>
    <row r="8607" spans="8:9">
      <c r="H8607" s="1358"/>
      <c r="I8607" s="1358"/>
    </row>
    <row r="8608" spans="8:9">
      <c r="H8608" s="1358"/>
      <c r="I8608" s="1358"/>
    </row>
    <row r="8609" spans="8:9">
      <c r="H8609" s="1358"/>
      <c r="I8609" s="1358"/>
    </row>
    <row r="8610" spans="8:9">
      <c r="H8610" s="1358"/>
      <c r="I8610" s="1358"/>
    </row>
    <row r="8611" spans="8:9">
      <c r="H8611" s="1358"/>
      <c r="I8611" s="1358"/>
    </row>
    <row r="8612" spans="8:9">
      <c r="H8612" s="1358"/>
      <c r="I8612" s="1358"/>
    </row>
    <row r="8613" spans="8:9">
      <c r="H8613" s="1358"/>
      <c r="I8613" s="1358"/>
    </row>
    <row r="8614" spans="8:9">
      <c r="H8614" s="1358"/>
      <c r="I8614" s="1358"/>
    </row>
    <row r="8615" spans="8:9">
      <c r="H8615" s="1358"/>
      <c r="I8615" s="1358"/>
    </row>
    <row r="8616" spans="8:9">
      <c r="H8616" s="1358"/>
      <c r="I8616" s="1358"/>
    </row>
    <row r="8617" spans="8:9">
      <c r="H8617" s="1358"/>
      <c r="I8617" s="1358"/>
    </row>
    <row r="8618" spans="8:9">
      <c r="H8618" s="1358"/>
      <c r="I8618" s="1358"/>
    </row>
    <row r="8619" spans="8:9">
      <c r="H8619" s="1358"/>
      <c r="I8619" s="1358"/>
    </row>
    <row r="8620" spans="8:9">
      <c r="H8620" s="1358"/>
      <c r="I8620" s="1358"/>
    </row>
    <row r="8621" spans="8:9">
      <c r="H8621" s="1358"/>
      <c r="I8621" s="1358"/>
    </row>
    <row r="8622" spans="8:9">
      <c r="H8622" s="1358"/>
      <c r="I8622" s="1358"/>
    </row>
    <row r="8623" spans="8:9">
      <c r="H8623" s="1358"/>
      <c r="I8623" s="1358"/>
    </row>
    <row r="8624" spans="8:9">
      <c r="H8624" s="1358"/>
      <c r="I8624" s="1358"/>
    </row>
    <row r="8625" spans="8:9">
      <c r="H8625" s="1358"/>
      <c r="I8625" s="1358"/>
    </row>
    <row r="8626" spans="8:9">
      <c r="H8626" s="1358"/>
      <c r="I8626" s="1358"/>
    </row>
    <row r="8627" spans="8:9">
      <c r="H8627" s="1358"/>
      <c r="I8627" s="1358"/>
    </row>
    <row r="8628" spans="8:9">
      <c r="H8628" s="1358"/>
      <c r="I8628" s="1358"/>
    </row>
    <row r="8629" spans="8:9">
      <c r="H8629" s="1358"/>
      <c r="I8629" s="1358"/>
    </row>
    <row r="8630" spans="8:9">
      <c r="H8630" s="1358"/>
      <c r="I8630" s="1358"/>
    </row>
    <row r="8631" spans="8:9">
      <c r="H8631" s="1358"/>
      <c r="I8631" s="1358"/>
    </row>
    <row r="8632" spans="8:9">
      <c r="H8632" s="1358"/>
      <c r="I8632" s="1358"/>
    </row>
    <row r="8633" spans="8:9">
      <c r="H8633" s="1358"/>
      <c r="I8633" s="1358"/>
    </row>
    <row r="8634" spans="8:9">
      <c r="H8634" s="1358"/>
      <c r="I8634" s="1358"/>
    </row>
    <row r="8635" spans="8:9">
      <c r="H8635" s="1358"/>
      <c r="I8635" s="1358"/>
    </row>
    <row r="8636" spans="8:9">
      <c r="H8636" s="1358"/>
      <c r="I8636" s="1358"/>
    </row>
    <row r="8637" spans="8:9">
      <c r="H8637" s="1358"/>
      <c r="I8637" s="1358"/>
    </row>
    <row r="8638" spans="8:9">
      <c r="H8638" s="1358"/>
      <c r="I8638" s="1358"/>
    </row>
    <row r="8639" spans="8:9">
      <c r="H8639" s="1358"/>
      <c r="I8639" s="1358"/>
    </row>
    <row r="8640" spans="8:9">
      <c r="H8640" s="1358"/>
      <c r="I8640" s="1358"/>
    </row>
    <row r="8641" spans="8:9">
      <c r="H8641" s="1358"/>
      <c r="I8641" s="1358"/>
    </row>
    <row r="8642" spans="8:9">
      <c r="H8642" s="1358"/>
      <c r="I8642" s="1358"/>
    </row>
    <row r="8643" spans="8:9">
      <c r="H8643" s="1358"/>
      <c r="I8643" s="1358"/>
    </row>
    <row r="8644" spans="8:9">
      <c r="H8644" s="1358"/>
      <c r="I8644" s="1358"/>
    </row>
    <row r="8645" spans="8:9">
      <c r="H8645" s="1358"/>
      <c r="I8645" s="1358"/>
    </row>
    <row r="8646" spans="8:9">
      <c r="H8646" s="1358"/>
      <c r="I8646" s="1358"/>
    </row>
    <row r="8647" spans="8:9">
      <c r="H8647" s="1358"/>
      <c r="I8647" s="1358"/>
    </row>
    <row r="8648" spans="8:9">
      <c r="H8648" s="1358"/>
      <c r="I8648" s="1358"/>
    </row>
    <row r="8649" spans="8:9">
      <c r="H8649" s="1358"/>
      <c r="I8649" s="1358"/>
    </row>
    <row r="8650" spans="8:9">
      <c r="H8650" s="1358"/>
      <c r="I8650" s="1358"/>
    </row>
    <row r="8651" spans="8:9">
      <c r="H8651" s="1358"/>
      <c r="I8651" s="1358"/>
    </row>
    <row r="8652" spans="8:9">
      <c r="H8652" s="1358"/>
      <c r="I8652" s="1358"/>
    </row>
    <row r="8653" spans="8:9">
      <c r="H8653" s="1358"/>
      <c r="I8653" s="1358"/>
    </row>
    <row r="8654" spans="8:9">
      <c r="H8654" s="1358"/>
      <c r="I8654" s="1358"/>
    </row>
    <row r="8655" spans="8:9">
      <c r="H8655" s="1358"/>
      <c r="I8655" s="1358"/>
    </row>
    <row r="8656" spans="8:9">
      <c r="H8656" s="1358"/>
      <c r="I8656" s="1358"/>
    </row>
    <row r="8657" spans="8:9">
      <c r="H8657" s="1358"/>
      <c r="I8657" s="1358"/>
    </row>
    <row r="8658" spans="8:9">
      <c r="H8658" s="1358"/>
      <c r="I8658" s="1358"/>
    </row>
    <row r="8659" spans="8:9">
      <c r="H8659" s="1358"/>
      <c r="I8659" s="1358"/>
    </row>
    <row r="8660" spans="8:9">
      <c r="H8660" s="1358"/>
      <c r="I8660" s="1358"/>
    </row>
    <row r="8661" spans="8:9">
      <c r="H8661" s="1358"/>
      <c r="I8661" s="1358"/>
    </row>
    <row r="8662" spans="8:9">
      <c r="H8662" s="1358"/>
      <c r="I8662" s="1358"/>
    </row>
    <row r="8663" spans="8:9">
      <c r="H8663" s="1358"/>
      <c r="I8663" s="1358"/>
    </row>
    <row r="8664" spans="8:9">
      <c r="H8664" s="1358"/>
      <c r="I8664" s="1358"/>
    </row>
    <row r="8665" spans="8:9">
      <c r="H8665" s="1358"/>
      <c r="I8665" s="1358"/>
    </row>
    <row r="8666" spans="8:9">
      <c r="H8666" s="1358"/>
      <c r="I8666" s="1358"/>
    </row>
    <row r="8667" spans="8:9">
      <c r="H8667" s="1358"/>
      <c r="I8667" s="1358"/>
    </row>
    <row r="8668" spans="8:9">
      <c r="H8668" s="1358"/>
      <c r="I8668" s="1358"/>
    </row>
    <row r="8669" spans="8:9">
      <c r="H8669" s="1358"/>
      <c r="I8669" s="1358"/>
    </row>
    <row r="8670" spans="8:9">
      <c r="H8670" s="1358"/>
      <c r="I8670" s="1358"/>
    </row>
    <row r="8671" spans="8:9">
      <c r="H8671" s="1358"/>
      <c r="I8671" s="1358"/>
    </row>
    <row r="8672" spans="8:9">
      <c r="H8672" s="1358"/>
      <c r="I8672" s="1358"/>
    </row>
    <row r="8673" spans="8:9">
      <c r="H8673" s="1358"/>
      <c r="I8673" s="1358"/>
    </row>
    <row r="8674" spans="8:9">
      <c r="H8674" s="1358"/>
      <c r="I8674" s="1358"/>
    </row>
    <row r="8675" spans="8:9">
      <c r="H8675" s="1358"/>
      <c r="I8675" s="1358"/>
    </row>
    <row r="8676" spans="8:9">
      <c r="H8676" s="1358"/>
      <c r="I8676" s="1358"/>
    </row>
    <row r="8677" spans="8:9">
      <c r="H8677" s="1358"/>
      <c r="I8677" s="1358"/>
    </row>
    <row r="8678" spans="8:9">
      <c r="H8678" s="1358"/>
      <c r="I8678" s="1358"/>
    </row>
    <row r="8679" spans="8:9">
      <c r="H8679" s="1358"/>
      <c r="I8679" s="1358"/>
    </row>
    <row r="8680" spans="8:9">
      <c r="H8680" s="1358"/>
      <c r="I8680" s="1358"/>
    </row>
    <row r="8681" spans="8:9">
      <c r="H8681" s="1358"/>
      <c r="I8681" s="1358"/>
    </row>
    <row r="8682" spans="8:9">
      <c r="H8682" s="1358"/>
      <c r="I8682" s="1358"/>
    </row>
    <row r="8683" spans="8:9">
      <c r="H8683" s="1358"/>
      <c r="I8683" s="1358"/>
    </row>
    <row r="8684" spans="8:9">
      <c r="H8684" s="1358"/>
      <c r="I8684" s="1358"/>
    </row>
    <row r="8685" spans="8:9">
      <c r="H8685" s="1358"/>
      <c r="I8685" s="1358"/>
    </row>
    <row r="8686" spans="8:9">
      <c r="H8686" s="1358"/>
      <c r="I8686" s="1358"/>
    </row>
    <row r="8687" spans="8:9">
      <c r="H8687" s="1358"/>
      <c r="I8687" s="1358"/>
    </row>
    <row r="8688" spans="8:9">
      <c r="H8688" s="1358"/>
      <c r="I8688" s="1358"/>
    </row>
    <row r="8689" spans="8:9">
      <c r="H8689" s="1358"/>
      <c r="I8689" s="1358"/>
    </row>
    <row r="8690" spans="8:9">
      <c r="H8690" s="1358"/>
      <c r="I8690" s="1358"/>
    </row>
    <row r="8691" spans="8:9">
      <c r="H8691" s="1358"/>
      <c r="I8691" s="1358"/>
    </row>
    <row r="8692" spans="8:9">
      <c r="H8692" s="1358"/>
      <c r="I8692" s="1358"/>
    </row>
    <row r="8693" spans="8:9">
      <c r="H8693" s="1358"/>
      <c r="I8693" s="1358"/>
    </row>
    <row r="8694" spans="8:9">
      <c r="H8694" s="1358"/>
      <c r="I8694" s="1358"/>
    </row>
    <row r="8695" spans="8:9">
      <c r="H8695" s="1358"/>
      <c r="I8695" s="1358"/>
    </row>
    <row r="8696" spans="8:9">
      <c r="H8696" s="1358"/>
      <c r="I8696" s="1358"/>
    </row>
    <row r="8697" spans="8:9">
      <c r="H8697" s="1358"/>
      <c r="I8697" s="1358"/>
    </row>
    <row r="8698" spans="8:9">
      <c r="H8698" s="1358"/>
      <c r="I8698" s="1358"/>
    </row>
    <row r="8699" spans="8:9">
      <c r="H8699" s="1358"/>
      <c r="I8699" s="1358"/>
    </row>
    <row r="8700" spans="8:9">
      <c r="H8700" s="1358"/>
      <c r="I8700" s="1358"/>
    </row>
    <row r="8701" spans="8:9">
      <c r="H8701" s="1358"/>
      <c r="I8701" s="1358"/>
    </row>
    <row r="8702" spans="8:9">
      <c r="H8702" s="1358"/>
      <c r="I8702" s="1358"/>
    </row>
    <row r="8703" spans="8:9">
      <c r="H8703" s="1358"/>
      <c r="I8703" s="1358"/>
    </row>
    <row r="8704" spans="8:9">
      <c r="H8704" s="1358"/>
      <c r="I8704" s="1358"/>
    </row>
    <row r="8705" spans="8:9">
      <c r="H8705" s="1358"/>
      <c r="I8705" s="1358"/>
    </row>
    <row r="8706" spans="8:9">
      <c r="H8706" s="1358"/>
      <c r="I8706" s="1358"/>
    </row>
    <row r="8707" spans="8:9">
      <c r="H8707" s="1358"/>
      <c r="I8707" s="1358"/>
    </row>
    <row r="8708" spans="8:9">
      <c r="H8708" s="1358"/>
      <c r="I8708" s="1358"/>
    </row>
    <row r="8709" spans="8:9">
      <c r="H8709" s="1358"/>
      <c r="I8709" s="1358"/>
    </row>
    <row r="8710" spans="8:9">
      <c r="H8710" s="1358"/>
      <c r="I8710" s="1358"/>
    </row>
    <row r="8711" spans="8:9">
      <c r="H8711" s="1358"/>
      <c r="I8711" s="1358"/>
    </row>
    <row r="8712" spans="8:9">
      <c r="H8712" s="1358"/>
      <c r="I8712" s="1358"/>
    </row>
    <row r="8713" spans="8:9">
      <c r="H8713" s="1358"/>
      <c r="I8713" s="1358"/>
    </row>
    <row r="8714" spans="8:9">
      <c r="H8714" s="1358"/>
      <c r="I8714" s="1358"/>
    </row>
    <row r="8715" spans="8:9">
      <c r="H8715" s="1358"/>
      <c r="I8715" s="1358"/>
    </row>
    <row r="8716" spans="8:9">
      <c r="H8716" s="1358"/>
      <c r="I8716" s="1358"/>
    </row>
    <row r="8717" spans="8:9">
      <c r="H8717" s="1358"/>
      <c r="I8717" s="1358"/>
    </row>
    <row r="8718" spans="8:9">
      <c r="H8718" s="1358"/>
      <c r="I8718" s="1358"/>
    </row>
    <row r="8719" spans="8:9">
      <c r="H8719" s="1358"/>
      <c r="I8719" s="1358"/>
    </row>
    <row r="8720" spans="8:9">
      <c r="H8720" s="1358"/>
      <c r="I8720" s="1358"/>
    </row>
    <row r="8721" spans="8:9">
      <c r="H8721" s="1358"/>
      <c r="I8721" s="1358"/>
    </row>
    <row r="8722" spans="8:9">
      <c r="H8722" s="1358"/>
      <c r="I8722" s="1358"/>
    </row>
    <row r="8723" spans="8:9">
      <c r="H8723" s="1358"/>
      <c r="I8723" s="1358"/>
    </row>
    <row r="8724" spans="8:9">
      <c r="H8724" s="1358"/>
      <c r="I8724" s="1358"/>
    </row>
    <row r="8725" spans="8:9">
      <c r="H8725" s="1358"/>
      <c r="I8725" s="1358"/>
    </row>
    <row r="8726" spans="8:9">
      <c r="H8726" s="1358"/>
      <c r="I8726" s="1358"/>
    </row>
    <row r="8727" spans="8:9">
      <c r="H8727" s="1358"/>
      <c r="I8727" s="1358"/>
    </row>
    <row r="8728" spans="8:9">
      <c r="H8728" s="1358"/>
      <c r="I8728" s="1358"/>
    </row>
    <row r="8729" spans="8:9">
      <c r="H8729" s="1358"/>
      <c r="I8729" s="1358"/>
    </row>
    <row r="8730" spans="8:9">
      <c r="H8730" s="1358"/>
      <c r="I8730" s="1358"/>
    </row>
    <row r="8731" spans="8:9">
      <c r="H8731" s="1358"/>
      <c r="I8731" s="1358"/>
    </row>
    <row r="8732" spans="8:9">
      <c r="H8732" s="1358"/>
      <c r="I8732" s="1358"/>
    </row>
    <row r="8733" spans="8:9">
      <c r="H8733" s="1358"/>
      <c r="I8733" s="1358"/>
    </row>
    <row r="8734" spans="8:9">
      <c r="H8734" s="1358"/>
      <c r="I8734" s="1358"/>
    </row>
    <row r="8735" spans="8:9">
      <c r="H8735" s="1358"/>
      <c r="I8735" s="1358"/>
    </row>
    <row r="8736" spans="8:9">
      <c r="H8736" s="1358"/>
      <c r="I8736" s="1358"/>
    </row>
    <row r="8737" spans="8:9">
      <c r="H8737" s="1358"/>
      <c r="I8737" s="1358"/>
    </row>
    <row r="8738" spans="8:9">
      <c r="H8738" s="1358"/>
      <c r="I8738" s="1358"/>
    </row>
    <row r="8739" spans="8:9">
      <c r="H8739" s="1358"/>
      <c r="I8739" s="1358"/>
    </row>
    <row r="8740" spans="8:9">
      <c r="H8740" s="1358"/>
      <c r="I8740" s="1358"/>
    </row>
    <row r="8741" spans="8:9">
      <c r="H8741" s="1358"/>
      <c r="I8741" s="1358"/>
    </row>
    <row r="8742" spans="8:9">
      <c r="H8742" s="1358"/>
      <c r="I8742" s="1358"/>
    </row>
    <row r="8743" spans="8:9">
      <c r="H8743" s="1358"/>
      <c r="I8743" s="1358"/>
    </row>
    <row r="8744" spans="8:9">
      <c r="H8744" s="1358"/>
      <c r="I8744" s="1358"/>
    </row>
    <row r="8745" spans="8:9">
      <c r="H8745" s="1358"/>
      <c r="I8745" s="1358"/>
    </row>
    <row r="8746" spans="8:9">
      <c r="H8746" s="1358"/>
      <c r="I8746" s="1358"/>
    </row>
    <row r="8747" spans="8:9">
      <c r="H8747" s="1358"/>
      <c r="I8747" s="1358"/>
    </row>
    <row r="8748" spans="8:9">
      <c r="H8748" s="1358"/>
      <c r="I8748" s="1358"/>
    </row>
    <row r="8749" spans="8:9">
      <c r="H8749" s="1358"/>
      <c r="I8749" s="1358"/>
    </row>
    <row r="8750" spans="8:9">
      <c r="H8750" s="1358"/>
      <c r="I8750" s="1358"/>
    </row>
    <row r="8751" spans="8:9">
      <c r="H8751" s="1358"/>
      <c r="I8751" s="1358"/>
    </row>
    <row r="8752" spans="8:9">
      <c r="H8752" s="1358"/>
      <c r="I8752" s="1358"/>
    </row>
    <row r="8753" spans="8:9">
      <c r="H8753" s="1358"/>
      <c r="I8753" s="1358"/>
    </row>
    <row r="8754" spans="8:9">
      <c r="H8754" s="1358"/>
      <c r="I8754" s="1358"/>
    </row>
    <row r="8755" spans="8:9">
      <c r="H8755" s="1358"/>
      <c r="I8755" s="1358"/>
    </row>
    <row r="8756" spans="8:9">
      <c r="H8756" s="1358"/>
      <c r="I8756" s="1358"/>
    </row>
    <row r="8757" spans="8:9">
      <c r="H8757" s="1358"/>
      <c r="I8757" s="1358"/>
    </row>
    <row r="8758" spans="8:9">
      <c r="H8758" s="1358"/>
      <c r="I8758" s="1358"/>
    </row>
    <row r="8759" spans="8:9">
      <c r="H8759" s="1358"/>
      <c r="I8759" s="1358"/>
    </row>
    <row r="8760" spans="8:9">
      <c r="H8760" s="1358"/>
      <c r="I8760" s="1358"/>
    </row>
    <row r="8761" spans="8:9">
      <c r="H8761" s="1358"/>
      <c r="I8761" s="1358"/>
    </row>
    <row r="8762" spans="8:9">
      <c r="H8762" s="1358"/>
      <c r="I8762" s="1358"/>
    </row>
    <row r="8763" spans="8:9">
      <c r="H8763" s="1358"/>
      <c r="I8763" s="1358"/>
    </row>
    <row r="8764" spans="8:9">
      <c r="H8764" s="1358"/>
      <c r="I8764" s="1358"/>
    </row>
    <row r="8765" spans="8:9">
      <c r="H8765" s="1358"/>
      <c r="I8765" s="1358"/>
    </row>
    <row r="8766" spans="8:9">
      <c r="H8766" s="1358"/>
      <c r="I8766" s="1358"/>
    </row>
    <row r="8767" spans="8:9">
      <c r="H8767" s="1358"/>
      <c r="I8767" s="1358"/>
    </row>
    <row r="8768" spans="8:9">
      <c r="H8768" s="1358"/>
      <c r="I8768" s="1358"/>
    </row>
    <row r="8769" spans="8:9">
      <c r="H8769" s="1358"/>
      <c r="I8769" s="1358"/>
    </row>
    <row r="8770" spans="8:9">
      <c r="H8770" s="1358"/>
      <c r="I8770" s="1358"/>
    </row>
    <row r="8771" spans="8:9">
      <c r="H8771" s="1358"/>
      <c r="I8771" s="1358"/>
    </row>
    <row r="8772" spans="8:9">
      <c r="H8772" s="1358"/>
      <c r="I8772" s="1358"/>
    </row>
    <row r="8773" spans="8:9">
      <c r="H8773" s="1358"/>
      <c r="I8773" s="1358"/>
    </row>
    <row r="8774" spans="8:9">
      <c r="H8774" s="1358"/>
      <c r="I8774" s="1358"/>
    </row>
    <row r="8775" spans="8:9">
      <c r="H8775" s="1358"/>
      <c r="I8775" s="1358"/>
    </row>
    <row r="8776" spans="8:9">
      <c r="H8776" s="1358"/>
      <c r="I8776" s="1358"/>
    </row>
    <row r="8777" spans="8:9">
      <c r="H8777" s="1358"/>
      <c r="I8777" s="1358"/>
    </row>
    <row r="8778" spans="8:9">
      <c r="H8778" s="1358"/>
      <c r="I8778" s="1358"/>
    </row>
    <row r="8779" spans="8:9">
      <c r="H8779" s="1358"/>
      <c r="I8779" s="1358"/>
    </row>
    <row r="8780" spans="8:9">
      <c r="H8780" s="1358"/>
      <c r="I8780" s="1358"/>
    </row>
    <row r="8781" spans="8:9">
      <c r="H8781" s="1358"/>
      <c r="I8781" s="1358"/>
    </row>
    <row r="8782" spans="8:9">
      <c r="H8782" s="1358"/>
      <c r="I8782" s="1358"/>
    </row>
    <row r="8783" spans="8:9">
      <c r="H8783" s="1358"/>
      <c r="I8783" s="1358"/>
    </row>
    <row r="8784" spans="8:9">
      <c r="H8784" s="1358"/>
      <c r="I8784" s="1358"/>
    </row>
    <row r="8785" spans="8:9">
      <c r="H8785" s="1358"/>
      <c r="I8785" s="1358"/>
    </row>
    <row r="8786" spans="8:9">
      <c r="H8786" s="1358"/>
      <c r="I8786" s="1358"/>
    </row>
    <row r="8787" spans="8:9">
      <c r="H8787" s="1358"/>
      <c r="I8787" s="1358"/>
    </row>
    <row r="8788" spans="8:9">
      <c r="H8788" s="1358"/>
      <c r="I8788" s="1358"/>
    </row>
    <row r="8789" spans="8:9">
      <c r="H8789" s="1358"/>
      <c r="I8789" s="1358"/>
    </row>
    <row r="8790" spans="8:9">
      <c r="H8790" s="1358"/>
      <c r="I8790" s="1358"/>
    </row>
    <row r="8791" spans="8:9">
      <c r="H8791" s="1358"/>
      <c r="I8791" s="1358"/>
    </row>
    <row r="8792" spans="8:9">
      <c r="H8792" s="1358"/>
      <c r="I8792" s="1358"/>
    </row>
    <row r="8793" spans="8:9">
      <c r="H8793" s="1358"/>
      <c r="I8793" s="1358"/>
    </row>
    <row r="8794" spans="8:9">
      <c r="H8794" s="1358"/>
      <c r="I8794" s="1358"/>
    </row>
    <row r="8795" spans="8:9">
      <c r="H8795" s="1358"/>
      <c r="I8795" s="1358"/>
    </row>
    <row r="8796" spans="8:9">
      <c r="H8796" s="1358"/>
      <c r="I8796" s="1358"/>
    </row>
    <row r="8797" spans="8:9">
      <c r="H8797" s="1358"/>
      <c r="I8797" s="1358"/>
    </row>
    <row r="8798" spans="8:9">
      <c r="H8798" s="1358"/>
      <c r="I8798" s="1358"/>
    </row>
    <row r="8799" spans="8:9">
      <c r="H8799" s="1358"/>
      <c r="I8799" s="1358"/>
    </row>
    <row r="8800" spans="8:9">
      <c r="H8800" s="1358"/>
      <c r="I8800" s="1358"/>
    </row>
    <row r="8801" spans="8:9">
      <c r="H8801" s="1358"/>
      <c r="I8801" s="1358"/>
    </row>
    <row r="8802" spans="8:9">
      <c r="H8802" s="1358"/>
      <c r="I8802" s="1358"/>
    </row>
    <row r="8803" spans="8:9">
      <c r="H8803" s="1358"/>
      <c r="I8803" s="1358"/>
    </row>
    <row r="8804" spans="8:9">
      <c r="H8804" s="1358"/>
      <c r="I8804" s="1358"/>
    </row>
    <row r="8805" spans="8:9">
      <c r="H8805" s="1358"/>
      <c r="I8805" s="1358"/>
    </row>
    <row r="8806" spans="8:9">
      <c r="H8806" s="1358"/>
      <c r="I8806" s="1358"/>
    </row>
    <row r="8807" spans="8:9">
      <c r="H8807" s="1358"/>
      <c r="I8807" s="1358"/>
    </row>
    <row r="8808" spans="8:9">
      <c r="H8808" s="1358"/>
      <c r="I8808" s="1358"/>
    </row>
    <row r="8809" spans="8:9">
      <c r="H8809" s="1358"/>
      <c r="I8809" s="1358"/>
    </row>
    <row r="8810" spans="8:9">
      <c r="H8810" s="1358"/>
      <c r="I8810" s="1358"/>
    </row>
    <row r="8811" spans="8:9">
      <c r="H8811" s="1358"/>
      <c r="I8811" s="1358"/>
    </row>
    <row r="8812" spans="8:9">
      <c r="H8812" s="1358"/>
      <c r="I8812" s="1358"/>
    </row>
    <row r="8813" spans="8:9">
      <c r="H8813" s="1358"/>
      <c r="I8813" s="1358"/>
    </row>
    <row r="8814" spans="8:9">
      <c r="H8814" s="1358"/>
      <c r="I8814" s="1358"/>
    </row>
    <row r="8815" spans="8:9">
      <c r="H8815" s="1358"/>
      <c r="I8815" s="1358"/>
    </row>
    <row r="8816" spans="8:9">
      <c r="H8816" s="1358"/>
      <c r="I8816" s="1358"/>
    </row>
    <row r="8817" spans="8:9">
      <c r="H8817" s="1358"/>
      <c r="I8817" s="1358"/>
    </row>
    <row r="8818" spans="8:9">
      <c r="H8818" s="1358"/>
      <c r="I8818" s="1358"/>
    </row>
    <row r="8819" spans="8:9">
      <c r="H8819" s="1358"/>
      <c r="I8819" s="1358"/>
    </row>
    <row r="8820" spans="8:9">
      <c r="H8820" s="1358"/>
      <c r="I8820" s="1358"/>
    </row>
    <row r="8821" spans="8:9">
      <c r="H8821" s="1358"/>
      <c r="I8821" s="1358"/>
    </row>
    <row r="8822" spans="8:9">
      <c r="H8822" s="1358"/>
      <c r="I8822" s="1358"/>
    </row>
    <row r="8823" spans="8:9">
      <c r="H8823" s="1358"/>
      <c r="I8823" s="1358"/>
    </row>
    <row r="8824" spans="8:9">
      <c r="H8824" s="1358"/>
      <c r="I8824" s="1358"/>
    </row>
    <row r="8825" spans="8:9">
      <c r="H8825" s="1358"/>
      <c r="I8825" s="1358"/>
    </row>
    <row r="8826" spans="8:9">
      <c r="H8826" s="1358"/>
      <c r="I8826" s="1358"/>
    </row>
    <row r="8827" spans="8:9">
      <c r="H8827" s="1358"/>
      <c r="I8827" s="1358"/>
    </row>
    <row r="8828" spans="8:9">
      <c r="H8828" s="1358"/>
      <c r="I8828" s="1358"/>
    </row>
    <row r="8829" spans="8:9">
      <c r="H8829" s="1358"/>
      <c r="I8829" s="1358"/>
    </row>
    <row r="8830" spans="8:9">
      <c r="H8830" s="1358"/>
      <c r="I8830" s="1358"/>
    </row>
    <row r="8831" spans="8:9">
      <c r="H8831" s="1358"/>
      <c r="I8831" s="1358"/>
    </row>
    <row r="8832" spans="8:9">
      <c r="H8832" s="1358"/>
      <c r="I8832" s="1358"/>
    </row>
    <row r="8833" spans="8:9">
      <c r="H8833" s="1358"/>
      <c r="I8833" s="1358"/>
    </row>
    <row r="8834" spans="8:9">
      <c r="H8834" s="1358"/>
      <c r="I8834" s="1358"/>
    </row>
    <row r="8835" spans="8:9">
      <c r="H8835" s="1358"/>
      <c r="I8835" s="1358"/>
    </row>
    <row r="8836" spans="8:9">
      <c r="H8836" s="1358"/>
      <c r="I8836" s="1358"/>
    </row>
    <row r="8837" spans="8:9">
      <c r="H8837" s="1358"/>
      <c r="I8837" s="1358"/>
    </row>
    <row r="8838" spans="8:9">
      <c r="H8838" s="1358"/>
      <c r="I8838" s="1358"/>
    </row>
    <row r="8839" spans="8:9">
      <c r="H8839" s="1358"/>
      <c r="I8839" s="1358"/>
    </row>
    <row r="8840" spans="8:9">
      <c r="H8840" s="1358"/>
      <c r="I8840" s="1358"/>
    </row>
    <row r="8841" spans="8:9">
      <c r="H8841" s="1358"/>
      <c r="I8841" s="1358"/>
    </row>
    <row r="8842" spans="8:9">
      <c r="H8842" s="1358"/>
      <c r="I8842" s="1358"/>
    </row>
    <row r="8843" spans="8:9">
      <c r="H8843" s="1358"/>
      <c r="I8843" s="1358"/>
    </row>
    <row r="8844" spans="8:9">
      <c r="H8844" s="1358"/>
      <c r="I8844" s="1358"/>
    </row>
    <row r="8845" spans="8:9">
      <c r="H8845" s="1358"/>
      <c r="I8845" s="1358"/>
    </row>
    <row r="8846" spans="8:9">
      <c r="H8846" s="1358"/>
      <c r="I8846" s="1358"/>
    </row>
    <row r="8847" spans="8:9">
      <c r="H8847" s="1358"/>
      <c r="I8847" s="1358"/>
    </row>
    <row r="8848" spans="8:9">
      <c r="H8848" s="1358"/>
      <c r="I8848" s="1358"/>
    </row>
    <row r="8849" spans="8:9">
      <c r="H8849" s="1358"/>
      <c r="I8849" s="1358"/>
    </row>
    <row r="8850" spans="8:9">
      <c r="H8850" s="1358"/>
      <c r="I8850" s="1358"/>
    </row>
    <row r="8851" spans="8:9">
      <c r="H8851" s="1358"/>
      <c r="I8851" s="1358"/>
    </row>
    <row r="8852" spans="8:9">
      <c r="H8852" s="1358"/>
      <c r="I8852" s="1358"/>
    </row>
    <row r="8853" spans="8:9">
      <c r="H8853" s="1358"/>
      <c r="I8853" s="1358"/>
    </row>
    <row r="8854" spans="8:9">
      <c r="H8854" s="1358"/>
      <c r="I8854" s="1358"/>
    </row>
    <row r="8855" spans="8:9">
      <c r="H8855" s="1358"/>
      <c r="I8855" s="1358"/>
    </row>
    <row r="8856" spans="8:9">
      <c r="H8856" s="1358"/>
      <c r="I8856" s="1358"/>
    </row>
    <row r="8857" spans="8:9">
      <c r="H8857" s="1358"/>
      <c r="I8857" s="1358"/>
    </row>
    <row r="8858" spans="8:9">
      <c r="H8858" s="1358"/>
      <c r="I8858" s="1358"/>
    </row>
    <row r="8859" spans="8:9">
      <c r="H8859" s="1358"/>
      <c r="I8859" s="1358"/>
    </row>
    <row r="8860" spans="8:9">
      <c r="H8860" s="1358"/>
      <c r="I8860" s="1358"/>
    </row>
    <row r="8861" spans="8:9">
      <c r="H8861" s="1358"/>
      <c r="I8861" s="1358"/>
    </row>
    <row r="8862" spans="8:9">
      <c r="H8862" s="1358"/>
      <c r="I8862" s="1358"/>
    </row>
    <row r="8863" spans="8:9">
      <c r="H8863" s="1358"/>
      <c r="I8863" s="1358"/>
    </row>
    <row r="8864" spans="8:9">
      <c r="H8864" s="1358"/>
      <c r="I8864" s="1358"/>
    </row>
    <row r="8865" spans="8:9">
      <c r="H8865" s="1358"/>
      <c r="I8865" s="1358"/>
    </row>
    <row r="8866" spans="8:9">
      <c r="H8866" s="1358"/>
      <c r="I8866" s="1358"/>
    </row>
    <row r="8867" spans="8:9">
      <c r="H8867" s="1358"/>
      <c r="I8867" s="1358"/>
    </row>
    <row r="8868" spans="8:9">
      <c r="H8868" s="1358"/>
      <c r="I8868" s="1358"/>
    </row>
    <row r="8869" spans="8:9">
      <c r="H8869" s="1358"/>
      <c r="I8869" s="1358"/>
    </row>
    <row r="8870" spans="8:9">
      <c r="H8870" s="1358"/>
      <c r="I8870" s="1358"/>
    </row>
    <row r="8871" spans="8:9">
      <c r="H8871" s="1358"/>
      <c r="I8871" s="1358"/>
    </row>
    <row r="8872" spans="8:9">
      <c r="H8872" s="1358"/>
      <c r="I8872" s="1358"/>
    </row>
    <row r="8873" spans="8:9">
      <c r="H8873" s="1358"/>
      <c r="I8873" s="1358"/>
    </row>
    <row r="8874" spans="8:9">
      <c r="H8874" s="1358"/>
      <c r="I8874" s="1358"/>
    </row>
    <row r="8875" spans="8:9">
      <c r="H8875" s="1358"/>
      <c r="I8875" s="1358"/>
    </row>
    <row r="8876" spans="8:9">
      <c r="H8876" s="1358"/>
      <c r="I8876" s="1358"/>
    </row>
    <row r="8877" spans="8:9">
      <c r="H8877" s="1358"/>
      <c r="I8877" s="1358"/>
    </row>
    <row r="8878" spans="8:9">
      <c r="H8878" s="1358"/>
      <c r="I8878" s="1358"/>
    </row>
    <row r="8879" spans="8:9">
      <c r="H8879" s="1358"/>
      <c r="I8879" s="1358"/>
    </row>
    <row r="8880" spans="8:9">
      <c r="H8880" s="1358"/>
      <c r="I8880" s="1358"/>
    </row>
    <row r="8881" spans="8:9">
      <c r="H8881" s="1358"/>
      <c r="I8881" s="1358"/>
    </row>
    <row r="8882" spans="8:9">
      <c r="H8882" s="1358"/>
      <c r="I8882" s="1358"/>
    </row>
    <row r="8883" spans="8:9">
      <c r="H8883" s="1358"/>
      <c r="I8883" s="1358"/>
    </row>
    <row r="8884" spans="8:9">
      <c r="H8884" s="1358"/>
      <c r="I8884" s="1358"/>
    </row>
    <row r="8885" spans="8:9">
      <c r="H8885" s="1358"/>
      <c r="I8885" s="1358"/>
    </row>
    <row r="8886" spans="8:9">
      <c r="H8886" s="1358"/>
      <c r="I8886" s="1358"/>
    </row>
    <row r="8887" spans="8:9">
      <c r="H8887" s="1358"/>
      <c r="I8887" s="1358"/>
    </row>
    <row r="8888" spans="8:9">
      <c r="H8888" s="1358"/>
      <c r="I8888" s="1358"/>
    </row>
    <row r="8889" spans="8:9">
      <c r="H8889" s="1358"/>
      <c r="I8889" s="1358"/>
    </row>
    <row r="8890" spans="8:9">
      <c r="H8890" s="1358"/>
      <c r="I8890" s="1358"/>
    </row>
    <row r="8891" spans="8:9">
      <c r="H8891" s="1358"/>
      <c r="I8891" s="1358"/>
    </row>
    <row r="8892" spans="8:9">
      <c r="H8892" s="1358"/>
      <c r="I8892" s="1358"/>
    </row>
    <row r="8893" spans="8:9">
      <c r="H8893" s="1358"/>
      <c r="I8893" s="1358"/>
    </row>
    <row r="8894" spans="8:9">
      <c r="H8894" s="1358"/>
      <c r="I8894" s="1358"/>
    </row>
    <row r="8895" spans="8:9">
      <c r="H8895" s="1358"/>
      <c r="I8895" s="1358"/>
    </row>
    <row r="8896" spans="8:9">
      <c r="H8896" s="1358"/>
      <c r="I8896" s="1358"/>
    </row>
    <row r="8897" spans="8:9">
      <c r="H8897" s="1358"/>
      <c r="I8897" s="1358"/>
    </row>
    <row r="8898" spans="8:9">
      <c r="H8898" s="1358"/>
      <c r="I8898" s="1358"/>
    </row>
    <row r="8899" spans="8:9">
      <c r="H8899" s="1358"/>
      <c r="I8899" s="1358"/>
    </row>
    <row r="8900" spans="8:9">
      <c r="H8900" s="1358"/>
      <c r="I8900" s="1358"/>
    </row>
    <row r="8901" spans="8:9">
      <c r="H8901" s="1358"/>
      <c r="I8901" s="1358"/>
    </row>
    <row r="8902" spans="8:9">
      <c r="H8902" s="1358"/>
      <c r="I8902" s="1358"/>
    </row>
    <row r="8903" spans="8:9">
      <c r="H8903" s="1358"/>
      <c r="I8903" s="1358"/>
    </row>
    <row r="8904" spans="8:9">
      <c r="H8904" s="1358"/>
      <c r="I8904" s="1358"/>
    </row>
    <row r="8905" spans="8:9">
      <c r="H8905" s="1358"/>
      <c r="I8905" s="1358"/>
    </row>
    <row r="8906" spans="8:9">
      <c r="H8906" s="1358"/>
      <c r="I8906" s="1358"/>
    </row>
    <row r="8907" spans="8:9">
      <c r="H8907" s="1358"/>
      <c r="I8907" s="1358"/>
    </row>
    <row r="8908" spans="8:9">
      <c r="H8908" s="1358"/>
      <c r="I8908" s="1358"/>
    </row>
    <row r="8909" spans="8:9">
      <c r="H8909" s="1358"/>
      <c r="I8909" s="1358"/>
    </row>
    <row r="8910" spans="8:9">
      <c r="H8910" s="1358"/>
      <c r="I8910" s="1358"/>
    </row>
    <row r="8911" spans="8:9">
      <c r="H8911" s="1358"/>
      <c r="I8911" s="1358"/>
    </row>
    <row r="8912" spans="8:9">
      <c r="H8912" s="1358"/>
      <c r="I8912" s="1358"/>
    </row>
    <row r="8913" spans="8:9">
      <c r="H8913" s="1358"/>
      <c r="I8913" s="1358"/>
    </row>
    <row r="8914" spans="8:9">
      <c r="H8914" s="1358"/>
      <c r="I8914" s="1358"/>
    </row>
    <row r="8915" spans="8:9">
      <c r="H8915" s="1358"/>
      <c r="I8915" s="1358"/>
    </row>
    <row r="8916" spans="8:9">
      <c r="H8916" s="1358"/>
      <c r="I8916" s="1358"/>
    </row>
    <row r="8917" spans="8:9">
      <c r="H8917" s="1358"/>
      <c r="I8917" s="1358"/>
    </row>
    <row r="8918" spans="8:9">
      <c r="H8918" s="1358"/>
      <c r="I8918" s="1358"/>
    </row>
    <row r="8919" spans="8:9">
      <c r="H8919" s="1358"/>
      <c r="I8919" s="1358"/>
    </row>
    <row r="8920" spans="8:9">
      <c r="H8920" s="1358"/>
      <c r="I8920" s="1358"/>
    </row>
    <row r="8921" spans="8:9">
      <c r="H8921" s="1358"/>
      <c r="I8921" s="1358"/>
    </row>
    <row r="8922" spans="8:9">
      <c r="H8922" s="1358"/>
      <c r="I8922" s="1358"/>
    </row>
    <row r="8923" spans="8:9">
      <c r="H8923" s="1358"/>
      <c r="I8923" s="1358"/>
    </row>
    <row r="8924" spans="8:9">
      <c r="H8924" s="1358"/>
      <c r="I8924" s="1358"/>
    </row>
    <row r="8925" spans="8:9">
      <c r="H8925" s="1358"/>
      <c r="I8925" s="1358"/>
    </row>
    <row r="8926" spans="8:9">
      <c r="H8926" s="1358"/>
      <c r="I8926" s="1358"/>
    </row>
    <row r="8927" spans="8:9">
      <c r="H8927" s="1358"/>
      <c r="I8927" s="1358"/>
    </row>
    <row r="8928" spans="8:9">
      <c r="H8928" s="1358"/>
      <c r="I8928" s="1358"/>
    </row>
    <row r="8929" spans="8:9">
      <c r="H8929" s="1358"/>
      <c r="I8929" s="1358"/>
    </row>
    <row r="8930" spans="8:9">
      <c r="H8930" s="1358"/>
      <c r="I8930" s="1358"/>
    </row>
    <row r="8931" spans="8:9">
      <c r="H8931" s="1358"/>
      <c r="I8931" s="1358"/>
    </row>
    <row r="8932" spans="8:9">
      <c r="H8932" s="1358"/>
      <c r="I8932" s="1358"/>
    </row>
    <row r="8933" spans="8:9">
      <c r="H8933" s="1358"/>
      <c r="I8933" s="1358"/>
    </row>
    <row r="8934" spans="8:9">
      <c r="H8934" s="1358"/>
      <c r="I8934" s="1358"/>
    </row>
    <row r="8935" spans="8:9">
      <c r="H8935" s="1358"/>
      <c r="I8935" s="1358"/>
    </row>
    <row r="8936" spans="8:9">
      <c r="H8936" s="1358"/>
      <c r="I8936" s="1358"/>
    </row>
    <row r="8937" spans="8:9">
      <c r="H8937" s="1358"/>
      <c r="I8937" s="1358"/>
    </row>
    <row r="8938" spans="8:9">
      <c r="H8938" s="1358"/>
      <c r="I8938" s="1358"/>
    </row>
    <row r="8939" spans="8:9">
      <c r="H8939" s="1358"/>
      <c r="I8939" s="1358"/>
    </row>
    <row r="8940" spans="8:9">
      <c r="H8940" s="1358"/>
      <c r="I8940" s="1358"/>
    </row>
    <row r="8941" spans="8:9">
      <c r="H8941" s="1358"/>
      <c r="I8941" s="1358"/>
    </row>
    <row r="8942" spans="8:9">
      <c r="H8942" s="1358"/>
      <c r="I8942" s="1358"/>
    </row>
    <row r="8943" spans="8:9">
      <c r="H8943" s="1358"/>
      <c r="I8943" s="1358"/>
    </row>
    <row r="8944" spans="8:9">
      <c r="H8944" s="1358"/>
      <c r="I8944" s="1358"/>
    </row>
    <row r="8945" spans="8:9">
      <c r="H8945" s="1358"/>
      <c r="I8945" s="1358"/>
    </row>
    <row r="8946" spans="8:9">
      <c r="H8946" s="1358"/>
      <c r="I8946" s="1358"/>
    </row>
    <row r="8947" spans="8:9">
      <c r="H8947" s="1358"/>
      <c r="I8947" s="1358"/>
    </row>
    <row r="8948" spans="8:9">
      <c r="H8948" s="1358"/>
      <c r="I8948" s="1358"/>
    </row>
    <row r="8949" spans="8:9">
      <c r="H8949" s="1358"/>
      <c r="I8949" s="1358"/>
    </row>
    <row r="8950" spans="8:9">
      <c r="H8950" s="1358"/>
      <c r="I8950" s="1358"/>
    </row>
    <row r="8951" spans="8:9">
      <c r="H8951" s="1358"/>
      <c r="I8951" s="1358"/>
    </row>
    <row r="8952" spans="8:9">
      <c r="H8952" s="1358"/>
      <c r="I8952" s="1358"/>
    </row>
    <row r="8953" spans="8:9">
      <c r="H8953" s="1358"/>
      <c r="I8953" s="1358"/>
    </row>
    <row r="8954" spans="8:9">
      <c r="H8954" s="1358"/>
      <c r="I8954" s="1358"/>
    </row>
    <row r="8955" spans="8:9">
      <c r="H8955" s="1358"/>
      <c r="I8955" s="1358"/>
    </row>
    <row r="8956" spans="8:9">
      <c r="H8956" s="1358"/>
      <c r="I8956" s="1358"/>
    </row>
    <row r="8957" spans="8:9">
      <c r="H8957" s="1358"/>
      <c r="I8957" s="1358"/>
    </row>
    <row r="8958" spans="8:9">
      <c r="H8958" s="1358"/>
      <c r="I8958" s="1358"/>
    </row>
    <row r="8959" spans="8:9">
      <c r="H8959" s="1358"/>
      <c r="I8959" s="1358"/>
    </row>
    <row r="8960" spans="8:9">
      <c r="H8960" s="1358"/>
      <c r="I8960" s="1358"/>
    </row>
    <row r="8961" spans="8:9">
      <c r="H8961" s="1358"/>
      <c r="I8961" s="1358"/>
    </row>
    <row r="8962" spans="8:9">
      <c r="H8962" s="1358"/>
      <c r="I8962" s="1358"/>
    </row>
    <row r="8963" spans="8:9">
      <c r="H8963" s="1358"/>
      <c r="I8963" s="1358"/>
    </row>
    <row r="8964" spans="8:9">
      <c r="H8964" s="1358"/>
      <c r="I8964" s="1358"/>
    </row>
    <row r="8965" spans="8:9">
      <c r="H8965" s="1358"/>
      <c r="I8965" s="1358"/>
    </row>
    <row r="8966" spans="8:9">
      <c r="H8966" s="1358"/>
      <c r="I8966" s="1358"/>
    </row>
    <row r="8967" spans="8:9">
      <c r="H8967" s="1358"/>
      <c r="I8967" s="1358"/>
    </row>
    <row r="8968" spans="8:9">
      <c r="H8968" s="1358"/>
      <c r="I8968" s="1358"/>
    </row>
    <row r="8969" spans="8:9">
      <c r="H8969" s="1358"/>
      <c r="I8969" s="1358"/>
    </row>
    <row r="8970" spans="8:9">
      <c r="H8970" s="1358"/>
      <c r="I8970" s="1358"/>
    </row>
    <row r="8971" spans="8:9">
      <c r="H8971" s="1358"/>
      <c r="I8971" s="1358"/>
    </row>
    <row r="8972" spans="8:9">
      <c r="H8972" s="1358"/>
      <c r="I8972" s="1358"/>
    </row>
    <row r="8973" spans="8:9">
      <c r="H8973" s="1358"/>
      <c r="I8973" s="1358"/>
    </row>
    <row r="8974" spans="8:9">
      <c r="H8974" s="1358"/>
      <c r="I8974" s="1358"/>
    </row>
    <row r="8975" spans="8:9">
      <c r="H8975" s="1358"/>
      <c r="I8975" s="1358"/>
    </row>
    <row r="8976" spans="8:9">
      <c r="H8976" s="1358"/>
      <c r="I8976" s="1358"/>
    </row>
    <row r="8977" spans="8:9">
      <c r="H8977" s="1358"/>
      <c r="I8977" s="1358"/>
    </row>
    <row r="8978" spans="8:9">
      <c r="H8978" s="1358"/>
      <c r="I8978" s="1358"/>
    </row>
    <row r="8979" spans="8:9">
      <c r="H8979" s="1358"/>
      <c r="I8979" s="1358"/>
    </row>
    <row r="8980" spans="8:9">
      <c r="H8980" s="1358"/>
      <c r="I8980" s="1358"/>
    </row>
    <row r="8981" spans="8:9">
      <c r="H8981" s="1358"/>
      <c r="I8981" s="1358"/>
    </row>
    <row r="8982" spans="8:9">
      <c r="H8982" s="1358"/>
      <c r="I8982" s="1358"/>
    </row>
    <row r="8983" spans="8:9">
      <c r="H8983" s="1358"/>
      <c r="I8983" s="1358"/>
    </row>
    <row r="8984" spans="8:9">
      <c r="H8984" s="1358"/>
      <c r="I8984" s="1358"/>
    </row>
    <row r="8985" spans="8:9">
      <c r="H8985" s="1358"/>
      <c r="I8985" s="1358"/>
    </row>
    <row r="8986" spans="8:9">
      <c r="H8986" s="1358"/>
      <c r="I8986" s="1358"/>
    </row>
    <row r="8987" spans="8:9">
      <c r="H8987" s="1358"/>
      <c r="I8987" s="1358"/>
    </row>
    <row r="8988" spans="8:9">
      <c r="H8988" s="1358"/>
      <c r="I8988" s="1358"/>
    </row>
    <row r="8989" spans="8:9">
      <c r="H8989" s="1358"/>
      <c r="I8989" s="1358"/>
    </row>
    <row r="8990" spans="8:9">
      <c r="H8990" s="1358"/>
      <c r="I8990" s="1358"/>
    </row>
    <row r="8991" spans="8:9">
      <c r="H8991" s="1358"/>
      <c r="I8991" s="1358"/>
    </row>
    <row r="8992" spans="8:9">
      <c r="H8992" s="1358"/>
      <c r="I8992" s="1358"/>
    </row>
    <row r="8993" spans="8:9">
      <c r="H8993" s="1358"/>
      <c r="I8993" s="1358"/>
    </row>
    <row r="8994" spans="8:9">
      <c r="H8994" s="1358"/>
      <c r="I8994" s="1358"/>
    </row>
    <row r="8995" spans="8:9">
      <c r="H8995" s="1358"/>
      <c r="I8995" s="1358"/>
    </row>
    <row r="8996" spans="8:9">
      <c r="H8996" s="1358"/>
      <c r="I8996" s="1358"/>
    </row>
    <row r="8997" spans="8:9">
      <c r="H8997" s="1358"/>
      <c r="I8997" s="1358"/>
    </row>
    <row r="8998" spans="8:9">
      <c r="H8998" s="1358"/>
      <c r="I8998" s="1358"/>
    </row>
    <row r="8999" spans="8:9">
      <c r="H8999" s="1358"/>
      <c r="I8999" s="1358"/>
    </row>
    <row r="9000" spans="8:9">
      <c r="H9000" s="1358"/>
      <c r="I9000" s="1358"/>
    </row>
    <row r="9001" spans="8:9">
      <c r="H9001" s="1358"/>
      <c r="I9001" s="1358"/>
    </row>
    <row r="9002" spans="8:9">
      <c r="H9002" s="1358"/>
      <c r="I9002" s="1358"/>
    </row>
    <row r="9003" spans="8:9">
      <c r="H9003" s="1358"/>
      <c r="I9003" s="1358"/>
    </row>
    <row r="9004" spans="8:9">
      <c r="H9004" s="1358"/>
      <c r="I9004" s="1358"/>
    </row>
    <row r="9005" spans="8:9">
      <c r="H9005" s="1358"/>
      <c r="I9005" s="1358"/>
    </row>
    <row r="9006" spans="8:9">
      <c r="H9006" s="1358"/>
      <c r="I9006" s="1358"/>
    </row>
    <row r="9007" spans="8:9">
      <c r="H9007" s="1358"/>
      <c r="I9007" s="1358"/>
    </row>
    <row r="9008" spans="8:9">
      <c r="H9008" s="1358"/>
      <c r="I9008" s="1358"/>
    </row>
    <row r="9009" spans="8:9">
      <c r="H9009" s="1358"/>
      <c r="I9009" s="1358"/>
    </row>
    <row r="9010" spans="8:9">
      <c r="H9010" s="1358"/>
      <c r="I9010" s="1358"/>
    </row>
    <row r="9011" spans="8:9">
      <c r="H9011" s="1358"/>
      <c r="I9011" s="1358"/>
    </row>
    <row r="9012" spans="8:9">
      <c r="H9012" s="1358"/>
      <c r="I9012" s="1358"/>
    </row>
    <row r="9013" spans="8:9">
      <c r="H9013" s="1358"/>
      <c r="I9013" s="1358"/>
    </row>
    <row r="9014" spans="8:9">
      <c r="H9014" s="1358"/>
      <c r="I9014" s="1358"/>
    </row>
    <row r="9015" spans="8:9">
      <c r="H9015" s="1358"/>
      <c r="I9015" s="1358"/>
    </row>
    <row r="9016" spans="8:9">
      <c r="H9016" s="1358"/>
      <c r="I9016" s="1358"/>
    </row>
    <row r="9017" spans="8:9">
      <c r="H9017" s="1358"/>
      <c r="I9017" s="1358"/>
    </row>
    <row r="9018" spans="8:9">
      <c r="H9018" s="1358"/>
      <c r="I9018" s="1358"/>
    </row>
    <row r="9019" spans="8:9">
      <c r="H9019" s="1358"/>
      <c r="I9019" s="1358"/>
    </row>
    <row r="9020" spans="8:9">
      <c r="H9020" s="1358"/>
      <c r="I9020" s="1358"/>
    </row>
    <row r="9021" spans="8:9">
      <c r="H9021" s="1358"/>
      <c r="I9021" s="1358"/>
    </row>
    <row r="9022" spans="8:9">
      <c r="H9022" s="1358"/>
      <c r="I9022" s="1358"/>
    </row>
    <row r="9023" spans="8:9">
      <c r="H9023" s="1358"/>
      <c r="I9023" s="1358"/>
    </row>
    <row r="9024" spans="8:9">
      <c r="H9024" s="1358"/>
      <c r="I9024" s="1358"/>
    </row>
    <row r="9025" spans="8:9">
      <c r="H9025" s="1358"/>
      <c r="I9025" s="1358"/>
    </row>
    <row r="9026" spans="8:9">
      <c r="H9026" s="1358"/>
      <c r="I9026" s="1358"/>
    </row>
    <row r="9027" spans="8:9">
      <c r="H9027" s="1358"/>
      <c r="I9027" s="1358"/>
    </row>
    <row r="9028" spans="8:9">
      <c r="H9028" s="1358"/>
      <c r="I9028" s="1358"/>
    </row>
    <row r="9029" spans="8:9">
      <c r="H9029" s="1358"/>
      <c r="I9029" s="1358"/>
    </row>
    <row r="9030" spans="8:9">
      <c r="H9030" s="1358"/>
      <c r="I9030" s="1358"/>
    </row>
    <row r="9031" spans="8:9">
      <c r="H9031" s="1358"/>
      <c r="I9031" s="1358"/>
    </row>
    <row r="9032" spans="8:9">
      <c r="H9032" s="1358"/>
      <c r="I9032" s="1358"/>
    </row>
    <row r="9033" spans="8:9">
      <c r="H9033" s="1358"/>
      <c r="I9033" s="1358"/>
    </row>
    <row r="9034" spans="8:9">
      <c r="H9034" s="1358"/>
      <c r="I9034" s="1358"/>
    </row>
    <row r="9035" spans="8:9">
      <c r="H9035" s="1358"/>
      <c r="I9035" s="1358"/>
    </row>
    <row r="9036" spans="8:9">
      <c r="H9036" s="1358"/>
      <c r="I9036" s="1358"/>
    </row>
    <row r="9037" spans="8:9">
      <c r="H9037" s="1358"/>
      <c r="I9037" s="1358"/>
    </row>
    <row r="9038" spans="8:9">
      <c r="H9038" s="1358"/>
      <c r="I9038" s="1358"/>
    </row>
    <row r="9039" spans="8:9">
      <c r="H9039" s="1358"/>
      <c r="I9039" s="1358"/>
    </row>
    <row r="9040" spans="8:9">
      <c r="H9040" s="1358"/>
      <c r="I9040" s="1358"/>
    </row>
    <row r="9041" spans="8:9">
      <c r="H9041" s="1358"/>
      <c r="I9041" s="1358"/>
    </row>
    <row r="9042" spans="8:9">
      <c r="H9042" s="1358"/>
      <c r="I9042" s="1358"/>
    </row>
    <row r="9043" spans="8:9">
      <c r="H9043" s="1358"/>
      <c r="I9043" s="1358"/>
    </row>
    <row r="9044" spans="8:9">
      <c r="H9044" s="1358"/>
      <c r="I9044" s="1358"/>
    </row>
    <row r="9045" spans="8:9">
      <c r="H9045" s="1358"/>
      <c r="I9045" s="1358"/>
    </row>
    <row r="9046" spans="8:9">
      <c r="H9046" s="1358"/>
      <c r="I9046" s="1358"/>
    </row>
    <row r="9047" spans="8:9">
      <c r="H9047" s="1358"/>
      <c r="I9047" s="1358"/>
    </row>
    <row r="9048" spans="8:9">
      <c r="H9048" s="1358"/>
      <c r="I9048" s="1358"/>
    </row>
    <row r="9049" spans="8:9">
      <c r="H9049" s="1358"/>
      <c r="I9049" s="1358"/>
    </row>
    <row r="9050" spans="8:9">
      <c r="H9050" s="1358"/>
      <c r="I9050" s="1358"/>
    </row>
    <row r="9051" spans="8:9">
      <c r="H9051" s="1358"/>
      <c r="I9051" s="1358"/>
    </row>
    <row r="9052" spans="8:9">
      <c r="H9052" s="1358"/>
      <c r="I9052" s="1358"/>
    </row>
    <row r="9053" spans="8:9">
      <c r="H9053" s="1358"/>
      <c r="I9053" s="1358"/>
    </row>
    <row r="9054" spans="8:9">
      <c r="H9054" s="1358"/>
      <c r="I9054" s="1358"/>
    </row>
    <row r="9055" spans="8:9">
      <c r="H9055" s="1358"/>
      <c r="I9055" s="1358"/>
    </row>
    <row r="9056" spans="8:9">
      <c r="H9056" s="1358"/>
      <c r="I9056" s="1358"/>
    </row>
    <row r="9057" spans="8:9">
      <c r="H9057" s="1358"/>
      <c r="I9057" s="1358"/>
    </row>
    <row r="9058" spans="8:9">
      <c r="H9058" s="1358"/>
      <c r="I9058" s="1358"/>
    </row>
    <row r="9059" spans="8:9">
      <c r="H9059" s="1358"/>
      <c r="I9059" s="1358"/>
    </row>
    <row r="9060" spans="8:9">
      <c r="H9060" s="1358"/>
      <c r="I9060" s="1358"/>
    </row>
    <row r="9061" spans="8:9">
      <c r="H9061" s="1358"/>
      <c r="I9061" s="1358"/>
    </row>
    <row r="9062" spans="8:9">
      <c r="H9062" s="1358"/>
      <c r="I9062" s="1358"/>
    </row>
    <row r="9063" spans="8:9">
      <c r="H9063" s="1358"/>
      <c r="I9063" s="1358"/>
    </row>
    <row r="9064" spans="8:9">
      <c r="H9064" s="1358"/>
      <c r="I9064" s="1358"/>
    </row>
    <row r="9065" spans="8:9">
      <c r="H9065" s="1358"/>
      <c r="I9065" s="1358"/>
    </row>
    <row r="9066" spans="8:9">
      <c r="H9066" s="1358"/>
      <c r="I9066" s="1358"/>
    </row>
    <row r="9067" spans="8:9">
      <c r="H9067" s="1358"/>
      <c r="I9067" s="1358"/>
    </row>
    <row r="9068" spans="8:9">
      <c r="H9068" s="1358"/>
      <c r="I9068" s="1358"/>
    </row>
    <row r="9069" spans="8:9">
      <c r="H9069" s="1358"/>
      <c r="I9069" s="1358"/>
    </row>
    <row r="9070" spans="8:9">
      <c r="H9070" s="1358"/>
      <c r="I9070" s="1358"/>
    </row>
    <row r="9071" spans="8:9">
      <c r="H9071" s="1358"/>
      <c r="I9071" s="1358"/>
    </row>
    <row r="9072" spans="8:9">
      <c r="H9072" s="1358"/>
      <c r="I9072" s="1358"/>
    </row>
    <row r="9073" spans="8:9">
      <c r="H9073" s="1358"/>
      <c r="I9073" s="1358"/>
    </row>
    <row r="9074" spans="8:9">
      <c r="H9074" s="1358"/>
      <c r="I9074" s="1358"/>
    </row>
    <row r="9075" spans="8:9">
      <c r="H9075" s="1358"/>
      <c r="I9075" s="1358"/>
    </row>
    <row r="9076" spans="8:9">
      <c r="H9076" s="1358"/>
      <c r="I9076" s="1358"/>
    </row>
    <row r="9077" spans="8:9">
      <c r="H9077" s="1358"/>
      <c r="I9077" s="1358"/>
    </row>
    <row r="9078" spans="8:9">
      <c r="H9078" s="1358"/>
      <c r="I9078" s="1358"/>
    </row>
    <row r="9079" spans="8:9">
      <c r="H9079" s="1358"/>
      <c r="I9079" s="1358"/>
    </row>
    <row r="9080" spans="8:9">
      <c r="H9080" s="1358"/>
      <c r="I9080" s="1358"/>
    </row>
    <row r="9081" spans="8:9">
      <c r="H9081" s="1358"/>
      <c r="I9081" s="1358"/>
    </row>
    <row r="9082" spans="8:9">
      <c r="H9082" s="1358"/>
      <c r="I9082" s="1358"/>
    </row>
    <row r="9083" spans="8:9">
      <c r="H9083" s="1358"/>
      <c r="I9083" s="1358"/>
    </row>
    <row r="9084" spans="8:9">
      <c r="H9084" s="1358"/>
      <c r="I9084" s="1358"/>
    </row>
    <row r="9085" spans="8:9">
      <c r="H9085" s="1358"/>
      <c r="I9085" s="1358"/>
    </row>
    <row r="9086" spans="8:9">
      <c r="H9086" s="1358"/>
      <c r="I9086" s="1358"/>
    </row>
    <row r="9087" spans="8:9">
      <c r="H9087" s="1358"/>
      <c r="I9087" s="1358"/>
    </row>
    <row r="9088" spans="8:9">
      <c r="H9088" s="1358"/>
      <c r="I9088" s="1358"/>
    </row>
    <row r="9089" spans="8:9">
      <c r="H9089" s="1358"/>
      <c r="I9089" s="1358"/>
    </row>
    <row r="9090" spans="8:9">
      <c r="H9090" s="1358"/>
      <c r="I9090" s="1358"/>
    </row>
    <row r="9091" spans="8:9">
      <c r="H9091" s="1358"/>
      <c r="I9091" s="1358"/>
    </row>
    <row r="9092" spans="8:9">
      <c r="H9092" s="1358"/>
      <c r="I9092" s="1358"/>
    </row>
    <row r="9093" spans="8:9">
      <c r="H9093" s="1358"/>
      <c r="I9093" s="1358"/>
    </row>
    <row r="9094" spans="8:9">
      <c r="H9094" s="1358"/>
      <c r="I9094" s="1358"/>
    </row>
    <row r="9095" spans="8:9">
      <c r="H9095" s="1358"/>
      <c r="I9095" s="1358"/>
    </row>
    <row r="9096" spans="8:9">
      <c r="H9096" s="1358"/>
      <c r="I9096" s="1358"/>
    </row>
    <row r="9097" spans="8:9">
      <c r="H9097" s="1358"/>
      <c r="I9097" s="1358"/>
    </row>
    <row r="9098" spans="8:9">
      <c r="H9098" s="1358"/>
      <c r="I9098" s="1358"/>
    </row>
    <row r="9099" spans="8:9">
      <c r="H9099" s="1358"/>
      <c r="I9099" s="1358"/>
    </row>
    <row r="9100" spans="8:9">
      <c r="H9100" s="1358"/>
      <c r="I9100" s="1358"/>
    </row>
    <row r="9101" spans="8:9">
      <c r="H9101" s="1358"/>
      <c r="I9101" s="1358"/>
    </row>
    <row r="9102" spans="8:9">
      <c r="H9102" s="1358"/>
      <c r="I9102" s="1358"/>
    </row>
    <row r="9103" spans="8:9">
      <c r="H9103" s="1358"/>
      <c r="I9103" s="1358"/>
    </row>
    <row r="9104" spans="8:9">
      <c r="H9104" s="1358"/>
      <c r="I9104" s="1358"/>
    </row>
    <row r="9105" spans="8:9">
      <c r="H9105" s="1358"/>
      <c r="I9105" s="1358"/>
    </row>
    <row r="9106" spans="8:9">
      <c r="H9106" s="1358"/>
      <c r="I9106" s="1358"/>
    </row>
    <row r="9107" spans="8:9">
      <c r="H9107" s="1358"/>
      <c r="I9107" s="1358"/>
    </row>
    <row r="9108" spans="8:9">
      <c r="H9108" s="1358"/>
      <c r="I9108" s="1358"/>
    </row>
    <row r="9109" spans="8:9">
      <c r="H9109" s="1358"/>
      <c r="I9109" s="1358"/>
    </row>
    <row r="9110" spans="8:9">
      <c r="H9110" s="1358"/>
      <c r="I9110" s="1358"/>
    </row>
    <row r="9111" spans="8:9">
      <c r="H9111" s="1358"/>
      <c r="I9111" s="1358"/>
    </row>
    <row r="9112" spans="8:9">
      <c r="H9112" s="1358"/>
      <c r="I9112" s="1358"/>
    </row>
    <row r="9113" spans="8:9">
      <c r="H9113" s="1358"/>
      <c r="I9113" s="1358"/>
    </row>
    <row r="9114" spans="8:9">
      <c r="H9114" s="1358"/>
      <c r="I9114" s="1358"/>
    </row>
    <row r="9115" spans="8:9">
      <c r="H9115" s="1358"/>
      <c r="I9115" s="1358"/>
    </row>
    <row r="9116" spans="8:9">
      <c r="H9116" s="1358"/>
      <c r="I9116" s="1358"/>
    </row>
    <row r="9117" spans="8:9">
      <c r="H9117" s="1358"/>
      <c r="I9117" s="1358"/>
    </row>
    <row r="9118" spans="8:9">
      <c r="H9118" s="1358"/>
      <c r="I9118" s="1358"/>
    </row>
    <row r="9119" spans="8:9">
      <c r="H9119" s="1358"/>
      <c r="I9119" s="1358"/>
    </row>
    <row r="9120" spans="8:9">
      <c r="H9120" s="1358"/>
      <c r="I9120" s="1358"/>
    </row>
    <row r="9121" spans="8:9">
      <c r="H9121" s="1358"/>
      <c r="I9121" s="1358"/>
    </row>
    <row r="9122" spans="8:9">
      <c r="H9122" s="1358"/>
      <c r="I9122" s="1358"/>
    </row>
    <row r="9123" spans="8:9">
      <c r="H9123" s="1358"/>
      <c r="I9123" s="1358"/>
    </row>
    <row r="9124" spans="8:9">
      <c r="H9124" s="1358"/>
      <c r="I9124" s="1358"/>
    </row>
    <row r="9125" spans="8:9">
      <c r="H9125" s="1358"/>
      <c r="I9125" s="1358"/>
    </row>
    <row r="9126" spans="8:9">
      <c r="H9126" s="1358"/>
      <c r="I9126" s="1358"/>
    </row>
    <row r="9127" spans="8:9">
      <c r="H9127" s="1358"/>
      <c r="I9127" s="1358"/>
    </row>
    <row r="9128" spans="8:9">
      <c r="H9128" s="1358"/>
      <c r="I9128" s="1358"/>
    </row>
    <row r="9129" spans="8:9">
      <c r="H9129" s="1358"/>
      <c r="I9129" s="1358"/>
    </row>
    <row r="9130" spans="8:9">
      <c r="H9130" s="1358"/>
      <c r="I9130" s="1358"/>
    </row>
    <row r="9131" spans="8:9">
      <c r="H9131" s="1358"/>
      <c r="I9131" s="1358"/>
    </row>
    <row r="9132" spans="8:9">
      <c r="H9132" s="1358"/>
      <c r="I9132" s="1358"/>
    </row>
    <row r="9133" spans="8:9">
      <c r="H9133" s="1358"/>
      <c r="I9133" s="1358"/>
    </row>
    <row r="9134" spans="8:9">
      <c r="H9134" s="1358"/>
      <c r="I9134" s="1358"/>
    </row>
    <row r="9135" spans="8:9">
      <c r="H9135" s="1358"/>
      <c r="I9135" s="1358"/>
    </row>
    <row r="9136" spans="8:9">
      <c r="H9136" s="1358"/>
      <c r="I9136" s="1358"/>
    </row>
    <row r="9137" spans="8:9">
      <c r="H9137" s="1358"/>
      <c r="I9137" s="1358"/>
    </row>
    <row r="9138" spans="8:9">
      <c r="H9138" s="1358"/>
      <c r="I9138" s="1358"/>
    </row>
    <row r="9139" spans="8:9">
      <c r="H9139" s="1358"/>
      <c r="I9139" s="1358"/>
    </row>
    <row r="9140" spans="8:9">
      <c r="H9140" s="1358"/>
      <c r="I9140" s="1358"/>
    </row>
    <row r="9141" spans="8:9">
      <c r="H9141" s="1358"/>
      <c r="I9141" s="1358"/>
    </row>
    <row r="9142" spans="8:9">
      <c r="H9142" s="1358"/>
      <c r="I9142" s="1358"/>
    </row>
    <row r="9143" spans="8:9">
      <c r="H9143" s="1358"/>
      <c r="I9143" s="1358"/>
    </row>
    <row r="9144" spans="8:9">
      <c r="H9144" s="1358"/>
      <c r="I9144" s="1358"/>
    </row>
    <row r="9145" spans="8:9">
      <c r="H9145" s="1358"/>
      <c r="I9145" s="1358"/>
    </row>
    <row r="9146" spans="8:9">
      <c r="H9146" s="1358"/>
      <c r="I9146" s="1358"/>
    </row>
    <row r="9147" spans="8:9">
      <c r="H9147" s="1358"/>
      <c r="I9147" s="1358"/>
    </row>
    <row r="9148" spans="8:9">
      <c r="H9148" s="1358"/>
      <c r="I9148" s="1358"/>
    </row>
    <row r="9149" spans="8:9">
      <c r="H9149" s="1358"/>
      <c r="I9149" s="1358"/>
    </row>
    <row r="9150" spans="8:9">
      <c r="H9150" s="1358"/>
      <c r="I9150" s="1358"/>
    </row>
    <row r="9151" spans="8:9">
      <c r="H9151" s="1358"/>
      <c r="I9151" s="1358"/>
    </row>
    <row r="9152" spans="8:9">
      <c r="H9152" s="1358"/>
      <c r="I9152" s="1358"/>
    </row>
    <row r="9153" spans="8:9">
      <c r="H9153" s="1358"/>
      <c r="I9153" s="1358"/>
    </row>
    <row r="9154" spans="8:9">
      <c r="H9154" s="1358"/>
      <c r="I9154" s="1358"/>
    </row>
    <row r="9155" spans="8:9">
      <c r="H9155" s="1358"/>
      <c r="I9155" s="1358"/>
    </row>
    <row r="9156" spans="8:9">
      <c r="H9156" s="1358"/>
      <c r="I9156" s="1358"/>
    </row>
    <row r="9157" spans="8:9">
      <c r="H9157" s="1358"/>
      <c r="I9157" s="1358"/>
    </row>
    <row r="9158" spans="8:9">
      <c r="H9158" s="1358"/>
      <c r="I9158" s="1358"/>
    </row>
    <row r="9159" spans="8:9">
      <c r="H9159" s="1358"/>
      <c r="I9159" s="1358"/>
    </row>
    <row r="9160" spans="8:9">
      <c r="H9160" s="1358"/>
      <c r="I9160" s="1358"/>
    </row>
    <row r="9161" spans="8:9">
      <c r="H9161" s="1358"/>
      <c r="I9161" s="1358"/>
    </row>
    <row r="9162" spans="8:9">
      <c r="H9162" s="1358"/>
      <c r="I9162" s="1358"/>
    </row>
    <row r="9163" spans="8:9">
      <c r="H9163" s="1358"/>
      <c r="I9163" s="1358"/>
    </row>
    <row r="9164" spans="8:9">
      <c r="H9164" s="1358"/>
      <c r="I9164" s="1358"/>
    </row>
    <row r="9165" spans="8:9">
      <c r="H9165" s="1358"/>
      <c r="I9165" s="1358"/>
    </row>
    <row r="9166" spans="8:9">
      <c r="H9166" s="1358"/>
      <c r="I9166" s="1358"/>
    </row>
    <row r="9167" spans="8:9">
      <c r="H9167" s="1358"/>
      <c r="I9167" s="1358"/>
    </row>
    <row r="9168" spans="8:9">
      <c r="H9168" s="1358"/>
      <c r="I9168" s="1358"/>
    </row>
    <row r="9169" spans="8:9">
      <c r="H9169" s="1358"/>
      <c r="I9169" s="1358"/>
    </row>
    <row r="9170" spans="8:9">
      <c r="H9170" s="1358"/>
      <c r="I9170" s="1358"/>
    </row>
    <row r="9171" spans="8:9">
      <c r="H9171" s="1358"/>
      <c r="I9171" s="1358"/>
    </row>
    <row r="9172" spans="8:9">
      <c r="H9172" s="1358"/>
      <c r="I9172" s="1358"/>
    </row>
    <row r="9173" spans="8:9">
      <c r="H9173" s="1358"/>
      <c r="I9173" s="1358"/>
    </row>
    <row r="9174" spans="8:9">
      <c r="H9174" s="1358"/>
      <c r="I9174" s="1358"/>
    </row>
    <row r="9175" spans="8:9">
      <c r="H9175" s="1358"/>
      <c r="I9175" s="1358"/>
    </row>
    <row r="9176" spans="8:9">
      <c r="H9176" s="1358"/>
      <c r="I9176" s="1358"/>
    </row>
    <row r="9177" spans="8:9">
      <c r="H9177" s="1358"/>
      <c r="I9177" s="1358"/>
    </row>
    <row r="9178" spans="8:9">
      <c r="H9178" s="1358"/>
      <c r="I9178" s="1358"/>
    </row>
    <row r="9179" spans="8:9">
      <c r="H9179" s="1358"/>
      <c r="I9179" s="1358"/>
    </row>
    <row r="9180" spans="8:9">
      <c r="H9180" s="1358"/>
      <c r="I9180" s="1358"/>
    </row>
    <row r="9181" spans="8:9">
      <c r="H9181" s="1358"/>
      <c r="I9181" s="1358"/>
    </row>
    <row r="9182" spans="8:9">
      <c r="H9182" s="1358"/>
      <c r="I9182" s="1358"/>
    </row>
    <row r="9183" spans="8:9">
      <c r="H9183" s="1358"/>
      <c r="I9183" s="1358"/>
    </row>
    <row r="9184" spans="8:9">
      <c r="H9184" s="1358"/>
      <c r="I9184" s="1358"/>
    </row>
    <row r="9185" spans="8:9">
      <c r="H9185" s="1358"/>
      <c r="I9185" s="1358"/>
    </row>
    <row r="9186" spans="8:9">
      <c r="H9186" s="1358"/>
      <c r="I9186" s="1358"/>
    </row>
    <row r="9187" spans="8:9">
      <c r="H9187" s="1358"/>
      <c r="I9187" s="1358"/>
    </row>
    <row r="9188" spans="8:9">
      <c r="H9188" s="1358"/>
      <c r="I9188" s="1358"/>
    </row>
    <row r="9189" spans="8:9">
      <c r="H9189" s="1358"/>
      <c r="I9189" s="1358"/>
    </row>
    <row r="9190" spans="8:9">
      <c r="H9190" s="1358"/>
      <c r="I9190" s="1358"/>
    </row>
    <row r="9191" spans="8:9">
      <c r="H9191" s="1358"/>
      <c r="I9191" s="1358"/>
    </row>
    <row r="9192" spans="8:9">
      <c r="H9192" s="1358"/>
      <c r="I9192" s="1358"/>
    </row>
    <row r="9193" spans="8:9">
      <c r="H9193" s="1358"/>
      <c r="I9193" s="1358"/>
    </row>
    <row r="9194" spans="8:9">
      <c r="H9194" s="1358"/>
      <c r="I9194" s="1358"/>
    </row>
    <row r="9195" spans="8:9">
      <c r="H9195" s="1358"/>
      <c r="I9195" s="1358"/>
    </row>
    <row r="9196" spans="8:9">
      <c r="H9196" s="1358"/>
      <c r="I9196" s="1358"/>
    </row>
    <row r="9197" spans="8:9">
      <c r="H9197" s="1358"/>
      <c r="I9197" s="1358"/>
    </row>
    <row r="9198" spans="8:9">
      <c r="H9198" s="1358"/>
      <c r="I9198" s="1358"/>
    </row>
    <row r="9199" spans="8:9">
      <c r="H9199" s="1358"/>
      <c r="I9199" s="1358"/>
    </row>
    <row r="9200" spans="8:9">
      <c r="H9200" s="1358"/>
      <c r="I9200" s="1358"/>
    </row>
    <row r="9201" spans="8:9">
      <c r="H9201" s="1358"/>
      <c r="I9201" s="1358"/>
    </row>
    <row r="9202" spans="8:9">
      <c r="H9202" s="1358"/>
      <c r="I9202" s="1358"/>
    </row>
    <row r="9203" spans="8:9">
      <c r="H9203" s="1358"/>
      <c r="I9203" s="1358"/>
    </row>
    <row r="9204" spans="8:9">
      <c r="H9204" s="1358"/>
      <c r="I9204" s="1358"/>
    </row>
    <row r="9205" spans="8:9">
      <c r="H9205" s="1358"/>
      <c r="I9205" s="1358"/>
    </row>
    <row r="9206" spans="8:9">
      <c r="H9206" s="1358"/>
      <c r="I9206" s="1358"/>
    </row>
    <row r="9207" spans="8:9">
      <c r="H9207" s="1358"/>
      <c r="I9207" s="1358"/>
    </row>
    <row r="9208" spans="8:9">
      <c r="H9208" s="1358"/>
      <c r="I9208" s="1358"/>
    </row>
    <row r="9209" spans="8:9">
      <c r="H9209" s="1358"/>
      <c r="I9209" s="1358"/>
    </row>
    <row r="9210" spans="8:9">
      <c r="H9210" s="1358"/>
      <c r="I9210" s="1358"/>
    </row>
    <row r="9211" spans="8:9">
      <c r="H9211" s="1358"/>
      <c r="I9211" s="1358"/>
    </row>
    <row r="9212" spans="8:9">
      <c r="H9212" s="1358"/>
      <c r="I9212" s="1358"/>
    </row>
    <row r="9213" spans="8:9">
      <c r="H9213" s="1358"/>
      <c r="I9213" s="1358"/>
    </row>
    <row r="9214" spans="8:9">
      <c r="H9214" s="1358"/>
      <c r="I9214" s="1358"/>
    </row>
    <row r="9215" spans="8:9">
      <c r="H9215" s="1358"/>
      <c r="I9215" s="1358"/>
    </row>
    <row r="9216" spans="8:9">
      <c r="H9216" s="1358"/>
      <c r="I9216" s="1358"/>
    </row>
    <row r="9217" spans="8:9">
      <c r="H9217" s="1358"/>
      <c r="I9217" s="1358"/>
    </row>
    <row r="9218" spans="8:9">
      <c r="H9218" s="1358"/>
      <c r="I9218" s="1358"/>
    </row>
    <row r="9219" spans="8:9">
      <c r="H9219" s="1358"/>
      <c r="I9219" s="1358"/>
    </row>
    <row r="9220" spans="8:9">
      <c r="H9220" s="1358"/>
      <c r="I9220" s="1358"/>
    </row>
    <row r="9221" spans="8:9">
      <c r="H9221" s="1358"/>
      <c r="I9221" s="1358"/>
    </row>
    <row r="9222" spans="8:9">
      <c r="H9222" s="1358"/>
      <c r="I9222" s="1358"/>
    </row>
    <row r="9223" spans="8:9">
      <c r="H9223" s="1358"/>
      <c r="I9223" s="1358"/>
    </row>
    <row r="9224" spans="8:9">
      <c r="H9224" s="1358"/>
      <c r="I9224" s="1358"/>
    </row>
    <row r="9225" spans="8:9">
      <c r="H9225" s="1358"/>
      <c r="I9225" s="1358"/>
    </row>
    <row r="9226" spans="8:9">
      <c r="H9226" s="1358"/>
      <c r="I9226" s="1358"/>
    </row>
    <row r="9227" spans="8:9">
      <c r="H9227" s="1358"/>
      <c r="I9227" s="1358"/>
    </row>
    <row r="9228" spans="8:9">
      <c r="H9228" s="1358"/>
      <c r="I9228" s="1358"/>
    </row>
    <row r="9229" spans="8:9">
      <c r="H9229" s="1358"/>
      <c r="I9229" s="1358"/>
    </row>
    <row r="9230" spans="8:9">
      <c r="H9230" s="1358"/>
      <c r="I9230" s="1358"/>
    </row>
    <row r="9231" spans="8:9">
      <c r="H9231" s="1358"/>
      <c r="I9231" s="1358"/>
    </row>
    <row r="9232" spans="8:9">
      <c r="H9232" s="1358"/>
      <c r="I9232" s="1358"/>
    </row>
    <row r="9233" spans="8:9">
      <c r="H9233" s="1358"/>
      <c r="I9233" s="1358"/>
    </row>
    <row r="9234" spans="8:9">
      <c r="H9234" s="1358"/>
      <c r="I9234" s="1358"/>
    </row>
    <row r="9235" spans="8:9">
      <c r="H9235" s="1358"/>
      <c r="I9235" s="1358"/>
    </row>
    <row r="9236" spans="8:9">
      <c r="H9236" s="1358"/>
      <c r="I9236" s="1358"/>
    </row>
    <row r="9237" spans="8:9">
      <c r="H9237" s="1358"/>
      <c r="I9237" s="1358"/>
    </row>
    <row r="9238" spans="8:9">
      <c r="H9238" s="1358"/>
      <c r="I9238" s="1358"/>
    </row>
    <row r="9239" spans="8:9">
      <c r="H9239" s="1358"/>
      <c r="I9239" s="1358"/>
    </row>
    <row r="9240" spans="8:9">
      <c r="H9240" s="1358"/>
      <c r="I9240" s="1358"/>
    </row>
    <row r="9241" spans="8:9">
      <c r="H9241" s="1358"/>
      <c r="I9241" s="1358"/>
    </row>
    <row r="9242" spans="8:9">
      <c r="H9242" s="1358"/>
      <c r="I9242" s="1358"/>
    </row>
    <row r="9243" spans="8:9">
      <c r="H9243" s="1358"/>
      <c r="I9243" s="1358"/>
    </row>
    <row r="9244" spans="8:9">
      <c r="H9244" s="1358"/>
      <c r="I9244" s="1358"/>
    </row>
    <row r="9245" spans="8:9">
      <c r="H9245" s="1358"/>
      <c r="I9245" s="1358"/>
    </row>
    <row r="9246" spans="8:9">
      <c r="H9246" s="1358"/>
      <c r="I9246" s="1358"/>
    </row>
    <row r="9247" spans="8:9">
      <c r="H9247" s="1358"/>
      <c r="I9247" s="1358"/>
    </row>
    <row r="9248" spans="8:9">
      <c r="H9248" s="1358"/>
      <c r="I9248" s="1358"/>
    </row>
    <row r="9249" spans="8:9">
      <c r="H9249" s="1358"/>
      <c r="I9249" s="1358"/>
    </row>
    <row r="9250" spans="8:9">
      <c r="H9250" s="1358"/>
      <c r="I9250" s="1358"/>
    </row>
    <row r="9251" spans="8:9">
      <c r="H9251" s="1358"/>
      <c r="I9251" s="1358"/>
    </row>
    <row r="9252" spans="8:9">
      <c r="H9252" s="1358"/>
      <c r="I9252" s="1358"/>
    </row>
    <row r="9253" spans="8:9">
      <c r="H9253" s="1358"/>
      <c r="I9253" s="1358"/>
    </row>
    <row r="9254" spans="8:9">
      <c r="H9254" s="1358"/>
      <c r="I9254" s="1358"/>
    </row>
    <row r="9255" spans="8:9">
      <c r="H9255" s="1358"/>
      <c r="I9255" s="1358"/>
    </row>
    <row r="9256" spans="8:9">
      <c r="H9256" s="1358"/>
      <c r="I9256" s="1358"/>
    </row>
    <row r="9257" spans="8:9">
      <c r="H9257" s="1358"/>
      <c r="I9257" s="1358"/>
    </row>
    <row r="9258" spans="8:9">
      <c r="H9258" s="1358"/>
      <c r="I9258" s="1358"/>
    </row>
    <row r="9259" spans="8:9">
      <c r="H9259" s="1358"/>
      <c r="I9259" s="1358"/>
    </row>
    <row r="9260" spans="8:9">
      <c r="H9260" s="1358"/>
      <c r="I9260" s="1358"/>
    </row>
    <row r="9261" spans="8:9">
      <c r="H9261" s="1358"/>
      <c r="I9261" s="1358"/>
    </row>
    <row r="9262" spans="8:9">
      <c r="H9262" s="1358"/>
      <c r="I9262" s="1358"/>
    </row>
    <row r="9263" spans="8:9">
      <c r="H9263" s="1358"/>
      <c r="I9263" s="1358"/>
    </row>
    <row r="9264" spans="8:9">
      <c r="H9264" s="1358"/>
      <c r="I9264" s="1358"/>
    </row>
    <row r="9265" spans="8:9">
      <c r="H9265" s="1358"/>
      <c r="I9265" s="1358"/>
    </row>
    <row r="9266" spans="8:9">
      <c r="H9266" s="1358"/>
      <c r="I9266" s="1358"/>
    </row>
    <row r="9267" spans="8:9">
      <c r="H9267" s="1358"/>
      <c r="I9267" s="1358"/>
    </row>
    <row r="9268" spans="8:9">
      <c r="H9268" s="1358"/>
      <c r="I9268" s="1358"/>
    </row>
    <row r="9269" spans="8:9">
      <c r="H9269" s="1358"/>
      <c r="I9269" s="1358"/>
    </row>
    <row r="9270" spans="8:9">
      <c r="H9270" s="1358"/>
      <c r="I9270" s="1358"/>
    </row>
    <row r="9271" spans="8:9">
      <c r="H9271" s="1358"/>
      <c r="I9271" s="1358"/>
    </row>
    <row r="9272" spans="8:9">
      <c r="H9272" s="1358"/>
      <c r="I9272" s="1358"/>
    </row>
    <row r="9273" spans="8:9">
      <c r="H9273" s="1358"/>
      <c r="I9273" s="1358"/>
    </row>
    <row r="9274" spans="8:9">
      <c r="H9274" s="1358"/>
      <c r="I9274" s="1358"/>
    </row>
    <row r="9275" spans="8:9">
      <c r="H9275" s="1358"/>
      <c r="I9275" s="1358"/>
    </row>
    <row r="9276" spans="8:9">
      <c r="H9276" s="1358"/>
      <c r="I9276" s="1358"/>
    </row>
    <row r="9277" spans="8:9">
      <c r="H9277" s="1358"/>
      <c r="I9277" s="1358"/>
    </row>
    <row r="9278" spans="8:9">
      <c r="H9278" s="1358"/>
      <c r="I9278" s="1358"/>
    </row>
    <row r="9279" spans="8:9">
      <c r="H9279" s="1358"/>
      <c r="I9279" s="1358"/>
    </row>
    <row r="9280" spans="8:9">
      <c r="H9280" s="1358"/>
      <c r="I9280" s="1358"/>
    </row>
    <row r="9281" spans="8:9">
      <c r="H9281" s="1358"/>
      <c r="I9281" s="1358"/>
    </row>
    <row r="9282" spans="8:9">
      <c r="H9282" s="1358"/>
      <c r="I9282" s="1358"/>
    </row>
    <row r="9283" spans="8:9">
      <c r="H9283" s="1358"/>
      <c r="I9283" s="1358"/>
    </row>
    <row r="9284" spans="8:9">
      <c r="H9284" s="1358"/>
      <c r="I9284" s="1358"/>
    </row>
    <row r="9285" spans="8:9">
      <c r="H9285" s="1358"/>
      <c r="I9285" s="1358"/>
    </row>
    <row r="9286" spans="8:9">
      <c r="H9286" s="1358"/>
      <c r="I9286" s="1358"/>
    </row>
    <row r="9287" spans="8:9">
      <c r="H9287" s="1358"/>
      <c r="I9287" s="1358"/>
    </row>
    <row r="9288" spans="8:9">
      <c r="H9288" s="1358"/>
      <c r="I9288" s="1358"/>
    </row>
    <row r="9289" spans="8:9">
      <c r="H9289" s="1358"/>
      <c r="I9289" s="1358"/>
    </row>
    <row r="9290" spans="8:9">
      <c r="H9290" s="1358"/>
      <c r="I9290" s="1358"/>
    </row>
    <row r="9291" spans="8:9">
      <c r="H9291" s="1358"/>
      <c r="I9291" s="1358"/>
    </row>
    <row r="9292" spans="8:9">
      <c r="H9292" s="1358"/>
      <c r="I9292" s="1358"/>
    </row>
    <row r="9293" spans="8:9">
      <c r="H9293" s="1358"/>
      <c r="I9293" s="1358"/>
    </row>
    <row r="9294" spans="8:9">
      <c r="H9294" s="1358"/>
      <c r="I9294" s="1358"/>
    </row>
    <row r="9295" spans="8:9">
      <c r="H9295" s="1358"/>
      <c r="I9295" s="1358"/>
    </row>
    <row r="9296" spans="8:9">
      <c r="H9296" s="1358"/>
      <c r="I9296" s="1358"/>
    </row>
    <row r="9297" spans="8:9">
      <c r="H9297" s="1358"/>
      <c r="I9297" s="1358"/>
    </row>
    <row r="9298" spans="8:9">
      <c r="H9298" s="1358"/>
      <c r="I9298" s="1358"/>
    </row>
    <row r="9299" spans="8:9">
      <c r="H9299" s="1358"/>
      <c r="I9299" s="1358"/>
    </row>
    <row r="9300" spans="8:9">
      <c r="H9300" s="1358"/>
      <c r="I9300" s="1358"/>
    </row>
    <row r="9301" spans="8:9">
      <c r="H9301" s="1358"/>
      <c r="I9301" s="1358"/>
    </row>
    <row r="9302" spans="8:9">
      <c r="H9302" s="1358"/>
      <c r="I9302" s="1358"/>
    </row>
    <row r="9303" spans="8:9">
      <c r="H9303" s="1358"/>
      <c r="I9303" s="1358"/>
    </row>
    <row r="9304" spans="8:9">
      <c r="H9304" s="1358"/>
      <c r="I9304" s="1358"/>
    </row>
    <row r="9305" spans="8:9">
      <c r="H9305" s="1358"/>
      <c r="I9305" s="1358"/>
    </row>
    <row r="9306" spans="8:9">
      <c r="H9306" s="1358"/>
      <c r="I9306" s="1358"/>
    </row>
    <row r="9307" spans="8:9">
      <c r="H9307" s="1358"/>
      <c r="I9307" s="1358"/>
    </row>
    <row r="9308" spans="8:9">
      <c r="H9308" s="1358"/>
      <c r="I9308" s="1358"/>
    </row>
    <row r="9309" spans="8:9">
      <c r="H9309" s="1358"/>
      <c r="I9309" s="1358"/>
    </row>
    <row r="9310" spans="8:9">
      <c r="H9310" s="1358"/>
      <c r="I9310" s="1358"/>
    </row>
    <row r="9311" spans="8:9">
      <c r="H9311" s="1358"/>
      <c r="I9311" s="1358"/>
    </row>
    <row r="9312" spans="8:9">
      <c r="H9312" s="1358"/>
      <c r="I9312" s="1358"/>
    </row>
    <row r="9313" spans="8:9">
      <c r="H9313" s="1358"/>
      <c r="I9313" s="1358"/>
    </row>
    <row r="9314" spans="8:9">
      <c r="H9314" s="1358"/>
      <c r="I9314" s="1358"/>
    </row>
    <row r="9315" spans="8:9">
      <c r="H9315" s="1358"/>
      <c r="I9315" s="1358"/>
    </row>
    <row r="9316" spans="8:9">
      <c r="H9316" s="1358"/>
      <c r="I9316" s="1358"/>
    </row>
    <row r="9317" spans="8:9">
      <c r="H9317" s="1358"/>
      <c r="I9317" s="1358"/>
    </row>
    <row r="9318" spans="8:9">
      <c r="H9318" s="1358"/>
      <c r="I9318" s="1358"/>
    </row>
    <row r="9319" spans="8:9">
      <c r="H9319" s="1358"/>
      <c r="I9319" s="1358"/>
    </row>
    <row r="9320" spans="8:9">
      <c r="H9320" s="1358"/>
      <c r="I9320" s="1358"/>
    </row>
    <row r="9321" spans="8:9">
      <c r="H9321" s="1358"/>
      <c r="I9321" s="1358"/>
    </row>
    <row r="9322" spans="8:9">
      <c r="H9322" s="1358"/>
      <c r="I9322" s="1358"/>
    </row>
    <row r="9323" spans="8:9">
      <c r="H9323" s="1358"/>
      <c r="I9323" s="1358"/>
    </row>
    <row r="9324" spans="8:9">
      <c r="H9324" s="1358"/>
      <c r="I9324" s="1358"/>
    </row>
    <row r="9325" spans="8:9">
      <c r="H9325" s="1358"/>
      <c r="I9325" s="1358"/>
    </row>
    <row r="9326" spans="8:9">
      <c r="H9326" s="1358"/>
      <c r="I9326" s="1358"/>
    </row>
    <row r="9327" spans="8:9">
      <c r="H9327" s="1358"/>
      <c r="I9327" s="1358"/>
    </row>
    <row r="9328" spans="8:9">
      <c r="H9328" s="1358"/>
      <c r="I9328" s="1358"/>
    </row>
    <row r="9329" spans="8:9">
      <c r="H9329" s="1358"/>
      <c r="I9329" s="1358"/>
    </row>
    <row r="9330" spans="8:9">
      <c r="H9330" s="1358"/>
      <c r="I9330" s="1358"/>
    </row>
    <row r="9331" spans="8:9">
      <c r="H9331" s="1358"/>
      <c r="I9331" s="1358"/>
    </row>
    <row r="9332" spans="8:9">
      <c r="H9332" s="1358"/>
      <c r="I9332" s="1358"/>
    </row>
    <row r="9333" spans="8:9">
      <c r="H9333" s="1358"/>
      <c r="I9333" s="1358"/>
    </row>
    <row r="9334" spans="8:9">
      <c r="H9334" s="1358"/>
      <c r="I9334" s="1358"/>
    </row>
    <row r="9335" spans="8:9">
      <c r="H9335" s="1358"/>
      <c r="I9335" s="1358"/>
    </row>
    <row r="9336" spans="8:9">
      <c r="H9336" s="1358"/>
      <c r="I9336" s="1358"/>
    </row>
    <row r="9337" spans="8:9">
      <c r="H9337" s="1358"/>
      <c r="I9337" s="1358"/>
    </row>
    <row r="9338" spans="8:9">
      <c r="H9338" s="1358"/>
      <c r="I9338" s="1358"/>
    </row>
    <row r="9339" spans="8:9">
      <c r="H9339" s="1358"/>
      <c r="I9339" s="1358"/>
    </row>
    <row r="9340" spans="8:9">
      <c r="H9340" s="1358"/>
      <c r="I9340" s="1358"/>
    </row>
    <row r="9341" spans="8:9">
      <c r="H9341" s="1358"/>
      <c r="I9341" s="1358"/>
    </row>
    <row r="9342" spans="8:9">
      <c r="H9342" s="1358"/>
      <c r="I9342" s="1358"/>
    </row>
    <row r="9343" spans="8:9">
      <c r="H9343" s="1358"/>
      <c r="I9343" s="1358"/>
    </row>
    <row r="9344" spans="8:9">
      <c r="H9344" s="1358"/>
      <c r="I9344" s="1358"/>
    </row>
    <row r="9345" spans="8:9">
      <c r="H9345" s="1358"/>
      <c r="I9345" s="1358"/>
    </row>
    <row r="9346" spans="8:9">
      <c r="H9346" s="1358"/>
      <c r="I9346" s="1358"/>
    </row>
    <row r="9347" spans="8:9">
      <c r="H9347" s="1358"/>
      <c r="I9347" s="1358"/>
    </row>
    <row r="9348" spans="8:9">
      <c r="H9348" s="1358"/>
      <c r="I9348" s="1358"/>
    </row>
    <row r="9349" spans="8:9">
      <c r="H9349" s="1358"/>
      <c r="I9349" s="1358"/>
    </row>
    <row r="9350" spans="8:9">
      <c r="H9350" s="1358"/>
      <c r="I9350" s="1358"/>
    </row>
    <row r="9351" spans="8:9">
      <c r="H9351" s="1358"/>
      <c r="I9351" s="1358"/>
    </row>
    <row r="9352" spans="8:9">
      <c r="H9352" s="1358"/>
      <c r="I9352" s="1358"/>
    </row>
    <row r="9353" spans="8:9">
      <c r="H9353" s="1358"/>
      <c r="I9353" s="1358"/>
    </row>
    <row r="9354" spans="8:9">
      <c r="H9354" s="1358"/>
      <c r="I9354" s="1358"/>
    </row>
    <row r="9355" spans="8:9">
      <c r="H9355" s="1358"/>
      <c r="I9355" s="1358"/>
    </row>
    <row r="9356" spans="8:9">
      <c r="H9356" s="1358"/>
      <c r="I9356" s="1358"/>
    </row>
    <row r="9357" spans="8:9">
      <c r="H9357" s="1358"/>
      <c r="I9357" s="1358"/>
    </row>
    <row r="9358" spans="8:9">
      <c r="H9358" s="1358"/>
      <c r="I9358" s="1358"/>
    </row>
    <row r="9359" spans="8:9">
      <c r="H9359" s="1358"/>
      <c r="I9359" s="1358"/>
    </row>
    <row r="9360" spans="8:9">
      <c r="H9360" s="1358"/>
      <c r="I9360" s="1358"/>
    </row>
    <row r="9361" spans="8:9">
      <c r="H9361" s="1358"/>
      <c r="I9361" s="1358"/>
    </row>
    <row r="9362" spans="8:9">
      <c r="H9362" s="1358"/>
      <c r="I9362" s="1358"/>
    </row>
    <row r="9363" spans="8:9">
      <c r="H9363" s="1358"/>
      <c r="I9363" s="1358"/>
    </row>
    <row r="9364" spans="8:9">
      <c r="H9364" s="1358"/>
      <c r="I9364" s="1358"/>
    </row>
    <row r="9365" spans="8:9">
      <c r="H9365" s="1358"/>
      <c r="I9365" s="1358"/>
    </row>
    <row r="9366" spans="8:9">
      <c r="H9366" s="1358"/>
      <c r="I9366" s="1358"/>
    </row>
    <row r="9367" spans="8:9">
      <c r="H9367" s="1358"/>
      <c r="I9367" s="1358"/>
    </row>
    <row r="9368" spans="8:9">
      <c r="H9368" s="1358"/>
      <c r="I9368" s="1358"/>
    </row>
    <row r="9369" spans="8:9">
      <c r="H9369" s="1358"/>
      <c r="I9369" s="1358"/>
    </row>
    <row r="9370" spans="8:9">
      <c r="H9370" s="1358"/>
      <c r="I9370" s="1358"/>
    </row>
    <row r="9371" spans="8:9">
      <c r="H9371" s="1358"/>
      <c r="I9371" s="1358"/>
    </row>
    <row r="9372" spans="8:9">
      <c r="H9372" s="1358"/>
      <c r="I9372" s="1358"/>
    </row>
    <row r="9373" spans="8:9">
      <c r="H9373" s="1358"/>
      <c r="I9373" s="1358"/>
    </row>
    <row r="9374" spans="8:9">
      <c r="H9374" s="1358"/>
      <c r="I9374" s="1358"/>
    </row>
    <row r="9375" spans="8:9">
      <c r="H9375" s="1358"/>
      <c r="I9375" s="1358"/>
    </row>
    <row r="9376" spans="8:9">
      <c r="H9376" s="1358"/>
      <c r="I9376" s="1358"/>
    </row>
    <row r="9377" spans="8:9">
      <c r="H9377" s="1358"/>
      <c r="I9377" s="1358"/>
    </row>
    <row r="9378" spans="8:9">
      <c r="H9378" s="1358"/>
      <c r="I9378" s="1358"/>
    </row>
    <row r="9379" spans="8:9">
      <c r="H9379" s="1358"/>
      <c r="I9379" s="1358"/>
    </row>
    <row r="9380" spans="8:9">
      <c r="H9380" s="1358"/>
      <c r="I9380" s="1358"/>
    </row>
    <row r="9381" spans="8:9">
      <c r="H9381" s="1358"/>
      <c r="I9381" s="1358"/>
    </row>
    <row r="9382" spans="8:9">
      <c r="H9382" s="1358"/>
      <c r="I9382" s="1358"/>
    </row>
    <row r="9383" spans="8:9">
      <c r="H9383" s="1358"/>
      <c r="I9383" s="1358"/>
    </row>
    <row r="9384" spans="8:9">
      <c r="H9384" s="1358"/>
      <c r="I9384" s="1358"/>
    </row>
    <row r="9385" spans="8:9">
      <c r="H9385" s="1358"/>
      <c r="I9385" s="1358"/>
    </row>
    <row r="9386" spans="8:9">
      <c r="H9386" s="1358"/>
      <c r="I9386" s="1358"/>
    </row>
    <row r="9387" spans="8:9">
      <c r="H9387" s="1358"/>
      <c r="I9387" s="1358"/>
    </row>
    <row r="9388" spans="8:9">
      <c r="H9388" s="1358"/>
      <c r="I9388" s="1358"/>
    </row>
    <row r="9389" spans="8:9">
      <c r="H9389" s="1358"/>
      <c r="I9389" s="1358"/>
    </row>
    <row r="9390" spans="8:9">
      <c r="H9390" s="1358"/>
      <c r="I9390" s="1358"/>
    </row>
    <row r="9391" spans="8:9">
      <c r="H9391" s="1358"/>
      <c r="I9391" s="1358"/>
    </row>
    <row r="9392" spans="8:9">
      <c r="H9392" s="1358"/>
      <c r="I9392" s="1358"/>
    </row>
    <row r="9393" spans="8:9">
      <c r="H9393" s="1358"/>
      <c r="I9393" s="1358"/>
    </row>
    <row r="9394" spans="8:9">
      <c r="H9394" s="1358"/>
      <c r="I9394" s="1358"/>
    </row>
    <row r="9395" spans="8:9">
      <c r="H9395" s="1358"/>
      <c r="I9395" s="1358"/>
    </row>
    <row r="9396" spans="8:9">
      <c r="H9396" s="1358"/>
      <c r="I9396" s="1358"/>
    </row>
    <row r="9397" spans="8:9">
      <c r="H9397" s="1358"/>
      <c r="I9397" s="1358"/>
    </row>
    <row r="9398" spans="8:9">
      <c r="H9398" s="1358"/>
      <c r="I9398" s="1358"/>
    </row>
    <row r="9399" spans="8:9">
      <c r="H9399" s="1358"/>
      <c r="I9399" s="1358"/>
    </row>
    <row r="9400" spans="8:9">
      <c r="H9400" s="1358"/>
      <c r="I9400" s="1358"/>
    </row>
    <row r="9401" spans="8:9">
      <c r="H9401" s="1358"/>
      <c r="I9401" s="1358"/>
    </row>
    <row r="9402" spans="8:9">
      <c r="H9402" s="1358"/>
      <c r="I9402" s="1358"/>
    </row>
    <row r="9403" spans="8:9">
      <c r="H9403" s="1358"/>
      <c r="I9403" s="1358"/>
    </row>
    <row r="9404" spans="8:9">
      <c r="H9404" s="1358"/>
      <c r="I9404" s="1358"/>
    </row>
    <row r="9405" spans="8:9">
      <c r="H9405" s="1358"/>
      <c r="I9405" s="1358"/>
    </row>
    <row r="9406" spans="8:9">
      <c r="H9406" s="1358"/>
      <c r="I9406" s="1358"/>
    </row>
    <row r="9407" spans="8:9">
      <c r="H9407" s="1358"/>
      <c r="I9407" s="1358"/>
    </row>
    <row r="9408" spans="8:9">
      <c r="H9408" s="1358"/>
      <c r="I9408" s="1358"/>
    </row>
    <row r="9409" spans="8:9">
      <c r="H9409" s="1358"/>
      <c r="I9409" s="1358"/>
    </row>
    <row r="9410" spans="8:9">
      <c r="H9410" s="1358"/>
      <c r="I9410" s="1358"/>
    </row>
    <row r="9411" spans="8:9">
      <c r="H9411" s="1358"/>
      <c r="I9411" s="1358"/>
    </row>
    <row r="9412" spans="8:9">
      <c r="H9412" s="1358"/>
      <c r="I9412" s="1358"/>
    </row>
    <row r="9413" spans="8:9">
      <c r="H9413" s="1358"/>
      <c r="I9413" s="1358"/>
    </row>
    <row r="9414" spans="8:9">
      <c r="H9414" s="1358"/>
      <c r="I9414" s="1358"/>
    </row>
    <row r="9415" spans="8:9">
      <c r="H9415" s="1358"/>
      <c r="I9415" s="1358"/>
    </row>
    <row r="9416" spans="8:9">
      <c r="H9416" s="1358"/>
      <c r="I9416" s="1358"/>
    </row>
    <row r="9417" spans="8:9">
      <c r="H9417" s="1358"/>
      <c r="I9417" s="1358"/>
    </row>
    <row r="9418" spans="8:9">
      <c r="H9418" s="1358"/>
      <c r="I9418" s="1358"/>
    </row>
    <row r="9419" spans="8:9">
      <c r="H9419" s="1358"/>
      <c r="I9419" s="1358"/>
    </row>
    <row r="9420" spans="8:9">
      <c r="H9420" s="1358"/>
      <c r="I9420" s="1358"/>
    </row>
    <row r="9421" spans="8:9">
      <c r="H9421" s="1358"/>
      <c r="I9421" s="1358"/>
    </row>
    <row r="9422" spans="8:9">
      <c r="H9422" s="1358"/>
      <c r="I9422" s="1358"/>
    </row>
    <row r="9423" spans="8:9">
      <c r="H9423" s="1358"/>
      <c r="I9423" s="1358"/>
    </row>
    <row r="9424" spans="8:9">
      <c r="H9424" s="1358"/>
      <c r="I9424" s="1358"/>
    </row>
    <row r="9425" spans="8:9">
      <c r="H9425" s="1358"/>
      <c r="I9425" s="1358"/>
    </row>
    <row r="9426" spans="8:9">
      <c r="H9426" s="1358"/>
      <c r="I9426" s="1358"/>
    </row>
    <row r="9427" spans="8:9">
      <c r="H9427" s="1358"/>
      <c r="I9427" s="1358"/>
    </row>
    <row r="9428" spans="8:9">
      <c r="H9428" s="1358"/>
      <c r="I9428" s="1358"/>
    </row>
    <row r="9429" spans="8:9">
      <c r="H9429" s="1358"/>
      <c r="I9429" s="1358"/>
    </row>
    <row r="9430" spans="8:9">
      <c r="H9430" s="1358"/>
      <c r="I9430" s="1358"/>
    </row>
    <row r="9431" spans="8:9">
      <c r="H9431" s="1358"/>
      <c r="I9431" s="1358"/>
    </row>
    <row r="9432" spans="8:9">
      <c r="H9432" s="1358"/>
      <c r="I9432" s="1358"/>
    </row>
    <row r="9433" spans="8:9">
      <c r="H9433" s="1358"/>
      <c r="I9433" s="1358"/>
    </row>
    <row r="9434" spans="8:9">
      <c r="H9434" s="1358"/>
      <c r="I9434" s="1358"/>
    </row>
    <row r="9435" spans="8:9">
      <c r="H9435" s="1358"/>
      <c r="I9435" s="1358"/>
    </row>
    <row r="9436" spans="8:9">
      <c r="H9436" s="1358"/>
      <c r="I9436" s="1358"/>
    </row>
    <row r="9437" spans="8:9">
      <c r="H9437" s="1358"/>
      <c r="I9437" s="1358"/>
    </row>
    <row r="9438" spans="8:9">
      <c r="H9438" s="1358"/>
      <c r="I9438" s="1358"/>
    </row>
    <row r="9439" spans="8:9">
      <c r="H9439" s="1358"/>
      <c r="I9439" s="1358"/>
    </row>
    <row r="9440" spans="8:9">
      <c r="H9440" s="1358"/>
      <c r="I9440" s="1358"/>
    </row>
    <row r="9441" spans="8:9">
      <c r="H9441" s="1358"/>
      <c r="I9441" s="1358"/>
    </row>
    <row r="9442" spans="8:9">
      <c r="H9442" s="1358"/>
      <c r="I9442" s="1358"/>
    </row>
    <row r="9443" spans="8:9">
      <c r="H9443" s="1358"/>
      <c r="I9443" s="1358"/>
    </row>
    <row r="9444" spans="8:9">
      <c r="H9444" s="1358"/>
      <c r="I9444" s="1358"/>
    </row>
    <row r="9445" spans="8:9">
      <c r="H9445" s="1358"/>
      <c r="I9445" s="1358"/>
    </row>
    <row r="9446" spans="8:9">
      <c r="H9446" s="1358"/>
      <c r="I9446" s="1358"/>
    </row>
    <row r="9447" spans="8:9">
      <c r="H9447" s="1358"/>
      <c r="I9447" s="1358"/>
    </row>
    <row r="9448" spans="8:9">
      <c r="H9448" s="1358"/>
      <c r="I9448" s="1358"/>
    </row>
    <row r="9449" spans="8:9">
      <c r="H9449" s="1358"/>
      <c r="I9449" s="1358"/>
    </row>
    <row r="9450" spans="8:9">
      <c r="H9450" s="1358"/>
      <c r="I9450" s="1358"/>
    </row>
    <row r="9451" spans="8:9">
      <c r="H9451" s="1358"/>
      <c r="I9451" s="1358"/>
    </row>
    <row r="9452" spans="8:9">
      <c r="H9452" s="1358"/>
      <c r="I9452" s="1358"/>
    </row>
    <row r="9453" spans="8:9">
      <c r="H9453" s="1358"/>
      <c r="I9453" s="1358"/>
    </row>
    <row r="9454" spans="8:9">
      <c r="H9454" s="1358"/>
      <c r="I9454" s="1358"/>
    </row>
    <row r="9455" spans="8:9">
      <c r="H9455" s="1358"/>
      <c r="I9455" s="1358"/>
    </row>
    <row r="9456" spans="8:9">
      <c r="H9456" s="1358"/>
      <c r="I9456" s="1358"/>
    </row>
    <row r="9457" spans="8:9">
      <c r="H9457" s="1358"/>
      <c r="I9457" s="1358"/>
    </row>
    <row r="9458" spans="8:9">
      <c r="H9458" s="1358"/>
      <c r="I9458" s="1358"/>
    </row>
    <row r="9459" spans="8:9">
      <c r="H9459" s="1358"/>
      <c r="I9459" s="1358"/>
    </row>
    <row r="9460" spans="8:9">
      <c r="H9460" s="1358"/>
      <c r="I9460" s="1358"/>
    </row>
    <row r="9461" spans="8:9">
      <c r="H9461" s="1358"/>
      <c r="I9461" s="1358"/>
    </row>
    <row r="9462" spans="8:9">
      <c r="H9462" s="1358"/>
      <c r="I9462" s="1358"/>
    </row>
    <row r="9463" spans="8:9">
      <c r="H9463" s="1358"/>
      <c r="I9463" s="1358"/>
    </row>
    <row r="9464" spans="8:9">
      <c r="H9464" s="1358"/>
      <c r="I9464" s="1358"/>
    </row>
    <row r="9465" spans="8:9">
      <c r="H9465" s="1358"/>
      <c r="I9465" s="1358"/>
    </row>
    <row r="9466" spans="8:9">
      <c r="H9466" s="1358"/>
      <c r="I9466" s="1358"/>
    </row>
    <row r="9467" spans="8:9">
      <c r="H9467" s="1358"/>
      <c r="I9467" s="1358"/>
    </row>
    <row r="9468" spans="8:9">
      <c r="H9468" s="1358"/>
      <c r="I9468" s="1358"/>
    </row>
    <row r="9469" spans="8:9">
      <c r="H9469" s="1358"/>
      <c r="I9469" s="1358"/>
    </row>
    <row r="9470" spans="8:9">
      <c r="H9470" s="1358"/>
      <c r="I9470" s="1358"/>
    </row>
    <row r="9471" spans="8:9">
      <c r="H9471" s="1358"/>
      <c r="I9471" s="1358"/>
    </row>
    <row r="9472" spans="8:9">
      <c r="H9472" s="1358"/>
      <c r="I9472" s="1358"/>
    </row>
    <row r="9473" spans="8:9">
      <c r="H9473" s="1358"/>
      <c r="I9473" s="1358"/>
    </row>
    <row r="9474" spans="8:9">
      <c r="H9474" s="1358"/>
      <c r="I9474" s="1358"/>
    </row>
    <row r="9475" spans="8:9">
      <c r="H9475" s="1358"/>
      <c r="I9475" s="1358"/>
    </row>
    <row r="9476" spans="8:9">
      <c r="H9476" s="1358"/>
      <c r="I9476" s="1358"/>
    </row>
    <row r="9477" spans="8:9">
      <c r="H9477" s="1358"/>
      <c r="I9477" s="1358"/>
    </row>
    <row r="9478" spans="8:9">
      <c r="H9478" s="1358"/>
      <c r="I9478" s="1358"/>
    </row>
    <row r="9479" spans="8:9">
      <c r="H9479" s="1358"/>
      <c r="I9479" s="1358"/>
    </row>
    <row r="9480" spans="8:9">
      <c r="H9480" s="1358"/>
      <c r="I9480" s="1358"/>
    </row>
    <row r="9481" spans="8:9">
      <c r="H9481" s="1358"/>
      <c r="I9481" s="1358"/>
    </row>
    <row r="9482" spans="8:9">
      <c r="H9482" s="1358"/>
      <c r="I9482" s="1358"/>
    </row>
    <row r="9483" spans="8:9">
      <c r="H9483" s="1358"/>
      <c r="I9483" s="1358"/>
    </row>
    <row r="9484" spans="8:9">
      <c r="H9484" s="1358"/>
      <c r="I9484" s="1358"/>
    </row>
    <row r="9485" spans="8:9">
      <c r="H9485" s="1358"/>
      <c r="I9485" s="1358"/>
    </row>
    <row r="9486" spans="8:9">
      <c r="H9486" s="1358"/>
      <c r="I9486" s="1358"/>
    </row>
    <row r="9487" spans="8:9">
      <c r="H9487" s="1358"/>
      <c r="I9487" s="1358"/>
    </row>
    <row r="9488" spans="8:9">
      <c r="H9488" s="1358"/>
      <c r="I9488" s="1358"/>
    </row>
    <row r="9489" spans="8:9">
      <c r="H9489" s="1358"/>
      <c r="I9489" s="1358"/>
    </row>
    <row r="9490" spans="8:9">
      <c r="H9490" s="1358"/>
      <c r="I9490" s="1358"/>
    </row>
    <row r="9491" spans="8:9">
      <c r="H9491" s="1358"/>
      <c r="I9491" s="1358"/>
    </row>
    <row r="9492" spans="8:9">
      <c r="H9492" s="1358"/>
      <c r="I9492" s="1358"/>
    </row>
    <row r="9493" spans="8:9">
      <c r="H9493" s="1358"/>
      <c r="I9493" s="1358"/>
    </row>
    <row r="9494" spans="8:9">
      <c r="H9494" s="1358"/>
      <c r="I9494" s="1358"/>
    </row>
    <row r="9495" spans="8:9">
      <c r="H9495" s="1358"/>
      <c r="I9495" s="1358"/>
    </row>
    <row r="9496" spans="8:9">
      <c r="H9496" s="1358"/>
      <c r="I9496" s="1358"/>
    </row>
    <row r="9497" spans="8:9">
      <c r="H9497" s="1358"/>
      <c r="I9497" s="1358"/>
    </row>
    <row r="9498" spans="8:9">
      <c r="H9498" s="1358"/>
      <c r="I9498" s="1358"/>
    </row>
    <row r="9499" spans="8:9">
      <c r="H9499" s="1358"/>
      <c r="I9499" s="1358"/>
    </row>
    <row r="9500" spans="8:9">
      <c r="H9500" s="1358"/>
      <c r="I9500" s="1358"/>
    </row>
    <row r="9501" spans="8:9">
      <c r="H9501" s="1358"/>
      <c r="I9501" s="1358"/>
    </row>
    <row r="9502" spans="8:9">
      <c r="H9502" s="1358"/>
      <c r="I9502" s="1358"/>
    </row>
    <row r="9503" spans="8:9">
      <c r="H9503" s="1358"/>
      <c r="I9503" s="1358"/>
    </row>
    <row r="9504" spans="8:9">
      <c r="H9504" s="1358"/>
      <c r="I9504" s="1358"/>
    </row>
    <row r="9505" spans="8:9">
      <c r="H9505" s="1358"/>
      <c r="I9505" s="1358"/>
    </row>
    <row r="9506" spans="8:9">
      <c r="H9506" s="1358"/>
      <c r="I9506" s="1358"/>
    </row>
    <row r="9507" spans="8:9">
      <c r="H9507" s="1358"/>
      <c r="I9507" s="1358"/>
    </row>
    <row r="9508" spans="8:9">
      <c r="H9508" s="1358"/>
      <c r="I9508" s="1358"/>
    </row>
    <row r="9509" spans="8:9">
      <c r="H9509" s="1358"/>
      <c r="I9509" s="1358"/>
    </row>
    <row r="9510" spans="8:9">
      <c r="H9510" s="1358"/>
      <c r="I9510" s="1358"/>
    </row>
    <row r="9511" spans="8:9">
      <c r="H9511" s="1358"/>
      <c r="I9511" s="1358"/>
    </row>
    <row r="9512" spans="8:9">
      <c r="H9512" s="1358"/>
      <c r="I9512" s="1358"/>
    </row>
    <row r="9513" spans="8:9">
      <c r="H9513" s="1358"/>
      <c r="I9513" s="1358"/>
    </row>
    <row r="9514" spans="8:9">
      <c r="H9514" s="1358"/>
      <c r="I9514" s="1358"/>
    </row>
    <row r="9515" spans="8:9">
      <c r="H9515" s="1358"/>
      <c r="I9515" s="1358"/>
    </row>
    <row r="9516" spans="8:9">
      <c r="H9516" s="1358"/>
      <c r="I9516" s="1358"/>
    </row>
    <row r="9517" spans="8:9">
      <c r="H9517" s="1358"/>
      <c r="I9517" s="1358"/>
    </row>
    <row r="9518" spans="8:9">
      <c r="H9518" s="1358"/>
      <c r="I9518" s="1358"/>
    </row>
    <row r="9519" spans="8:9">
      <c r="H9519" s="1358"/>
      <c r="I9519" s="1358"/>
    </row>
    <row r="9520" spans="8:9">
      <c r="H9520" s="1358"/>
      <c r="I9520" s="1358"/>
    </row>
    <row r="9521" spans="8:9">
      <c r="H9521" s="1358"/>
      <c r="I9521" s="1358"/>
    </row>
    <row r="9522" spans="8:9">
      <c r="H9522" s="1358"/>
      <c r="I9522" s="1358"/>
    </row>
    <row r="9523" spans="8:9">
      <c r="H9523" s="1358"/>
      <c r="I9523" s="1358"/>
    </row>
    <row r="9524" spans="8:9">
      <c r="H9524" s="1358"/>
      <c r="I9524" s="1358"/>
    </row>
    <row r="9525" spans="8:9">
      <c r="H9525" s="1358"/>
      <c r="I9525" s="1358"/>
    </row>
    <row r="9526" spans="8:9">
      <c r="H9526" s="1358"/>
      <c r="I9526" s="1358"/>
    </row>
    <row r="9527" spans="8:9">
      <c r="H9527" s="1358"/>
      <c r="I9527" s="1358"/>
    </row>
    <row r="9528" spans="8:9">
      <c r="H9528" s="1358"/>
      <c r="I9528" s="1358"/>
    </row>
    <row r="9529" spans="8:9">
      <c r="H9529" s="1358"/>
      <c r="I9529" s="1358"/>
    </row>
    <row r="9530" spans="8:9">
      <c r="H9530" s="1358"/>
      <c r="I9530" s="1358"/>
    </row>
    <row r="9531" spans="8:9">
      <c r="H9531" s="1358"/>
      <c r="I9531" s="1358"/>
    </row>
    <row r="9532" spans="8:9">
      <c r="H9532" s="1358"/>
      <c r="I9532" s="1358"/>
    </row>
    <row r="9533" spans="8:9">
      <c r="H9533" s="1358"/>
      <c r="I9533" s="1358"/>
    </row>
    <row r="9534" spans="8:9">
      <c r="H9534" s="1358"/>
      <c r="I9534" s="1358"/>
    </row>
    <row r="9535" spans="8:9">
      <c r="H9535" s="1358"/>
      <c r="I9535" s="1358"/>
    </row>
    <row r="9536" spans="8:9">
      <c r="H9536" s="1358"/>
      <c r="I9536" s="1358"/>
    </row>
    <row r="9537" spans="8:9">
      <c r="H9537" s="1358"/>
      <c r="I9537" s="1358"/>
    </row>
    <row r="9538" spans="8:9">
      <c r="H9538" s="1358"/>
      <c r="I9538" s="1358"/>
    </row>
    <row r="9539" spans="8:9">
      <c r="H9539" s="1358"/>
      <c r="I9539" s="1358"/>
    </row>
    <row r="9540" spans="8:9">
      <c r="H9540" s="1358"/>
      <c r="I9540" s="1358"/>
    </row>
    <row r="9541" spans="8:9">
      <c r="H9541" s="1358"/>
      <c r="I9541" s="1358"/>
    </row>
    <row r="9542" spans="8:9">
      <c r="H9542" s="1358"/>
      <c r="I9542" s="1358"/>
    </row>
    <row r="9543" spans="8:9">
      <c r="H9543" s="1358"/>
      <c r="I9543" s="1358"/>
    </row>
    <row r="9544" spans="8:9">
      <c r="H9544" s="1358"/>
      <c r="I9544" s="1358"/>
    </row>
    <row r="9545" spans="8:9">
      <c r="H9545" s="1358"/>
      <c r="I9545" s="1358"/>
    </row>
    <row r="9546" spans="8:9">
      <c r="H9546" s="1358"/>
      <c r="I9546" s="1358"/>
    </row>
    <row r="9547" spans="8:9">
      <c r="H9547" s="1358"/>
      <c r="I9547" s="1358"/>
    </row>
    <row r="9548" spans="8:9">
      <c r="H9548" s="1358"/>
      <c r="I9548" s="1358"/>
    </row>
    <row r="9549" spans="8:9">
      <c r="H9549" s="1358"/>
      <c r="I9549" s="1358"/>
    </row>
    <row r="9550" spans="8:9">
      <c r="H9550" s="1358"/>
      <c r="I9550" s="1358"/>
    </row>
    <row r="9551" spans="8:9">
      <c r="H9551" s="1358"/>
      <c r="I9551" s="1358"/>
    </row>
    <row r="9552" spans="8:9">
      <c r="H9552" s="1358"/>
      <c r="I9552" s="1358"/>
    </row>
    <row r="9553" spans="8:9">
      <c r="H9553" s="1358"/>
      <c r="I9553" s="1358"/>
    </row>
    <row r="9554" spans="8:9">
      <c r="H9554" s="1358"/>
      <c r="I9554" s="1358"/>
    </row>
    <row r="9555" spans="8:9">
      <c r="H9555" s="1358"/>
      <c r="I9555" s="1358"/>
    </row>
    <row r="9556" spans="8:9">
      <c r="H9556" s="1358"/>
      <c r="I9556" s="1358"/>
    </row>
    <row r="9557" spans="8:9">
      <c r="H9557" s="1358"/>
      <c r="I9557" s="1358"/>
    </row>
    <row r="9558" spans="8:9">
      <c r="H9558" s="1358"/>
      <c r="I9558" s="1358"/>
    </row>
    <row r="9559" spans="8:9">
      <c r="H9559" s="1358"/>
      <c r="I9559" s="1358"/>
    </row>
    <row r="9560" spans="8:9">
      <c r="H9560" s="1358"/>
      <c r="I9560" s="1358"/>
    </row>
    <row r="9561" spans="8:9">
      <c r="H9561" s="1358"/>
      <c r="I9561" s="1358"/>
    </row>
    <row r="9562" spans="8:9">
      <c r="H9562" s="1358"/>
      <c r="I9562" s="1358"/>
    </row>
    <row r="9563" spans="8:9">
      <c r="H9563" s="1358"/>
      <c r="I9563" s="1358"/>
    </row>
    <row r="9564" spans="8:9">
      <c r="H9564" s="1358"/>
      <c r="I9564" s="1358"/>
    </row>
    <row r="9565" spans="8:9">
      <c r="H9565" s="1358"/>
      <c r="I9565" s="1358"/>
    </row>
    <row r="9566" spans="8:9">
      <c r="H9566" s="1358"/>
      <c r="I9566" s="1358"/>
    </row>
    <row r="9567" spans="8:9">
      <c r="H9567" s="1358"/>
      <c r="I9567" s="1358"/>
    </row>
    <row r="9568" spans="8:9">
      <c r="H9568" s="1358"/>
      <c r="I9568" s="1358"/>
    </row>
    <row r="9569" spans="8:9">
      <c r="H9569" s="1358"/>
      <c r="I9569" s="1358"/>
    </row>
    <row r="9570" spans="8:9">
      <c r="H9570" s="1358"/>
      <c r="I9570" s="1358"/>
    </row>
    <row r="9571" spans="8:9">
      <c r="H9571" s="1358"/>
      <c r="I9571" s="1358"/>
    </row>
    <row r="9572" spans="8:9">
      <c r="H9572" s="1358"/>
      <c r="I9572" s="1358"/>
    </row>
    <row r="9573" spans="8:9">
      <c r="H9573" s="1358"/>
      <c r="I9573" s="1358"/>
    </row>
    <row r="9574" spans="8:9">
      <c r="H9574" s="1358"/>
      <c r="I9574" s="1358"/>
    </row>
    <row r="9575" spans="8:9">
      <c r="H9575" s="1358"/>
      <c r="I9575" s="1358"/>
    </row>
    <row r="9576" spans="8:9">
      <c r="H9576" s="1358"/>
      <c r="I9576" s="1358"/>
    </row>
    <row r="9577" spans="8:9">
      <c r="H9577" s="1358"/>
      <c r="I9577" s="1358"/>
    </row>
    <row r="9578" spans="8:9">
      <c r="H9578" s="1358"/>
      <c r="I9578" s="1358"/>
    </row>
    <row r="9579" spans="8:9">
      <c r="H9579" s="1358"/>
      <c r="I9579" s="1358"/>
    </row>
    <row r="9580" spans="8:9">
      <c r="H9580" s="1358"/>
      <c r="I9580" s="1358"/>
    </row>
    <row r="9581" spans="8:9">
      <c r="H9581" s="1358"/>
      <c r="I9581" s="1358"/>
    </row>
    <row r="9582" spans="8:9">
      <c r="H9582" s="1358"/>
      <c r="I9582" s="1358"/>
    </row>
    <row r="9583" spans="8:9">
      <c r="H9583" s="1358"/>
      <c r="I9583" s="1358"/>
    </row>
    <row r="9584" spans="8:9">
      <c r="H9584" s="1358"/>
      <c r="I9584" s="1358"/>
    </row>
    <row r="9585" spans="8:9">
      <c r="H9585" s="1358"/>
      <c r="I9585" s="1358"/>
    </row>
    <row r="9586" spans="8:9">
      <c r="H9586" s="1358"/>
      <c r="I9586" s="1358"/>
    </row>
    <row r="9587" spans="8:9">
      <c r="H9587" s="1358"/>
      <c r="I9587" s="1358"/>
    </row>
    <row r="9588" spans="8:9">
      <c r="H9588" s="1358"/>
      <c r="I9588" s="1358"/>
    </row>
    <row r="9589" spans="8:9">
      <c r="H9589" s="1358"/>
      <c r="I9589" s="1358"/>
    </row>
    <row r="9590" spans="8:9">
      <c r="H9590" s="1358"/>
      <c r="I9590" s="1358"/>
    </row>
    <row r="9591" spans="8:9">
      <c r="H9591" s="1358"/>
      <c r="I9591" s="1358"/>
    </row>
    <row r="9592" spans="8:9">
      <c r="H9592" s="1358"/>
      <c r="I9592" s="1358"/>
    </row>
    <row r="9593" spans="8:9">
      <c r="H9593" s="1358"/>
      <c r="I9593" s="1358"/>
    </row>
    <row r="9594" spans="8:9">
      <c r="H9594" s="1358"/>
      <c r="I9594" s="1358"/>
    </row>
    <row r="9595" spans="8:9">
      <c r="H9595" s="1358"/>
      <c r="I9595" s="1358"/>
    </row>
    <row r="9596" spans="8:9">
      <c r="H9596" s="1358"/>
      <c r="I9596" s="1358"/>
    </row>
    <row r="9597" spans="8:9">
      <c r="H9597" s="1358"/>
      <c r="I9597" s="1358"/>
    </row>
    <row r="9598" spans="8:9">
      <c r="H9598" s="1358"/>
      <c r="I9598" s="1358"/>
    </row>
    <row r="9599" spans="8:9">
      <c r="H9599" s="1358"/>
      <c r="I9599" s="1358"/>
    </row>
    <row r="9600" spans="8:9">
      <c r="H9600" s="1358"/>
      <c r="I9600" s="1358"/>
    </row>
    <row r="9601" spans="8:9">
      <c r="H9601" s="1358"/>
      <c r="I9601" s="1358"/>
    </row>
    <row r="9602" spans="8:9">
      <c r="H9602" s="1358"/>
      <c r="I9602" s="1358"/>
    </row>
    <row r="9603" spans="8:9">
      <c r="H9603" s="1358"/>
      <c r="I9603" s="1358"/>
    </row>
    <row r="9604" spans="8:9">
      <c r="H9604" s="1358"/>
      <c r="I9604" s="1358"/>
    </row>
    <row r="9605" spans="8:9">
      <c r="H9605" s="1358"/>
      <c r="I9605" s="1358"/>
    </row>
    <row r="9606" spans="8:9">
      <c r="H9606" s="1358"/>
      <c r="I9606" s="1358"/>
    </row>
    <row r="9607" spans="8:9">
      <c r="H9607" s="1358"/>
      <c r="I9607" s="1358"/>
    </row>
    <row r="9608" spans="8:9">
      <c r="H9608" s="1358"/>
      <c r="I9608" s="1358"/>
    </row>
    <row r="9609" spans="8:9">
      <c r="H9609" s="1358"/>
      <c r="I9609" s="1358"/>
    </row>
    <row r="9610" spans="8:9">
      <c r="H9610" s="1358"/>
      <c r="I9610" s="1358"/>
    </row>
    <row r="9611" spans="8:9">
      <c r="H9611" s="1358"/>
      <c r="I9611" s="1358"/>
    </row>
    <row r="9612" spans="8:9">
      <c r="H9612" s="1358"/>
      <c r="I9612" s="1358"/>
    </row>
    <row r="9613" spans="8:9">
      <c r="H9613" s="1358"/>
      <c r="I9613" s="1358"/>
    </row>
    <row r="9614" spans="8:9">
      <c r="H9614" s="1358"/>
      <c r="I9614" s="1358"/>
    </row>
    <row r="9615" spans="8:9">
      <c r="H9615" s="1358"/>
      <c r="I9615" s="1358"/>
    </row>
    <row r="9616" spans="8:9">
      <c r="H9616" s="1358"/>
      <c r="I9616" s="1358"/>
    </row>
    <row r="9617" spans="8:9">
      <c r="H9617" s="1358"/>
      <c r="I9617" s="1358"/>
    </row>
    <row r="9618" spans="8:9">
      <c r="H9618" s="1358"/>
      <c r="I9618" s="1358"/>
    </row>
    <row r="9619" spans="8:9">
      <c r="H9619" s="1358"/>
      <c r="I9619" s="1358"/>
    </row>
    <row r="9620" spans="8:9">
      <c r="H9620" s="1358"/>
      <c r="I9620" s="1358"/>
    </row>
    <row r="9621" spans="8:9">
      <c r="H9621" s="1358"/>
      <c r="I9621" s="1358"/>
    </row>
    <row r="9622" spans="8:9">
      <c r="H9622" s="1358"/>
      <c r="I9622" s="1358"/>
    </row>
    <row r="9623" spans="8:9">
      <c r="H9623" s="1358"/>
      <c r="I9623" s="1358"/>
    </row>
    <row r="9624" spans="8:9">
      <c r="H9624" s="1358"/>
      <c r="I9624" s="1358"/>
    </row>
    <row r="9625" spans="8:9">
      <c r="H9625" s="1358"/>
      <c r="I9625" s="1358"/>
    </row>
    <row r="9626" spans="8:9">
      <c r="H9626" s="1358"/>
      <c r="I9626" s="1358"/>
    </row>
    <row r="9627" spans="8:9">
      <c r="H9627" s="1358"/>
      <c r="I9627" s="1358"/>
    </row>
    <row r="9628" spans="8:9">
      <c r="H9628" s="1358"/>
      <c r="I9628" s="1358"/>
    </row>
    <row r="9629" spans="8:9">
      <c r="H9629" s="1358"/>
      <c r="I9629" s="1358"/>
    </row>
    <row r="9630" spans="8:9">
      <c r="H9630" s="1358"/>
      <c r="I9630" s="1358"/>
    </row>
    <row r="9631" spans="8:9">
      <c r="H9631" s="1358"/>
      <c r="I9631" s="1358"/>
    </row>
    <row r="9632" spans="8:9">
      <c r="H9632" s="1358"/>
      <c r="I9632" s="1358"/>
    </row>
    <row r="9633" spans="8:9">
      <c r="H9633" s="1358"/>
      <c r="I9633" s="1358"/>
    </row>
    <row r="9634" spans="8:9">
      <c r="H9634" s="1358"/>
      <c r="I9634" s="1358"/>
    </row>
    <row r="9635" spans="8:9">
      <c r="H9635" s="1358"/>
      <c r="I9635" s="1358"/>
    </row>
    <row r="9636" spans="8:9">
      <c r="H9636" s="1358"/>
      <c r="I9636" s="1358"/>
    </row>
    <row r="9637" spans="8:9">
      <c r="H9637" s="1358"/>
      <c r="I9637" s="1358"/>
    </row>
    <row r="9638" spans="8:9">
      <c r="H9638" s="1358"/>
      <c r="I9638" s="1358"/>
    </row>
    <row r="9639" spans="8:9">
      <c r="H9639" s="1358"/>
      <c r="I9639" s="1358"/>
    </row>
    <row r="9640" spans="8:9">
      <c r="H9640" s="1358"/>
      <c r="I9640" s="1358"/>
    </row>
    <row r="9641" spans="8:9">
      <c r="H9641" s="1358"/>
      <c r="I9641" s="1358"/>
    </row>
    <row r="9642" spans="8:9">
      <c r="H9642" s="1358"/>
      <c r="I9642" s="1358"/>
    </row>
    <row r="9643" spans="8:9">
      <c r="H9643" s="1358"/>
      <c r="I9643" s="1358"/>
    </row>
    <row r="9644" spans="8:9">
      <c r="H9644" s="1358"/>
      <c r="I9644" s="1358"/>
    </row>
    <row r="9645" spans="8:9">
      <c r="H9645" s="1358"/>
      <c r="I9645" s="1358"/>
    </row>
    <row r="9646" spans="8:9">
      <c r="H9646" s="1358"/>
      <c r="I9646" s="1358"/>
    </row>
    <row r="9647" spans="8:9">
      <c r="H9647" s="1358"/>
      <c r="I9647" s="1358"/>
    </row>
    <row r="9648" spans="8:9">
      <c r="H9648" s="1358"/>
      <c r="I9648" s="1358"/>
    </row>
    <row r="9649" spans="8:9">
      <c r="H9649" s="1358"/>
      <c r="I9649" s="1358"/>
    </row>
    <row r="9650" spans="8:9">
      <c r="H9650" s="1358"/>
      <c r="I9650" s="1358"/>
    </row>
    <row r="9651" spans="8:9">
      <c r="H9651" s="1358"/>
      <c r="I9651" s="1358"/>
    </row>
    <row r="9652" spans="8:9">
      <c r="H9652" s="1358"/>
      <c r="I9652" s="1358"/>
    </row>
    <row r="9653" spans="8:9">
      <c r="H9653" s="1358"/>
      <c r="I9653" s="1358"/>
    </row>
    <row r="9654" spans="8:9">
      <c r="H9654" s="1358"/>
      <c r="I9654" s="1358"/>
    </row>
    <row r="9655" spans="8:9">
      <c r="H9655" s="1358"/>
      <c r="I9655" s="1358"/>
    </row>
    <row r="9656" spans="8:9">
      <c r="H9656" s="1358"/>
      <c r="I9656" s="1358"/>
    </row>
    <row r="9657" spans="8:9">
      <c r="H9657" s="1358"/>
      <c r="I9657" s="1358"/>
    </row>
    <row r="9658" spans="8:9">
      <c r="H9658" s="1358"/>
      <c r="I9658" s="1358"/>
    </row>
    <row r="9659" spans="8:9">
      <c r="H9659" s="1358"/>
      <c r="I9659" s="1358"/>
    </row>
    <row r="9660" spans="8:9">
      <c r="H9660" s="1358"/>
      <c r="I9660" s="1358"/>
    </row>
    <row r="9661" spans="8:9">
      <c r="H9661" s="1358"/>
      <c r="I9661" s="1358"/>
    </row>
    <row r="9662" spans="8:9">
      <c r="H9662" s="1358"/>
      <c r="I9662" s="1358"/>
    </row>
    <row r="9663" spans="8:9">
      <c r="H9663" s="1358"/>
      <c r="I9663" s="1358"/>
    </row>
    <row r="9664" spans="8:9">
      <c r="H9664" s="1358"/>
      <c r="I9664" s="1358"/>
    </row>
    <row r="9665" spans="8:9">
      <c r="H9665" s="1358"/>
      <c r="I9665" s="1358"/>
    </row>
    <row r="9666" spans="8:9">
      <c r="H9666" s="1358"/>
      <c r="I9666" s="1358"/>
    </row>
    <row r="9667" spans="8:9">
      <c r="H9667" s="1358"/>
      <c r="I9667" s="1358"/>
    </row>
    <row r="9668" spans="8:9">
      <c r="H9668" s="1358"/>
      <c r="I9668" s="1358"/>
    </row>
    <row r="9669" spans="8:9">
      <c r="H9669" s="1358"/>
      <c r="I9669" s="1358"/>
    </row>
    <row r="9670" spans="8:9">
      <c r="H9670" s="1358"/>
      <c r="I9670" s="1358"/>
    </row>
    <row r="9671" spans="8:9">
      <c r="H9671" s="1358"/>
      <c r="I9671" s="1358"/>
    </row>
    <row r="9672" spans="8:9">
      <c r="H9672" s="1358"/>
      <c r="I9672" s="1358"/>
    </row>
    <row r="9673" spans="8:9">
      <c r="H9673" s="1358"/>
      <c r="I9673" s="1358"/>
    </row>
    <row r="9674" spans="8:9">
      <c r="H9674" s="1358"/>
      <c r="I9674" s="1358"/>
    </row>
    <row r="9675" spans="8:9">
      <c r="H9675" s="1358"/>
      <c r="I9675" s="1358"/>
    </row>
    <row r="9676" spans="8:9">
      <c r="H9676" s="1358"/>
      <c r="I9676" s="1358"/>
    </row>
    <row r="9677" spans="8:9">
      <c r="H9677" s="1358"/>
      <c r="I9677" s="1358"/>
    </row>
    <row r="9678" spans="8:9">
      <c r="H9678" s="1358"/>
      <c r="I9678" s="1358"/>
    </row>
    <row r="9679" spans="8:9">
      <c r="H9679" s="1358"/>
      <c r="I9679" s="1358"/>
    </row>
    <row r="9680" spans="8:9">
      <c r="H9680" s="1358"/>
      <c r="I9680" s="1358"/>
    </row>
    <row r="9681" spans="8:9">
      <c r="H9681" s="1358"/>
      <c r="I9681" s="1358"/>
    </row>
    <row r="9682" spans="8:9">
      <c r="H9682" s="1358"/>
      <c r="I9682" s="1358"/>
    </row>
    <row r="9683" spans="8:9">
      <c r="H9683" s="1358"/>
      <c r="I9683" s="1358"/>
    </row>
    <row r="9684" spans="8:9">
      <c r="H9684" s="1358"/>
      <c r="I9684" s="1358"/>
    </row>
    <row r="9685" spans="8:9">
      <c r="H9685" s="1358"/>
      <c r="I9685" s="1358"/>
    </row>
    <row r="9686" spans="8:9">
      <c r="H9686" s="1358"/>
      <c r="I9686" s="1358"/>
    </row>
    <row r="9687" spans="8:9">
      <c r="H9687" s="1358"/>
      <c r="I9687" s="1358"/>
    </row>
    <row r="9688" spans="8:9">
      <c r="H9688" s="1358"/>
      <c r="I9688" s="1358"/>
    </row>
    <row r="9689" spans="8:9">
      <c r="H9689" s="1358"/>
      <c r="I9689" s="1358"/>
    </row>
    <row r="9690" spans="8:9">
      <c r="H9690" s="1358"/>
      <c r="I9690" s="1358"/>
    </row>
    <row r="9691" spans="8:9">
      <c r="H9691" s="1358"/>
      <c r="I9691" s="1358"/>
    </row>
    <row r="9692" spans="8:9">
      <c r="H9692" s="1358"/>
      <c r="I9692" s="1358"/>
    </row>
    <row r="9693" spans="8:9">
      <c r="H9693" s="1358"/>
      <c r="I9693" s="1358"/>
    </row>
    <row r="9694" spans="8:9">
      <c r="H9694" s="1358"/>
      <c r="I9694" s="1358"/>
    </row>
    <row r="9695" spans="8:9">
      <c r="H9695" s="1358"/>
      <c r="I9695" s="1358"/>
    </row>
    <row r="9696" spans="8:9">
      <c r="H9696" s="1358"/>
      <c r="I9696" s="1358"/>
    </row>
    <row r="9697" spans="8:9">
      <c r="H9697" s="1358"/>
      <c r="I9697" s="1358"/>
    </row>
    <row r="9698" spans="8:9">
      <c r="H9698" s="1358"/>
      <c r="I9698" s="1358"/>
    </row>
    <row r="9699" spans="8:9">
      <c r="H9699" s="1358"/>
      <c r="I9699" s="1358"/>
    </row>
    <row r="9700" spans="8:9">
      <c r="H9700" s="1358"/>
      <c r="I9700" s="1358"/>
    </row>
    <row r="9701" spans="8:9">
      <c r="H9701" s="1358"/>
      <c r="I9701" s="1358"/>
    </row>
    <row r="9702" spans="8:9">
      <c r="H9702" s="1358"/>
      <c r="I9702" s="1358"/>
    </row>
    <row r="9703" spans="8:9">
      <c r="H9703" s="1358"/>
      <c r="I9703" s="1358"/>
    </row>
    <row r="9704" spans="8:9">
      <c r="H9704" s="1358"/>
      <c r="I9704" s="1358"/>
    </row>
    <row r="9705" spans="8:9">
      <c r="H9705" s="1358"/>
      <c r="I9705" s="1358"/>
    </row>
    <row r="9706" spans="8:9">
      <c r="H9706" s="1358"/>
      <c r="I9706" s="1358"/>
    </row>
    <row r="9707" spans="8:9">
      <c r="H9707" s="1358"/>
      <c r="I9707" s="1358"/>
    </row>
    <row r="9708" spans="8:9">
      <c r="H9708" s="1358"/>
      <c r="I9708" s="1358"/>
    </row>
    <row r="9709" spans="8:9">
      <c r="H9709" s="1358"/>
      <c r="I9709" s="1358"/>
    </row>
    <row r="9710" spans="8:9">
      <c r="H9710" s="1358"/>
      <c r="I9710" s="1358"/>
    </row>
    <row r="9711" spans="8:9">
      <c r="H9711" s="1358"/>
      <c r="I9711" s="1358"/>
    </row>
    <row r="9712" spans="8:9">
      <c r="H9712" s="1358"/>
      <c r="I9712" s="1358"/>
    </row>
    <row r="9713" spans="8:9">
      <c r="H9713" s="1358"/>
      <c r="I9713" s="1358"/>
    </row>
    <row r="9714" spans="8:9">
      <c r="H9714" s="1358"/>
      <c r="I9714" s="1358"/>
    </row>
    <row r="9715" spans="8:9">
      <c r="H9715" s="1358"/>
      <c r="I9715" s="1358"/>
    </row>
    <row r="9716" spans="8:9">
      <c r="H9716" s="1358"/>
      <c r="I9716" s="1358"/>
    </row>
    <row r="9717" spans="8:9">
      <c r="H9717" s="1358"/>
      <c r="I9717" s="1358"/>
    </row>
    <row r="9718" spans="8:9">
      <c r="H9718" s="1358"/>
      <c r="I9718" s="1358"/>
    </row>
    <row r="9719" spans="8:9">
      <c r="H9719" s="1358"/>
      <c r="I9719" s="1358"/>
    </row>
    <row r="9720" spans="8:9">
      <c r="H9720" s="1358"/>
      <c r="I9720" s="1358"/>
    </row>
    <row r="9721" spans="8:9">
      <c r="H9721" s="1358"/>
      <c r="I9721" s="1358"/>
    </row>
    <row r="9722" spans="8:9">
      <c r="H9722" s="1358"/>
      <c r="I9722" s="1358"/>
    </row>
    <row r="9723" spans="8:9">
      <c r="H9723" s="1358"/>
      <c r="I9723" s="1358"/>
    </row>
    <row r="9724" spans="8:9">
      <c r="H9724" s="1358"/>
      <c r="I9724" s="1358"/>
    </row>
    <row r="9725" spans="8:9">
      <c r="H9725" s="1358"/>
      <c r="I9725" s="1358"/>
    </row>
    <row r="9726" spans="8:9">
      <c r="H9726" s="1358"/>
      <c r="I9726" s="1358"/>
    </row>
    <row r="9727" spans="8:9">
      <c r="H9727" s="1358"/>
      <c r="I9727" s="1358"/>
    </row>
    <row r="9728" spans="8:9">
      <c r="H9728" s="1358"/>
      <c r="I9728" s="1358"/>
    </row>
    <row r="9729" spans="8:9">
      <c r="H9729" s="1358"/>
      <c r="I9729" s="1358"/>
    </row>
    <row r="9730" spans="8:9">
      <c r="H9730" s="1358"/>
      <c r="I9730" s="1358"/>
    </row>
    <row r="9731" spans="8:9">
      <c r="H9731" s="1358"/>
      <c r="I9731" s="1358"/>
    </row>
    <row r="9732" spans="8:9">
      <c r="H9732" s="1358"/>
      <c r="I9732" s="1358"/>
    </row>
    <row r="9733" spans="8:9">
      <c r="H9733" s="1358"/>
      <c r="I9733" s="1358"/>
    </row>
    <row r="9734" spans="8:9">
      <c r="H9734" s="1358"/>
      <c r="I9734" s="1358"/>
    </row>
    <row r="9735" spans="8:9">
      <c r="H9735" s="1358"/>
      <c r="I9735" s="1358"/>
    </row>
    <row r="9736" spans="8:9">
      <c r="H9736" s="1358"/>
      <c r="I9736" s="1358"/>
    </row>
    <row r="9737" spans="8:9">
      <c r="H9737" s="1358"/>
      <c r="I9737" s="1358"/>
    </row>
    <row r="9738" spans="8:9">
      <c r="H9738" s="1358"/>
      <c r="I9738" s="1358"/>
    </row>
    <row r="9739" spans="8:9">
      <c r="H9739" s="1358"/>
      <c r="I9739" s="1358"/>
    </row>
    <row r="9740" spans="8:9">
      <c r="H9740" s="1358"/>
      <c r="I9740" s="1358"/>
    </row>
    <row r="9741" spans="8:9">
      <c r="H9741" s="1358"/>
      <c r="I9741" s="1358"/>
    </row>
    <row r="9742" spans="8:9">
      <c r="H9742" s="1358"/>
      <c r="I9742" s="1358"/>
    </row>
    <row r="9743" spans="8:9">
      <c r="H9743" s="1358"/>
      <c r="I9743" s="1358"/>
    </row>
    <row r="9744" spans="8:9">
      <c r="H9744" s="1358"/>
      <c r="I9744" s="1358"/>
    </row>
    <row r="9745" spans="8:9">
      <c r="H9745" s="1358"/>
      <c r="I9745" s="1358"/>
    </row>
    <row r="9746" spans="8:9">
      <c r="H9746" s="1358"/>
      <c r="I9746" s="1358"/>
    </row>
    <row r="9747" spans="8:9">
      <c r="H9747" s="1358"/>
      <c r="I9747" s="1358"/>
    </row>
    <row r="9748" spans="8:9">
      <c r="H9748" s="1358"/>
      <c r="I9748" s="1358"/>
    </row>
    <row r="9749" spans="8:9">
      <c r="H9749" s="1358"/>
      <c r="I9749" s="1358"/>
    </row>
    <row r="9750" spans="8:9">
      <c r="H9750" s="1358"/>
      <c r="I9750" s="1358"/>
    </row>
    <row r="9751" spans="8:9">
      <c r="H9751" s="1358"/>
      <c r="I9751" s="1358"/>
    </row>
    <row r="9752" spans="8:9">
      <c r="H9752" s="1358"/>
      <c r="I9752" s="1358"/>
    </row>
    <row r="9753" spans="8:9">
      <c r="H9753" s="1358"/>
      <c r="I9753" s="1358"/>
    </row>
    <row r="9754" spans="8:9">
      <c r="H9754" s="1358"/>
      <c r="I9754" s="1358"/>
    </row>
    <row r="9755" spans="8:9">
      <c r="H9755" s="1358"/>
      <c r="I9755" s="1358"/>
    </row>
    <row r="9756" spans="8:9">
      <c r="H9756" s="1358"/>
      <c r="I9756" s="1358"/>
    </row>
    <row r="9757" spans="8:9">
      <c r="H9757" s="1358"/>
      <c r="I9757" s="1358"/>
    </row>
    <row r="9758" spans="8:9">
      <c r="H9758" s="1358"/>
      <c r="I9758" s="1358"/>
    </row>
    <row r="9759" spans="8:9">
      <c r="H9759" s="1358"/>
      <c r="I9759" s="1358"/>
    </row>
    <row r="9760" spans="8:9">
      <c r="H9760" s="1358"/>
      <c r="I9760" s="1358"/>
    </row>
    <row r="9761" spans="8:9">
      <c r="H9761" s="1358"/>
      <c r="I9761" s="1358"/>
    </row>
    <row r="9762" spans="8:9">
      <c r="H9762" s="1358"/>
      <c r="I9762" s="1358"/>
    </row>
    <row r="9763" spans="8:9">
      <c r="H9763" s="1358"/>
      <c r="I9763" s="1358"/>
    </row>
    <row r="9764" spans="8:9">
      <c r="H9764" s="1358"/>
      <c r="I9764" s="1358"/>
    </row>
    <row r="9765" spans="8:9">
      <c r="H9765" s="1358"/>
      <c r="I9765" s="1358"/>
    </row>
    <row r="9766" spans="8:9">
      <c r="H9766" s="1358"/>
      <c r="I9766" s="1358"/>
    </row>
    <row r="9767" spans="8:9">
      <c r="H9767" s="1358"/>
      <c r="I9767" s="1358"/>
    </row>
    <row r="9768" spans="8:9">
      <c r="H9768" s="1358"/>
      <c r="I9768" s="1358"/>
    </row>
    <row r="9769" spans="8:9">
      <c r="H9769" s="1358"/>
      <c r="I9769" s="1358"/>
    </row>
    <row r="9770" spans="8:9">
      <c r="H9770" s="1358"/>
      <c r="I9770" s="1358"/>
    </row>
    <row r="9771" spans="8:9">
      <c r="H9771" s="1358"/>
      <c r="I9771" s="1358"/>
    </row>
    <row r="9772" spans="8:9">
      <c r="H9772" s="1358"/>
      <c r="I9772" s="1358"/>
    </row>
    <row r="9773" spans="8:9">
      <c r="H9773" s="1358"/>
      <c r="I9773" s="1358"/>
    </row>
    <row r="9774" spans="8:9">
      <c r="H9774" s="1358"/>
      <c r="I9774" s="1358"/>
    </row>
    <row r="9775" spans="8:9">
      <c r="H9775" s="1358"/>
      <c r="I9775" s="1358"/>
    </row>
    <row r="9776" spans="8:9">
      <c r="H9776" s="1358"/>
      <c r="I9776" s="1358"/>
    </row>
    <row r="9777" spans="8:9">
      <c r="H9777" s="1358"/>
      <c r="I9777" s="1358"/>
    </row>
    <row r="9778" spans="8:9">
      <c r="H9778" s="1358"/>
      <c r="I9778" s="1358"/>
    </row>
    <row r="9779" spans="8:9">
      <c r="H9779" s="1358"/>
      <c r="I9779" s="1358"/>
    </row>
    <row r="9780" spans="8:9">
      <c r="H9780" s="1358"/>
      <c r="I9780" s="1358"/>
    </row>
    <row r="9781" spans="8:9">
      <c r="H9781" s="1358"/>
      <c r="I9781" s="1358"/>
    </row>
    <row r="9782" spans="8:9">
      <c r="H9782" s="1358"/>
      <c r="I9782" s="1358"/>
    </row>
    <row r="9783" spans="8:9">
      <c r="H9783" s="1358"/>
      <c r="I9783" s="1358"/>
    </row>
    <row r="9784" spans="8:9">
      <c r="H9784" s="1358"/>
      <c r="I9784" s="1358"/>
    </row>
    <row r="9785" spans="8:9">
      <c r="H9785" s="1358"/>
      <c r="I9785" s="1358"/>
    </row>
    <row r="9786" spans="8:9">
      <c r="H9786" s="1358"/>
      <c r="I9786" s="1358"/>
    </row>
    <row r="9787" spans="8:9">
      <c r="H9787" s="1358"/>
      <c r="I9787" s="1358"/>
    </row>
    <row r="9788" spans="8:9">
      <c r="H9788" s="1358"/>
      <c r="I9788" s="1358"/>
    </row>
    <row r="9789" spans="8:9">
      <c r="H9789" s="1358"/>
      <c r="I9789" s="1358"/>
    </row>
    <row r="9790" spans="8:9">
      <c r="H9790" s="1358"/>
      <c r="I9790" s="1358"/>
    </row>
    <row r="9791" spans="8:9">
      <c r="H9791" s="1358"/>
      <c r="I9791" s="1358"/>
    </row>
    <row r="9792" spans="8:9">
      <c r="H9792" s="1358"/>
      <c r="I9792" s="1358"/>
    </row>
    <row r="9793" spans="8:9">
      <c r="H9793" s="1358"/>
      <c r="I9793" s="1358"/>
    </row>
    <row r="9794" spans="8:9">
      <c r="H9794" s="1358"/>
      <c r="I9794" s="1358"/>
    </row>
    <row r="9795" spans="8:9">
      <c r="H9795" s="1358"/>
      <c r="I9795" s="1358"/>
    </row>
    <row r="9796" spans="8:9">
      <c r="H9796" s="1358"/>
      <c r="I9796" s="1358"/>
    </row>
    <row r="9797" spans="8:9">
      <c r="H9797" s="1358"/>
      <c r="I9797" s="1358"/>
    </row>
    <row r="9798" spans="8:9">
      <c r="H9798" s="1358"/>
      <c r="I9798" s="1358"/>
    </row>
    <row r="9799" spans="8:9">
      <c r="H9799" s="1358"/>
      <c r="I9799" s="1358"/>
    </row>
    <row r="9800" spans="8:9">
      <c r="H9800" s="1358"/>
      <c r="I9800" s="1358"/>
    </row>
    <row r="9801" spans="8:9">
      <c r="H9801" s="1358"/>
      <c r="I9801" s="1358"/>
    </row>
    <row r="9802" spans="8:9">
      <c r="H9802" s="1358"/>
      <c r="I9802" s="1358"/>
    </row>
    <row r="9803" spans="8:9">
      <c r="H9803" s="1358"/>
      <c r="I9803" s="1358"/>
    </row>
    <row r="9804" spans="8:9">
      <c r="H9804" s="1358"/>
      <c r="I9804" s="1358"/>
    </row>
    <row r="9805" spans="8:9">
      <c r="H9805" s="1358"/>
      <c r="I9805" s="1358"/>
    </row>
    <row r="9806" spans="8:9">
      <c r="H9806" s="1358"/>
      <c r="I9806" s="1358"/>
    </row>
    <row r="9807" spans="8:9">
      <c r="H9807" s="1358"/>
      <c r="I9807" s="1358"/>
    </row>
    <row r="9808" spans="8:9">
      <c r="H9808" s="1358"/>
      <c r="I9808" s="1358"/>
    </row>
    <row r="9809" spans="8:9">
      <c r="H9809" s="1358"/>
      <c r="I9809" s="1358"/>
    </row>
    <row r="9810" spans="8:9">
      <c r="H9810" s="1358"/>
      <c r="I9810" s="1358"/>
    </row>
    <row r="9811" spans="8:9">
      <c r="H9811" s="1358"/>
      <c r="I9811" s="1358"/>
    </row>
    <row r="9812" spans="8:9">
      <c r="H9812" s="1358"/>
      <c r="I9812" s="1358"/>
    </row>
    <row r="9813" spans="8:9">
      <c r="H9813" s="1358"/>
      <c r="I9813" s="1358"/>
    </row>
    <row r="9814" spans="8:9">
      <c r="H9814" s="1358"/>
      <c r="I9814" s="1358"/>
    </row>
    <row r="9815" spans="8:9">
      <c r="H9815" s="1358"/>
      <c r="I9815" s="1358"/>
    </row>
    <row r="9816" spans="8:9">
      <c r="H9816" s="1358"/>
      <c r="I9816" s="1358"/>
    </row>
    <row r="9817" spans="8:9">
      <c r="H9817" s="1358"/>
      <c r="I9817" s="1358"/>
    </row>
    <row r="9818" spans="8:9">
      <c r="H9818" s="1358"/>
      <c r="I9818" s="1358"/>
    </row>
    <row r="9819" spans="8:9">
      <c r="H9819" s="1358"/>
      <c r="I9819" s="1358"/>
    </row>
    <row r="9820" spans="8:9">
      <c r="H9820" s="1358"/>
      <c r="I9820" s="1358"/>
    </row>
    <row r="9821" spans="8:9">
      <c r="H9821" s="1358"/>
      <c r="I9821" s="1358"/>
    </row>
    <row r="9822" spans="8:9">
      <c r="H9822" s="1358"/>
      <c r="I9822" s="1358"/>
    </row>
    <row r="9823" spans="8:9">
      <c r="H9823" s="1358"/>
      <c r="I9823" s="1358"/>
    </row>
    <row r="9824" spans="8:9">
      <c r="H9824" s="1358"/>
      <c r="I9824" s="1358"/>
    </row>
    <row r="9825" spans="8:9">
      <c r="H9825" s="1358"/>
      <c r="I9825" s="1358"/>
    </row>
    <row r="9826" spans="8:9">
      <c r="H9826" s="1358"/>
      <c r="I9826" s="1358"/>
    </row>
    <row r="9827" spans="8:9">
      <c r="H9827" s="1358"/>
      <c r="I9827" s="1358"/>
    </row>
    <row r="9828" spans="8:9">
      <c r="H9828" s="1358"/>
      <c r="I9828" s="1358"/>
    </row>
    <row r="9829" spans="8:9">
      <c r="H9829" s="1358"/>
      <c r="I9829" s="1358"/>
    </row>
    <row r="9830" spans="8:9">
      <c r="H9830" s="1358"/>
      <c r="I9830" s="1358"/>
    </row>
    <row r="9831" spans="8:9">
      <c r="H9831" s="1358"/>
      <c r="I9831" s="1358"/>
    </row>
    <row r="9832" spans="8:9">
      <c r="H9832" s="1358"/>
      <c r="I9832" s="1358"/>
    </row>
    <row r="9833" spans="8:9">
      <c r="H9833" s="1358"/>
      <c r="I9833" s="1358"/>
    </row>
    <row r="9834" spans="8:9">
      <c r="H9834" s="1358"/>
      <c r="I9834" s="1358"/>
    </row>
    <row r="9835" spans="8:9">
      <c r="H9835" s="1358"/>
      <c r="I9835" s="1358"/>
    </row>
    <row r="9836" spans="8:9">
      <c r="H9836" s="1358"/>
      <c r="I9836" s="1358"/>
    </row>
    <row r="9837" spans="8:9">
      <c r="H9837" s="1358"/>
      <c r="I9837" s="1358"/>
    </row>
    <row r="9838" spans="8:9">
      <c r="H9838" s="1358"/>
      <c r="I9838" s="1358"/>
    </row>
    <row r="9839" spans="8:9">
      <c r="H9839" s="1358"/>
      <c r="I9839" s="1358"/>
    </row>
    <row r="9840" spans="8:9">
      <c r="H9840" s="1358"/>
      <c r="I9840" s="1358"/>
    </row>
    <row r="9841" spans="8:9">
      <c r="H9841" s="1358"/>
      <c r="I9841" s="1358"/>
    </row>
    <row r="9842" spans="8:9">
      <c r="H9842" s="1358"/>
      <c r="I9842" s="1358"/>
    </row>
    <row r="9843" spans="8:9">
      <c r="H9843" s="1358"/>
      <c r="I9843" s="1358"/>
    </row>
    <row r="9844" spans="8:9">
      <c r="H9844" s="1358"/>
      <c r="I9844" s="1358"/>
    </row>
    <row r="9845" spans="8:9">
      <c r="H9845" s="1358"/>
      <c r="I9845" s="1358"/>
    </row>
    <row r="9846" spans="8:9">
      <c r="H9846" s="1358"/>
      <c r="I9846" s="1358"/>
    </row>
    <row r="9847" spans="8:9">
      <c r="H9847" s="1358"/>
      <c r="I9847" s="1358"/>
    </row>
    <row r="9848" spans="8:9">
      <c r="H9848" s="1358"/>
      <c r="I9848" s="1358"/>
    </row>
    <row r="9849" spans="8:9">
      <c r="H9849" s="1358"/>
      <c r="I9849" s="1358"/>
    </row>
    <row r="9850" spans="8:9">
      <c r="H9850" s="1358"/>
      <c r="I9850" s="1358"/>
    </row>
    <row r="9851" spans="8:9">
      <c r="H9851" s="1358"/>
      <c r="I9851" s="1358"/>
    </row>
    <row r="9852" spans="8:9">
      <c r="H9852" s="1358"/>
      <c r="I9852" s="1358"/>
    </row>
    <row r="9853" spans="8:9">
      <c r="H9853" s="1358"/>
      <c r="I9853" s="1358"/>
    </row>
    <row r="9854" spans="8:9">
      <c r="H9854" s="1358"/>
      <c r="I9854" s="1358"/>
    </row>
    <row r="9855" spans="8:9">
      <c r="H9855" s="1358"/>
      <c r="I9855" s="1358"/>
    </row>
    <row r="9856" spans="8:9">
      <c r="H9856" s="1358"/>
      <c r="I9856" s="1358"/>
    </row>
    <row r="9857" spans="8:9">
      <c r="H9857" s="1358"/>
      <c r="I9857" s="1358"/>
    </row>
    <row r="9858" spans="8:9">
      <c r="H9858" s="1358"/>
      <c r="I9858" s="1358"/>
    </row>
    <row r="9859" spans="8:9">
      <c r="H9859" s="1358"/>
      <c r="I9859" s="1358"/>
    </row>
    <row r="9860" spans="8:9">
      <c r="H9860" s="1358"/>
      <c r="I9860" s="1358"/>
    </row>
    <row r="9861" spans="8:9">
      <c r="H9861" s="1358"/>
      <c r="I9861" s="1358"/>
    </row>
    <row r="9862" spans="8:9">
      <c r="H9862" s="1358"/>
      <c r="I9862" s="1358"/>
    </row>
    <row r="9863" spans="8:9">
      <c r="H9863" s="1358"/>
      <c r="I9863" s="1358"/>
    </row>
    <row r="9864" spans="8:9">
      <c r="H9864" s="1358"/>
      <c r="I9864" s="1358"/>
    </row>
    <row r="9865" spans="8:9">
      <c r="H9865" s="1358"/>
      <c r="I9865" s="1358"/>
    </row>
    <row r="9866" spans="8:9">
      <c r="H9866" s="1358"/>
      <c r="I9866" s="1358"/>
    </row>
    <row r="9867" spans="8:9">
      <c r="H9867" s="1358"/>
      <c r="I9867" s="1358"/>
    </row>
    <row r="9868" spans="8:9">
      <c r="H9868" s="1358"/>
      <c r="I9868" s="1358"/>
    </row>
    <row r="9869" spans="8:9">
      <c r="H9869" s="1358"/>
      <c r="I9869" s="1358"/>
    </row>
    <row r="9870" spans="8:9">
      <c r="H9870" s="1358"/>
      <c r="I9870" s="1358"/>
    </row>
    <row r="9871" spans="8:9">
      <c r="H9871" s="1358"/>
      <c r="I9871" s="1358"/>
    </row>
    <row r="9872" spans="8:9">
      <c r="H9872" s="1358"/>
      <c r="I9872" s="1358"/>
    </row>
    <row r="9873" spans="8:9">
      <c r="H9873" s="1358"/>
      <c r="I9873" s="1358"/>
    </row>
    <row r="9874" spans="8:9">
      <c r="H9874" s="1358"/>
      <c r="I9874" s="1358"/>
    </row>
    <row r="9875" spans="8:9">
      <c r="H9875" s="1358"/>
      <c r="I9875" s="1358"/>
    </row>
    <row r="9876" spans="8:9">
      <c r="H9876" s="1358"/>
      <c r="I9876" s="1358"/>
    </row>
    <row r="9877" spans="8:9">
      <c r="H9877" s="1358"/>
      <c r="I9877" s="1358"/>
    </row>
    <row r="9878" spans="8:9">
      <c r="H9878" s="1358"/>
      <c r="I9878" s="1358"/>
    </row>
    <row r="9879" spans="8:9">
      <c r="H9879" s="1358"/>
      <c r="I9879" s="1358"/>
    </row>
    <row r="9880" spans="8:9">
      <c r="H9880" s="1358"/>
      <c r="I9880" s="1358"/>
    </row>
    <row r="9881" spans="8:9">
      <c r="H9881" s="1358"/>
      <c r="I9881" s="1358"/>
    </row>
    <row r="9882" spans="8:9">
      <c r="H9882" s="1358"/>
      <c r="I9882" s="1358"/>
    </row>
    <row r="9883" spans="8:9">
      <c r="H9883" s="1358"/>
      <c r="I9883" s="1358"/>
    </row>
    <row r="9884" spans="8:9">
      <c r="H9884" s="1358"/>
      <c r="I9884" s="1358"/>
    </row>
    <row r="9885" spans="8:9">
      <c r="H9885" s="1358"/>
      <c r="I9885" s="1358"/>
    </row>
    <row r="9886" spans="8:9">
      <c r="H9886" s="1358"/>
      <c r="I9886" s="1358"/>
    </row>
    <row r="9887" spans="8:9">
      <c r="H9887" s="1358"/>
      <c r="I9887" s="1358"/>
    </row>
    <row r="9888" spans="8:9">
      <c r="H9888" s="1358"/>
      <c r="I9888" s="1358"/>
    </row>
    <row r="9889" spans="8:9">
      <c r="H9889" s="1358"/>
      <c r="I9889" s="1358"/>
    </row>
    <row r="9890" spans="8:9">
      <c r="H9890" s="1358"/>
      <c r="I9890" s="1358"/>
    </row>
    <row r="9891" spans="8:9">
      <c r="H9891" s="1358"/>
      <c r="I9891" s="1358"/>
    </row>
    <row r="9892" spans="8:9">
      <c r="H9892" s="1358"/>
      <c r="I9892" s="1358"/>
    </row>
    <row r="9893" spans="8:9">
      <c r="H9893" s="1358"/>
      <c r="I9893" s="1358"/>
    </row>
    <row r="9894" spans="8:9">
      <c r="H9894" s="1358"/>
      <c r="I9894" s="1358"/>
    </row>
    <row r="9895" spans="8:9">
      <c r="H9895" s="1358"/>
      <c r="I9895" s="1358"/>
    </row>
    <row r="9896" spans="8:9">
      <c r="H9896" s="1358"/>
      <c r="I9896" s="1358"/>
    </row>
    <row r="9897" spans="8:9">
      <c r="H9897" s="1358"/>
      <c r="I9897" s="1358"/>
    </row>
    <row r="9898" spans="8:9">
      <c r="H9898" s="1358"/>
      <c r="I9898" s="1358"/>
    </row>
    <row r="9899" spans="8:9">
      <c r="H9899" s="1358"/>
      <c r="I9899" s="1358"/>
    </row>
    <row r="9900" spans="8:9">
      <c r="H9900" s="1358"/>
      <c r="I9900" s="1358"/>
    </row>
    <row r="9901" spans="8:9">
      <c r="H9901" s="1358"/>
      <c r="I9901" s="1358"/>
    </row>
    <row r="9902" spans="8:9">
      <c r="H9902" s="1358"/>
      <c r="I9902" s="1358"/>
    </row>
    <row r="9903" spans="8:9">
      <c r="H9903" s="1358"/>
      <c r="I9903" s="1358"/>
    </row>
    <row r="9904" spans="8:9">
      <c r="H9904" s="1358"/>
      <c r="I9904" s="1358"/>
    </row>
    <row r="9905" spans="8:9">
      <c r="H9905" s="1358"/>
      <c r="I9905" s="1358"/>
    </row>
    <row r="9906" spans="8:9">
      <c r="H9906" s="1358"/>
      <c r="I9906" s="1358"/>
    </row>
    <row r="9907" spans="8:9">
      <c r="H9907" s="1358"/>
      <c r="I9907" s="1358"/>
    </row>
    <row r="9908" spans="8:9">
      <c r="H9908" s="1358"/>
      <c r="I9908" s="1358"/>
    </row>
    <row r="9909" spans="8:9">
      <c r="H9909" s="1358"/>
      <c r="I9909" s="1358"/>
    </row>
    <row r="9910" spans="8:9">
      <c r="H9910" s="1358"/>
      <c r="I9910" s="1358"/>
    </row>
    <row r="9911" spans="8:9">
      <c r="H9911" s="1358"/>
      <c r="I9911" s="1358"/>
    </row>
    <row r="9912" spans="8:9">
      <c r="H9912" s="1358"/>
      <c r="I9912" s="1358"/>
    </row>
    <row r="9913" spans="8:9">
      <c r="H9913" s="1358"/>
      <c r="I9913" s="1358"/>
    </row>
    <row r="9914" spans="8:9">
      <c r="H9914" s="1358"/>
      <c r="I9914" s="1358"/>
    </row>
    <row r="9915" spans="8:9">
      <c r="H9915" s="1358"/>
      <c r="I9915" s="1358"/>
    </row>
    <row r="9916" spans="8:9">
      <c r="H9916" s="1358"/>
      <c r="I9916" s="1358"/>
    </row>
    <row r="9917" spans="8:9">
      <c r="H9917" s="1358"/>
      <c r="I9917" s="1358"/>
    </row>
    <row r="9918" spans="8:9">
      <c r="H9918" s="1358"/>
      <c r="I9918" s="1358"/>
    </row>
    <row r="9919" spans="8:9">
      <c r="H9919" s="1358"/>
      <c r="I9919" s="1358"/>
    </row>
    <row r="9920" spans="8:9">
      <c r="H9920" s="1358"/>
      <c r="I9920" s="1358"/>
    </row>
    <row r="9921" spans="8:9">
      <c r="H9921" s="1358"/>
      <c r="I9921" s="1358"/>
    </row>
    <row r="9922" spans="8:9">
      <c r="H9922" s="1358"/>
      <c r="I9922" s="1358"/>
    </row>
    <row r="9923" spans="8:9">
      <c r="H9923" s="1358"/>
      <c r="I9923" s="1358"/>
    </row>
    <row r="9924" spans="8:9">
      <c r="H9924" s="1358"/>
      <c r="I9924" s="1358"/>
    </row>
    <row r="9925" spans="8:9">
      <c r="H9925" s="1358"/>
      <c r="I9925" s="1358"/>
    </row>
    <row r="9926" spans="8:9">
      <c r="H9926" s="1358"/>
      <c r="I9926" s="1358"/>
    </row>
    <row r="9927" spans="8:9">
      <c r="H9927" s="1358"/>
      <c r="I9927" s="1358"/>
    </row>
    <row r="9928" spans="8:9">
      <c r="H9928" s="1358"/>
      <c r="I9928" s="1358"/>
    </row>
    <row r="9929" spans="8:9">
      <c r="H9929" s="1358"/>
      <c r="I9929" s="1358"/>
    </row>
    <row r="9930" spans="8:9">
      <c r="H9930" s="1358"/>
      <c r="I9930" s="1358"/>
    </row>
    <row r="9931" spans="8:9">
      <c r="H9931" s="1358"/>
      <c r="I9931" s="1358"/>
    </row>
    <row r="9932" spans="8:9">
      <c r="H9932" s="1358"/>
      <c r="I9932" s="1358"/>
    </row>
    <row r="9933" spans="8:9">
      <c r="H9933" s="1358"/>
      <c r="I9933" s="1358"/>
    </row>
    <row r="9934" spans="8:9">
      <c r="H9934" s="1358"/>
      <c r="I9934" s="1358"/>
    </row>
    <row r="9935" spans="8:9">
      <c r="H9935" s="1358"/>
      <c r="I9935" s="1358"/>
    </row>
    <row r="9936" spans="8:9">
      <c r="H9936" s="1358"/>
      <c r="I9936" s="1358"/>
    </row>
    <row r="9937" spans="8:9">
      <c r="H9937" s="1358"/>
      <c r="I9937" s="1358"/>
    </row>
    <row r="9938" spans="8:9">
      <c r="H9938" s="1358"/>
      <c r="I9938" s="1358"/>
    </row>
    <row r="9939" spans="8:9">
      <c r="H9939" s="1358"/>
      <c r="I9939" s="1358"/>
    </row>
    <row r="9940" spans="8:9">
      <c r="H9940" s="1358"/>
      <c r="I9940" s="1358"/>
    </row>
    <row r="9941" spans="8:9">
      <c r="H9941" s="1358"/>
      <c r="I9941" s="1358"/>
    </row>
    <row r="9942" spans="8:9">
      <c r="H9942" s="1358"/>
      <c r="I9942" s="1358"/>
    </row>
    <row r="9943" spans="8:9">
      <c r="H9943" s="1358"/>
      <c r="I9943" s="1358"/>
    </row>
    <row r="9944" spans="8:9">
      <c r="H9944" s="1358"/>
      <c r="I9944" s="1358"/>
    </row>
    <row r="9945" spans="8:9">
      <c r="H9945" s="1358"/>
      <c r="I9945" s="1358"/>
    </row>
    <row r="9946" spans="8:9">
      <c r="H9946" s="1358"/>
      <c r="I9946" s="1358"/>
    </row>
    <row r="9947" spans="8:9">
      <c r="H9947" s="1358"/>
      <c r="I9947" s="1358"/>
    </row>
    <row r="9948" spans="8:9">
      <c r="H9948" s="1358"/>
      <c r="I9948" s="1358"/>
    </row>
    <row r="9949" spans="8:9">
      <c r="H9949" s="1358"/>
      <c r="I9949" s="1358"/>
    </row>
    <row r="9950" spans="8:9">
      <c r="H9950" s="1358"/>
      <c r="I9950" s="1358"/>
    </row>
    <row r="9951" spans="8:9">
      <c r="H9951" s="1358"/>
      <c r="I9951" s="1358"/>
    </row>
    <row r="9952" spans="8:9">
      <c r="H9952" s="1358"/>
      <c r="I9952" s="1358"/>
    </row>
    <row r="9953" spans="8:9">
      <c r="H9953" s="1358"/>
      <c r="I9953" s="1358"/>
    </row>
    <row r="9954" spans="8:9">
      <c r="H9954" s="1358"/>
      <c r="I9954" s="1358"/>
    </row>
    <row r="9955" spans="8:9">
      <c r="H9955" s="1358"/>
      <c r="I9955" s="1358"/>
    </row>
    <row r="9956" spans="8:9">
      <c r="H9956" s="1358"/>
      <c r="I9956" s="1358"/>
    </row>
    <row r="9957" spans="8:9">
      <c r="H9957" s="1358"/>
      <c r="I9957" s="1358"/>
    </row>
    <row r="9958" spans="8:9">
      <c r="H9958" s="1358"/>
      <c r="I9958" s="1358"/>
    </row>
    <row r="9959" spans="8:9">
      <c r="H9959" s="1358"/>
      <c r="I9959" s="1358"/>
    </row>
    <row r="9960" spans="8:9">
      <c r="H9960" s="1358"/>
      <c r="I9960" s="1358"/>
    </row>
    <row r="9961" spans="8:9">
      <c r="H9961" s="1358"/>
      <c r="I9961" s="1358"/>
    </row>
    <row r="9962" spans="8:9">
      <c r="H9962" s="1358"/>
      <c r="I9962" s="1358"/>
    </row>
    <row r="9963" spans="8:9">
      <c r="H9963" s="1358"/>
      <c r="I9963" s="1358"/>
    </row>
    <row r="9964" spans="8:9">
      <c r="H9964" s="1358"/>
      <c r="I9964" s="1358"/>
    </row>
    <row r="9965" spans="8:9">
      <c r="H9965" s="1358"/>
      <c r="I9965" s="1358"/>
    </row>
    <row r="9966" spans="8:9">
      <c r="H9966" s="1358"/>
      <c r="I9966" s="1358"/>
    </row>
    <row r="9967" spans="8:9">
      <c r="H9967" s="1358"/>
      <c r="I9967" s="1358"/>
    </row>
    <row r="9968" spans="8:9">
      <c r="H9968" s="1358"/>
      <c r="I9968" s="1358"/>
    </row>
    <row r="9969" spans="8:9">
      <c r="H9969" s="1358"/>
      <c r="I9969" s="1358"/>
    </row>
    <row r="9970" spans="8:9">
      <c r="H9970" s="1358"/>
      <c r="I9970" s="1358"/>
    </row>
    <row r="9971" spans="8:9">
      <c r="H9971" s="1358"/>
      <c r="I9971" s="1358"/>
    </row>
    <row r="9972" spans="8:9">
      <c r="H9972" s="1358"/>
      <c r="I9972" s="1358"/>
    </row>
    <row r="9973" spans="8:9">
      <c r="H9973" s="1358"/>
      <c r="I9973" s="1358"/>
    </row>
    <row r="9974" spans="8:9">
      <c r="H9974" s="1358"/>
      <c r="I9974" s="1358"/>
    </row>
    <row r="9975" spans="8:9">
      <c r="H9975" s="1358"/>
      <c r="I9975" s="1358"/>
    </row>
    <row r="9976" spans="8:9">
      <c r="H9976" s="1358"/>
      <c r="I9976" s="1358"/>
    </row>
    <row r="9977" spans="8:9">
      <c r="H9977" s="1358"/>
      <c r="I9977" s="1358"/>
    </row>
    <row r="9978" spans="8:9">
      <c r="H9978" s="1358"/>
      <c r="I9978" s="1358"/>
    </row>
    <row r="9979" spans="8:9">
      <c r="H9979" s="1358"/>
      <c r="I9979" s="1358"/>
    </row>
    <row r="9980" spans="8:9">
      <c r="H9980" s="1358"/>
      <c r="I9980" s="1358"/>
    </row>
    <row r="9981" spans="8:9">
      <c r="H9981" s="1358"/>
      <c r="I9981" s="1358"/>
    </row>
    <row r="9982" spans="8:9">
      <c r="H9982" s="1358"/>
      <c r="I9982" s="1358"/>
    </row>
    <row r="9983" spans="8:9">
      <c r="H9983" s="1358"/>
      <c r="I9983" s="1358"/>
    </row>
    <row r="9984" spans="8:9">
      <c r="H9984" s="1358"/>
      <c r="I9984" s="1358"/>
    </row>
    <row r="9985" spans="8:9">
      <c r="H9985" s="1358"/>
      <c r="I9985" s="1358"/>
    </row>
    <row r="9986" spans="8:9">
      <c r="H9986" s="1358"/>
      <c r="I9986" s="1358"/>
    </row>
    <row r="9987" spans="8:9">
      <c r="H9987" s="1358"/>
      <c r="I9987" s="1358"/>
    </row>
    <row r="9988" spans="8:9">
      <c r="H9988" s="1358"/>
      <c r="I9988" s="1358"/>
    </row>
    <row r="9989" spans="8:9">
      <c r="H9989" s="1358"/>
      <c r="I9989" s="1358"/>
    </row>
    <row r="9990" spans="8:9">
      <c r="H9990" s="1358"/>
      <c r="I9990" s="1358"/>
    </row>
    <row r="9991" spans="8:9">
      <c r="H9991" s="1358"/>
      <c r="I9991" s="1358"/>
    </row>
    <row r="9992" spans="8:9">
      <c r="H9992" s="1358"/>
      <c r="I9992" s="1358"/>
    </row>
    <row r="9993" spans="8:9">
      <c r="H9993" s="1358"/>
      <c r="I9993" s="1358"/>
    </row>
    <row r="9994" spans="8:9">
      <c r="H9994" s="1358"/>
      <c r="I9994" s="1358"/>
    </row>
    <row r="9995" spans="8:9">
      <c r="H9995" s="1358"/>
      <c r="I9995" s="1358"/>
    </row>
    <row r="9996" spans="8:9">
      <c r="H9996" s="1358"/>
      <c r="I9996" s="1358"/>
    </row>
    <row r="9997" spans="8:9">
      <c r="H9997" s="1358"/>
      <c r="I9997" s="1358"/>
    </row>
    <row r="9998" spans="8:9">
      <c r="H9998" s="1358"/>
      <c r="I9998" s="1358"/>
    </row>
    <row r="9999" spans="8:9">
      <c r="H9999" s="1358"/>
      <c r="I9999" s="1358"/>
    </row>
    <row r="10000" spans="8:9">
      <c r="H10000" s="1358"/>
      <c r="I10000" s="1358"/>
    </row>
    <row r="10001" spans="8:9">
      <c r="H10001" s="1358"/>
      <c r="I10001" s="1358"/>
    </row>
    <row r="10002" spans="8:9">
      <c r="H10002" s="1358"/>
      <c r="I10002" s="1358"/>
    </row>
    <row r="10003" spans="8:9">
      <c r="H10003" s="1358"/>
      <c r="I10003" s="1358"/>
    </row>
    <row r="10004" spans="8:9">
      <c r="H10004" s="1358"/>
      <c r="I10004" s="1358"/>
    </row>
    <row r="10005" spans="8:9">
      <c r="H10005" s="1358"/>
      <c r="I10005" s="1358"/>
    </row>
    <row r="10006" spans="8:9">
      <c r="H10006" s="1358"/>
      <c r="I10006" s="1358"/>
    </row>
    <row r="10007" spans="8:9">
      <c r="H10007" s="1358"/>
      <c r="I10007" s="1358"/>
    </row>
    <row r="10008" spans="8:9">
      <c r="H10008" s="1358"/>
      <c r="I10008" s="1358"/>
    </row>
    <row r="10009" spans="8:9">
      <c r="H10009" s="1358"/>
      <c r="I10009" s="1358"/>
    </row>
    <row r="10010" spans="8:9">
      <c r="H10010" s="1358"/>
      <c r="I10010" s="1358"/>
    </row>
    <row r="10011" spans="8:9">
      <c r="H10011" s="1358"/>
      <c r="I10011" s="1358"/>
    </row>
    <row r="10012" spans="8:9">
      <c r="H10012" s="1358"/>
      <c r="I10012" s="1358"/>
    </row>
    <row r="10013" spans="8:9">
      <c r="H10013" s="1358"/>
      <c r="I10013" s="1358"/>
    </row>
    <row r="10014" spans="8:9">
      <c r="H10014" s="1358"/>
      <c r="I10014" s="1358"/>
    </row>
    <row r="10015" spans="8:9">
      <c r="H10015" s="1358"/>
      <c r="I10015" s="1358"/>
    </row>
    <row r="10016" spans="8:9">
      <c r="H10016" s="1358"/>
      <c r="I10016" s="1358"/>
    </row>
    <row r="10017" spans="8:9">
      <c r="H10017" s="1358"/>
      <c r="I10017" s="1358"/>
    </row>
    <row r="10018" spans="8:9">
      <c r="H10018" s="1358"/>
      <c r="I10018" s="1358"/>
    </row>
    <row r="10019" spans="8:9">
      <c r="H10019" s="1358"/>
      <c r="I10019" s="1358"/>
    </row>
    <row r="10020" spans="8:9">
      <c r="H10020" s="1358"/>
      <c r="I10020" s="1358"/>
    </row>
    <row r="10021" spans="8:9">
      <c r="H10021" s="1358"/>
      <c r="I10021" s="1358"/>
    </row>
    <row r="10022" spans="8:9">
      <c r="H10022" s="1358"/>
      <c r="I10022" s="1358"/>
    </row>
    <row r="10023" spans="8:9">
      <c r="H10023" s="1358"/>
      <c r="I10023" s="1358"/>
    </row>
    <row r="10024" spans="8:9">
      <c r="H10024" s="1358"/>
      <c r="I10024" s="1358"/>
    </row>
    <row r="10025" spans="8:9">
      <c r="H10025" s="1358"/>
      <c r="I10025" s="1358"/>
    </row>
    <row r="10026" spans="8:9">
      <c r="H10026" s="1358"/>
      <c r="I10026" s="1358"/>
    </row>
    <row r="10027" spans="8:9">
      <c r="H10027" s="1358"/>
      <c r="I10027" s="1358"/>
    </row>
    <row r="10028" spans="8:9">
      <c r="H10028" s="1358"/>
      <c r="I10028" s="1358"/>
    </row>
    <row r="10029" spans="8:9">
      <c r="H10029" s="1358"/>
      <c r="I10029" s="1358"/>
    </row>
    <row r="10030" spans="8:9">
      <c r="H10030" s="1358"/>
      <c r="I10030" s="1358"/>
    </row>
    <row r="10031" spans="8:9">
      <c r="H10031" s="1358"/>
      <c r="I10031" s="1358"/>
    </row>
    <row r="10032" spans="8:9">
      <c r="H10032" s="1358"/>
      <c r="I10032" s="1358"/>
    </row>
    <row r="10033" spans="8:9">
      <c r="H10033" s="1358"/>
      <c r="I10033" s="1358"/>
    </row>
    <row r="10034" spans="8:9">
      <c r="H10034" s="1358"/>
      <c r="I10034" s="1358"/>
    </row>
    <row r="10035" spans="8:9">
      <c r="H10035" s="1358"/>
      <c r="I10035" s="1358"/>
    </row>
    <row r="10036" spans="8:9">
      <c r="H10036" s="1358"/>
      <c r="I10036" s="1358"/>
    </row>
    <row r="10037" spans="8:9">
      <c r="H10037" s="1358"/>
      <c r="I10037" s="1358"/>
    </row>
    <row r="10038" spans="8:9">
      <c r="H10038" s="1358"/>
      <c r="I10038" s="1358"/>
    </row>
    <row r="10039" spans="8:9">
      <c r="H10039" s="1358"/>
      <c r="I10039" s="1358"/>
    </row>
    <row r="10040" spans="8:9">
      <c r="H10040" s="1358"/>
      <c r="I10040" s="1358"/>
    </row>
    <row r="10041" spans="8:9">
      <c r="H10041" s="1358"/>
      <c r="I10041" s="1358"/>
    </row>
    <row r="10042" spans="8:9">
      <c r="H10042" s="1358"/>
      <c r="I10042" s="1358"/>
    </row>
    <row r="10043" spans="8:9">
      <c r="H10043" s="1358"/>
      <c r="I10043" s="1358"/>
    </row>
    <row r="10044" spans="8:9">
      <c r="H10044" s="1358"/>
      <c r="I10044" s="1358"/>
    </row>
    <row r="10045" spans="8:9">
      <c r="H10045" s="1358"/>
      <c r="I10045" s="1358"/>
    </row>
    <row r="10046" spans="8:9">
      <c r="H10046" s="1358"/>
      <c r="I10046" s="1358"/>
    </row>
    <row r="10047" spans="8:9">
      <c r="H10047" s="1358"/>
      <c r="I10047" s="1358"/>
    </row>
    <row r="10048" spans="8:9">
      <c r="H10048" s="1358"/>
      <c r="I10048" s="1358"/>
    </row>
    <row r="10049" spans="8:9">
      <c r="H10049" s="1358"/>
      <c r="I10049" s="1358"/>
    </row>
    <row r="10050" spans="8:9">
      <c r="H10050" s="1358"/>
      <c r="I10050" s="1358"/>
    </row>
    <row r="10051" spans="8:9">
      <c r="H10051" s="1358"/>
      <c r="I10051" s="1358"/>
    </row>
    <row r="10052" spans="8:9">
      <c r="H10052" s="1358"/>
      <c r="I10052" s="1358"/>
    </row>
    <row r="10053" spans="8:9">
      <c r="H10053" s="1358"/>
      <c r="I10053" s="1358"/>
    </row>
    <row r="10054" spans="8:9">
      <c r="H10054" s="1358"/>
      <c r="I10054" s="1358"/>
    </row>
    <row r="10055" spans="8:9">
      <c r="H10055" s="1358"/>
      <c r="I10055" s="1358"/>
    </row>
    <row r="10056" spans="8:9">
      <c r="H10056" s="1358"/>
      <c r="I10056" s="1358"/>
    </row>
    <row r="10057" spans="8:9">
      <c r="H10057" s="1358"/>
      <c r="I10057" s="1358"/>
    </row>
    <row r="10058" spans="8:9">
      <c r="H10058" s="1358"/>
      <c r="I10058" s="1358"/>
    </row>
    <row r="10059" spans="8:9">
      <c r="H10059" s="1358"/>
      <c r="I10059" s="1358"/>
    </row>
    <row r="10060" spans="8:9">
      <c r="H10060" s="1358"/>
      <c r="I10060" s="1358"/>
    </row>
    <row r="10061" spans="8:9">
      <c r="H10061" s="1358"/>
      <c r="I10061" s="1358"/>
    </row>
    <row r="10062" spans="8:9">
      <c r="H10062" s="1358"/>
      <c r="I10062" s="1358"/>
    </row>
    <row r="10063" spans="8:9">
      <c r="H10063" s="1358"/>
      <c r="I10063" s="1358"/>
    </row>
    <row r="10064" spans="8:9">
      <c r="H10064" s="1358"/>
      <c r="I10064" s="1358"/>
    </row>
    <row r="10065" spans="8:9">
      <c r="H10065" s="1358"/>
      <c r="I10065" s="1358"/>
    </row>
    <row r="10066" spans="8:9">
      <c r="H10066" s="1358"/>
      <c r="I10066" s="1358"/>
    </row>
    <row r="10067" spans="8:9">
      <c r="H10067" s="1358"/>
      <c r="I10067" s="1358"/>
    </row>
    <row r="10068" spans="8:9">
      <c r="H10068" s="1358"/>
      <c r="I10068" s="1358"/>
    </row>
    <row r="10069" spans="8:9">
      <c r="H10069" s="1358"/>
      <c r="I10069" s="1358"/>
    </row>
    <row r="10070" spans="8:9">
      <c r="H10070" s="1358"/>
      <c r="I10070" s="1358"/>
    </row>
    <row r="10071" spans="8:9">
      <c r="H10071" s="1358"/>
      <c r="I10071" s="1358"/>
    </row>
    <row r="10072" spans="8:9">
      <c r="H10072" s="1358"/>
      <c r="I10072" s="1358"/>
    </row>
    <row r="10073" spans="8:9">
      <c r="H10073" s="1358"/>
      <c r="I10073" s="1358"/>
    </row>
    <row r="10074" spans="8:9">
      <c r="H10074" s="1358"/>
      <c r="I10074" s="1358"/>
    </row>
    <row r="10075" spans="8:9">
      <c r="H10075" s="1358"/>
      <c r="I10075" s="1358"/>
    </row>
    <row r="10076" spans="8:9">
      <c r="H10076" s="1358"/>
      <c r="I10076" s="1358"/>
    </row>
    <row r="10077" spans="8:9">
      <c r="H10077" s="1358"/>
      <c r="I10077" s="1358"/>
    </row>
    <row r="10078" spans="8:9">
      <c r="H10078" s="1358"/>
      <c r="I10078" s="1358"/>
    </row>
    <row r="10079" spans="8:9">
      <c r="H10079" s="1358"/>
      <c r="I10079" s="1358"/>
    </row>
    <row r="10080" spans="8:9">
      <c r="H10080" s="1358"/>
      <c r="I10080" s="1358"/>
    </row>
    <row r="10081" spans="8:9">
      <c r="H10081" s="1358"/>
      <c r="I10081" s="1358"/>
    </row>
    <row r="10082" spans="8:9">
      <c r="H10082" s="1358"/>
      <c r="I10082" s="1358"/>
    </row>
    <row r="10083" spans="8:9">
      <c r="H10083" s="1358"/>
      <c r="I10083" s="1358"/>
    </row>
    <row r="10084" spans="8:9">
      <c r="H10084" s="1358"/>
      <c r="I10084" s="1358"/>
    </row>
    <row r="10085" spans="8:9">
      <c r="H10085" s="1358"/>
      <c r="I10085" s="1358"/>
    </row>
    <row r="10086" spans="8:9">
      <c r="H10086" s="1358"/>
      <c r="I10086" s="1358"/>
    </row>
    <row r="10087" spans="8:9">
      <c r="H10087" s="1358"/>
      <c r="I10087" s="1358"/>
    </row>
    <row r="10088" spans="8:9">
      <c r="H10088" s="1358"/>
      <c r="I10088" s="1358"/>
    </row>
    <row r="10089" spans="8:9">
      <c r="H10089" s="1358"/>
      <c r="I10089" s="1358"/>
    </row>
    <row r="10090" spans="8:9">
      <c r="H10090" s="1358"/>
      <c r="I10090" s="1358"/>
    </row>
    <row r="10091" spans="8:9">
      <c r="H10091" s="1358"/>
      <c r="I10091" s="1358"/>
    </row>
    <row r="10092" spans="8:9">
      <c r="H10092" s="1358"/>
      <c r="I10092" s="1358"/>
    </row>
    <row r="10093" spans="8:9">
      <c r="H10093" s="1358"/>
      <c r="I10093" s="1358"/>
    </row>
    <row r="10094" spans="8:9">
      <c r="H10094" s="1358"/>
      <c r="I10094" s="1358"/>
    </row>
    <row r="10095" spans="8:9">
      <c r="H10095" s="1358"/>
      <c r="I10095" s="1358"/>
    </row>
    <row r="10096" spans="8:9">
      <c r="H10096" s="1358"/>
      <c r="I10096" s="1358"/>
    </row>
    <row r="10097" spans="8:9">
      <c r="H10097" s="1358"/>
      <c r="I10097" s="1358"/>
    </row>
    <row r="10098" spans="8:9">
      <c r="H10098" s="1358"/>
      <c r="I10098" s="1358"/>
    </row>
    <row r="10099" spans="8:9">
      <c r="H10099" s="1358"/>
      <c r="I10099" s="1358"/>
    </row>
    <row r="10100" spans="8:9">
      <c r="H10100" s="1358"/>
      <c r="I10100" s="1358"/>
    </row>
    <row r="10101" spans="8:9">
      <c r="H10101" s="1358"/>
      <c r="I10101" s="1358"/>
    </row>
    <row r="10102" spans="8:9">
      <c r="H10102" s="1358"/>
      <c r="I10102" s="1358"/>
    </row>
    <row r="10103" spans="8:9">
      <c r="H10103" s="1358"/>
      <c r="I10103" s="1358"/>
    </row>
    <row r="10104" spans="8:9">
      <c r="H10104" s="1358"/>
      <c r="I10104" s="1358"/>
    </row>
    <row r="10105" spans="8:9">
      <c r="H10105" s="1358"/>
      <c r="I10105" s="1358"/>
    </row>
    <row r="10106" spans="8:9">
      <c r="H10106" s="1358"/>
      <c r="I10106" s="1358"/>
    </row>
    <row r="10107" spans="8:9">
      <c r="H10107" s="1358"/>
      <c r="I10107" s="1358"/>
    </row>
    <row r="10108" spans="8:9">
      <c r="H10108" s="1358"/>
      <c r="I10108" s="1358"/>
    </row>
    <row r="10109" spans="8:9">
      <c r="H10109" s="1358"/>
      <c r="I10109" s="1358"/>
    </row>
    <row r="10110" spans="8:9">
      <c r="H10110" s="1358"/>
      <c r="I10110" s="1358"/>
    </row>
    <row r="10111" spans="8:9">
      <c r="H10111" s="1358"/>
      <c r="I10111" s="1358"/>
    </row>
    <row r="10112" spans="8:9">
      <c r="H10112" s="1358"/>
      <c r="I10112" s="1358"/>
    </row>
    <row r="10113" spans="8:9">
      <c r="H10113" s="1358"/>
      <c r="I10113" s="1358"/>
    </row>
    <row r="10114" spans="8:9">
      <c r="H10114" s="1358"/>
      <c r="I10114" s="1358"/>
    </row>
    <row r="10115" spans="8:9">
      <c r="H10115" s="1358"/>
      <c r="I10115" s="1358"/>
    </row>
    <row r="10116" spans="8:9">
      <c r="H10116" s="1358"/>
      <c r="I10116" s="1358"/>
    </row>
    <row r="10117" spans="8:9">
      <c r="H10117" s="1358"/>
      <c r="I10117" s="1358"/>
    </row>
    <row r="10118" spans="8:9">
      <c r="H10118" s="1358"/>
      <c r="I10118" s="1358"/>
    </row>
    <row r="10119" spans="8:9">
      <c r="H10119" s="1358"/>
      <c r="I10119" s="1358"/>
    </row>
    <row r="10120" spans="8:9">
      <c r="H10120" s="1358"/>
      <c r="I10120" s="1358"/>
    </row>
    <row r="10121" spans="8:9">
      <c r="H10121" s="1358"/>
      <c r="I10121" s="1358"/>
    </row>
    <row r="10122" spans="8:9">
      <c r="H10122" s="1358"/>
      <c r="I10122" s="1358"/>
    </row>
    <row r="10123" spans="8:9">
      <c r="H10123" s="1358"/>
      <c r="I10123" s="1358"/>
    </row>
    <row r="10124" spans="8:9">
      <c r="H10124" s="1358"/>
      <c r="I10124" s="1358"/>
    </row>
    <row r="10125" spans="8:9">
      <c r="H10125" s="1358"/>
      <c r="I10125" s="1358"/>
    </row>
    <row r="10126" spans="8:9">
      <c r="H10126" s="1358"/>
      <c r="I10126" s="1358"/>
    </row>
    <row r="10127" spans="8:9">
      <c r="H10127" s="1358"/>
      <c r="I10127" s="1358"/>
    </row>
    <row r="10128" spans="8:9">
      <c r="H10128" s="1358"/>
      <c r="I10128" s="1358"/>
    </row>
    <row r="10129" spans="8:9">
      <c r="H10129" s="1358"/>
      <c r="I10129" s="1358"/>
    </row>
    <row r="10130" spans="8:9">
      <c r="H10130" s="1358"/>
      <c r="I10130" s="1358"/>
    </row>
    <row r="10131" spans="8:9">
      <c r="H10131" s="1358"/>
      <c r="I10131" s="1358"/>
    </row>
    <row r="10132" spans="8:9">
      <c r="H10132" s="1358"/>
      <c r="I10132" s="1358"/>
    </row>
    <row r="10133" spans="8:9">
      <c r="H10133" s="1358"/>
      <c r="I10133" s="1358"/>
    </row>
    <row r="10134" spans="8:9">
      <c r="H10134" s="1358"/>
      <c r="I10134" s="1358"/>
    </row>
    <row r="10135" spans="8:9">
      <c r="H10135" s="1358"/>
      <c r="I10135" s="1358"/>
    </row>
    <row r="10136" spans="8:9">
      <c r="H10136" s="1358"/>
      <c r="I10136" s="1358"/>
    </row>
    <row r="10137" spans="8:9">
      <c r="H10137" s="1358"/>
      <c r="I10137" s="1358"/>
    </row>
    <row r="10138" spans="8:9">
      <c r="H10138" s="1358"/>
      <c r="I10138" s="1358"/>
    </row>
    <row r="10139" spans="8:9">
      <c r="H10139" s="1358"/>
      <c r="I10139" s="1358"/>
    </row>
    <row r="10140" spans="8:9">
      <c r="H10140" s="1358"/>
      <c r="I10140" s="1358"/>
    </row>
    <row r="10141" spans="8:9">
      <c r="H10141" s="1358"/>
      <c r="I10141" s="1358"/>
    </row>
    <row r="10142" spans="8:9">
      <c r="H10142" s="1358"/>
      <c r="I10142" s="1358"/>
    </row>
    <row r="10143" spans="8:9">
      <c r="H10143" s="1358"/>
      <c r="I10143" s="1358"/>
    </row>
    <row r="10144" spans="8:9">
      <c r="H10144" s="1358"/>
      <c r="I10144" s="1358"/>
    </row>
    <row r="10145" spans="8:9">
      <c r="H10145" s="1358"/>
      <c r="I10145" s="1358"/>
    </row>
    <row r="10146" spans="8:9">
      <c r="H10146" s="1358"/>
      <c r="I10146" s="1358"/>
    </row>
    <row r="10147" spans="8:9">
      <c r="H10147" s="1358"/>
      <c r="I10147" s="1358"/>
    </row>
    <row r="10148" spans="8:9">
      <c r="H10148" s="1358"/>
      <c r="I10148" s="1358"/>
    </row>
    <row r="10149" spans="8:9">
      <c r="H10149" s="1358"/>
      <c r="I10149" s="1358"/>
    </row>
    <row r="10150" spans="8:9">
      <c r="H10150" s="1358"/>
      <c r="I10150" s="1358"/>
    </row>
    <row r="10151" spans="8:9">
      <c r="H10151" s="1358"/>
      <c r="I10151" s="1358"/>
    </row>
    <row r="10152" spans="8:9">
      <c r="H10152" s="1358"/>
      <c r="I10152" s="1358"/>
    </row>
    <row r="10153" spans="8:9">
      <c r="H10153" s="1358"/>
      <c r="I10153" s="1358"/>
    </row>
    <row r="10154" spans="8:9">
      <c r="H10154" s="1358"/>
      <c r="I10154" s="1358"/>
    </row>
    <row r="10155" spans="8:9">
      <c r="H10155" s="1358"/>
      <c r="I10155" s="1358"/>
    </row>
    <row r="10156" spans="8:9">
      <c r="H10156" s="1358"/>
      <c r="I10156" s="1358"/>
    </row>
    <row r="10157" spans="8:9">
      <c r="H10157" s="1358"/>
      <c r="I10157" s="1358"/>
    </row>
    <row r="10158" spans="8:9">
      <c r="H10158" s="1358"/>
      <c r="I10158" s="1358"/>
    </row>
    <row r="10159" spans="8:9">
      <c r="H10159" s="1358"/>
      <c r="I10159" s="1358"/>
    </row>
    <row r="10160" spans="8:9">
      <c r="H10160" s="1358"/>
      <c r="I10160" s="1358"/>
    </row>
    <row r="10161" spans="8:9">
      <c r="H10161" s="1358"/>
      <c r="I10161" s="1358"/>
    </row>
    <row r="10162" spans="8:9">
      <c r="H10162" s="1358"/>
      <c r="I10162" s="1358"/>
    </row>
    <row r="10163" spans="8:9">
      <c r="H10163" s="1358"/>
      <c r="I10163" s="1358"/>
    </row>
    <row r="10164" spans="8:9">
      <c r="H10164" s="1358"/>
      <c r="I10164" s="1358"/>
    </row>
    <row r="10165" spans="8:9">
      <c r="H10165" s="1358"/>
      <c r="I10165" s="1358"/>
    </row>
    <row r="10166" spans="8:9">
      <c r="H10166" s="1358"/>
      <c r="I10166" s="1358"/>
    </row>
    <row r="10167" spans="8:9">
      <c r="H10167" s="1358"/>
      <c r="I10167" s="1358"/>
    </row>
    <row r="10168" spans="8:9">
      <c r="H10168" s="1358"/>
      <c r="I10168" s="1358"/>
    </row>
    <row r="10169" spans="8:9">
      <c r="H10169" s="1358"/>
      <c r="I10169" s="1358"/>
    </row>
    <row r="10170" spans="8:9">
      <c r="H10170" s="1358"/>
      <c r="I10170" s="1358"/>
    </row>
    <row r="10171" spans="8:9">
      <c r="H10171" s="1358"/>
      <c r="I10171" s="1358"/>
    </row>
    <row r="10172" spans="8:9">
      <c r="H10172" s="1358"/>
      <c r="I10172" s="1358"/>
    </row>
    <row r="10173" spans="8:9">
      <c r="H10173" s="1358"/>
      <c r="I10173" s="1358"/>
    </row>
    <row r="10174" spans="8:9">
      <c r="H10174" s="1358"/>
      <c r="I10174" s="1358"/>
    </row>
    <row r="10175" spans="8:9">
      <c r="H10175" s="1358"/>
      <c r="I10175" s="1358"/>
    </row>
    <row r="10176" spans="8:9">
      <c r="H10176" s="1358"/>
      <c r="I10176" s="1358"/>
    </row>
    <row r="10177" spans="8:9">
      <c r="H10177" s="1358"/>
      <c r="I10177" s="1358"/>
    </row>
    <row r="10178" spans="8:9">
      <c r="H10178" s="1358"/>
      <c r="I10178" s="1358"/>
    </row>
    <row r="10179" spans="8:9">
      <c r="H10179" s="1358"/>
      <c r="I10179" s="1358"/>
    </row>
    <row r="10180" spans="8:9">
      <c r="H10180" s="1358"/>
      <c r="I10180" s="1358"/>
    </row>
    <row r="10181" spans="8:9">
      <c r="H10181" s="1358"/>
      <c r="I10181" s="1358"/>
    </row>
    <row r="10182" spans="8:9">
      <c r="H10182" s="1358"/>
      <c r="I10182" s="1358"/>
    </row>
    <row r="10183" spans="8:9">
      <c r="H10183" s="1358"/>
      <c r="I10183" s="1358"/>
    </row>
    <row r="10184" spans="8:9">
      <c r="H10184" s="1358"/>
      <c r="I10184" s="1358"/>
    </row>
    <row r="10185" spans="8:9">
      <c r="H10185" s="1358"/>
      <c r="I10185" s="1358"/>
    </row>
    <row r="10186" spans="8:9">
      <c r="H10186" s="1358"/>
      <c r="I10186" s="1358"/>
    </row>
    <row r="10187" spans="8:9">
      <c r="H10187" s="1358"/>
      <c r="I10187" s="1358"/>
    </row>
    <row r="10188" spans="8:9">
      <c r="H10188" s="1358"/>
      <c r="I10188" s="1358"/>
    </row>
    <row r="10189" spans="8:9">
      <c r="H10189" s="1358"/>
      <c r="I10189" s="1358"/>
    </row>
    <row r="10190" spans="8:9">
      <c r="H10190" s="1358"/>
      <c r="I10190" s="1358"/>
    </row>
    <row r="10191" spans="8:9">
      <c r="H10191" s="1358"/>
      <c r="I10191" s="1358"/>
    </row>
    <row r="10192" spans="8:9">
      <c r="H10192" s="1358"/>
      <c r="I10192" s="1358"/>
    </row>
    <row r="10193" spans="8:9">
      <c r="H10193" s="1358"/>
      <c r="I10193" s="1358"/>
    </row>
    <row r="10194" spans="8:9">
      <c r="H10194" s="1358"/>
      <c r="I10194" s="1358"/>
    </row>
    <row r="10195" spans="8:9">
      <c r="H10195" s="1358"/>
      <c r="I10195" s="1358"/>
    </row>
    <row r="10196" spans="8:9">
      <c r="H10196" s="1358"/>
      <c r="I10196" s="1358"/>
    </row>
    <row r="10197" spans="8:9">
      <c r="H10197" s="1358"/>
      <c r="I10197" s="1358"/>
    </row>
    <row r="10198" spans="8:9">
      <c r="H10198" s="1358"/>
      <c r="I10198" s="1358"/>
    </row>
    <row r="10199" spans="8:9">
      <c r="H10199" s="1358"/>
      <c r="I10199" s="1358"/>
    </row>
    <row r="10200" spans="8:9">
      <c r="H10200" s="1358"/>
      <c r="I10200" s="1358"/>
    </row>
    <row r="10201" spans="8:9">
      <c r="H10201" s="1358"/>
      <c r="I10201" s="1358"/>
    </row>
    <row r="10202" spans="8:9">
      <c r="H10202" s="1358"/>
      <c r="I10202" s="1358"/>
    </row>
    <row r="10203" spans="8:9">
      <c r="H10203" s="1358"/>
      <c r="I10203" s="1358"/>
    </row>
    <row r="10204" spans="8:9">
      <c r="H10204" s="1358"/>
      <c r="I10204" s="1358"/>
    </row>
    <row r="10205" spans="8:9">
      <c r="H10205" s="1358"/>
      <c r="I10205" s="1358"/>
    </row>
    <row r="10206" spans="8:9">
      <c r="H10206" s="1358"/>
      <c r="I10206" s="1358"/>
    </row>
    <row r="10207" spans="8:9">
      <c r="H10207" s="1358"/>
      <c r="I10207" s="1358"/>
    </row>
    <row r="10208" spans="8:9">
      <c r="H10208" s="1358"/>
      <c r="I10208" s="1358"/>
    </row>
    <row r="10209" spans="8:9">
      <c r="H10209" s="1358"/>
      <c r="I10209" s="1358"/>
    </row>
    <row r="10210" spans="8:9">
      <c r="H10210" s="1358"/>
      <c r="I10210" s="1358"/>
    </row>
    <row r="10211" spans="8:9">
      <c r="H10211" s="1358"/>
      <c r="I10211" s="1358"/>
    </row>
    <row r="10212" spans="8:9">
      <c r="H10212" s="1358"/>
      <c r="I10212" s="1358"/>
    </row>
    <row r="10213" spans="8:9">
      <c r="H10213" s="1358"/>
      <c r="I10213" s="1358"/>
    </row>
    <row r="10214" spans="8:9">
      <c r="H10214" s="1358"/>
      <c r="I10214" s="1358"/>
    </row>
    <row r="10215" spans="8:9">
      <c r="H10215" s="1358"/>
      <c r="I10215" s="1358"/>
    </row>
    <row r="10216" spans="8:9">
      <c r="H10216" s="1358"/>
      <c r="I10216" s="1358"/>
    </row>
    <row r="10217" spans="8:9">
      <c r="H10217" s="1358"/>
      <c r="I10217" s="1358"/>
    </row>
    <row r="10218" spans="8:9">
      <c r="H10218" s="1358"/>
      <c r="I10218" s="1358"/>
    </row>
    <row r="10219" spans="8:9">
      <c r="H10219" s="1358"/>
      <c r="I10219" s="1358"/>
    </row>
    <row r="10220" spans="8:9">
      <c r="H10220" s="1358"/>
      <c r="I10220" s="1358"/>
    </row>
    <row r="10221" spans="8:9">
      <c r="H10221" s="1358"/>
      <c r="I10221" s="1358"/>
    </row>
    <row r="10222" spans="8:9">
      <c r="H10222" s="1358"/>
      <c r="I10222" s="1358"/>
    </row>
    <row r="10223" spans="8:9">
      <c r="H10223" s="1358"/>
      <c r="I10223" s="1358"/>
    </row>
    <row r="10224" spans="8:9">
      <c r="H10224" s="1358"/>
      <c r="I10224" s="1358"/>
    </row>
    <row r="10225" spans="8:9">
      <c r="H10225" s="1358"/>
      <c r="I10225" s="1358"/>
    </row>
    <row r="10226" spans="8:9">
      <c r="H10226" s="1358"/>
      <c r="I10226" s="1358"/>
    </row>
    <row r="10227" spans="8:9">
      <c r="H10227" s="1358"/>
      <c r="I10227" s="1358"/>
    </row>
    <row r="10228" spans="8:9">
      <c r="H10228" s="1358"/>
      <c r="I10228" s="1358"/>
    </row>
    <row r="10229" spans="8:9">
      <c r="H10229" s="1358"/>
      <c r="I10229" s="1358"/>
    </row>
    <row r="10230" spans="8:9">
      <c r="H10230" s="1358"/>
      <c r="I10230" s="1358"/>
    </row>
    <row r="10231" spans="8:9">
      <c r="H10231" s="1358"/>
      <c r="I10231" s="1358"/>
    </row>
    <row r="10232" spans="8:9">
      <c r="H10232" s="1358"/>
      <c r="I10232" s="1358"/>
    </row>
    <row r="10233" spans="8:9">
      <c r="H10233" s="1358"/>
      <c r="I10233" s="1358"/>
    </row>
    <row r="10234" spans="8:9">
      <c r="H10234" s="1358"/>
      <c r="I10234" s="1358"/>
    </row>
    <row r="10235" spans="8:9">
      <c r="H10235" s="1358"/>
      <c r="I10235" s="1358"/>
    </row>
    <row r="10236" spans="8:9">
      <c r="H10236" s="1358"/>
      <c r="I10236" s="1358"/>
    </row>
    <row r="10237" spans="8:9">
      <c r="H10237" s="1358"/>
      <c r="I10237" s="1358"/>
    </row>
    <row r="10238" spans="8:9">
      <c r="H10238" s="1358"/>
      <c r="I10238" s="1358"/>
    </row>
    <row r="10239" spans="8:9">
      <c r="H10239" s="1358"/>
      <c r="I10239" s="1358"/>
    </row>
    <row r="10240" spans="8:9">
      <c r="H10240" s="1358"/>
      <c r="I10240" s="1358"/>
    </row>
    <row r="10241" spans="8:9">
      <c r="H10241" s="1358"/>
      <c r="I10241" s="1358"/>
    </row>
    <row r="10242" spans="8:9">
      <c r="H10242" s="1358"/>
      <c r="I10242" s="1358"/>
    </row>
    <row r="10243" spans="8:9">
      <c r="H10243" s="1358"/>
      <c r="I10243" s="1358"/>
    </row>
    <row r="10244" spans="8:9">
      <c r="H10244" s="1358"/>
      <c r="I10244" s="1358"/>
    </row>
    <row r="10245" spans="8:9">
      <c r="H10245" s="1358"/>
      <c r="I10245" s="1358"/>
    </row>
    <row r="10246" spans="8:9">
      <c r="H10246" s="1358"/>
      <c r="I10246" s="1358"/>
    </row>
    <row r="10247" spans="8:9">
      <c r="H10247" s="1358"/>
      <c r="I10247" s="1358"/>
    </row>
    <row r="10248" spans="8:9">
      <c r="H10248" s="1358"/>
      <c r="I10248" s="1358"/>
    </row>
    <row r="10249" spans="8:9">
      <c r="H10249" s="1358"/>
      <c r="I10249" s="1358"/>
    </row>
    <row r="10250" spans="8:9">
      <c r="H10250" s="1358"/>
      <c r="I10250" s="1358"/>
    </row>
    <row r="10251" spans="8:9">
      <c r="H10251" s="1358"/>
      <c r="I10251" s="1358"/>
    </row>
    <row r="10252" spans="8:9">
      <c r="H10252" s="1358"/>
      <c r="I10252" s="1358"/>
    </row>
    <row r="10253" spans="8:9">
      <c r="H10253" s="1358"/>
      <c r="I10253" s="1358"/>
    </row>
    <row r="10254" spans="8:9">
      <c r="H10254" s="1358"/>
      <c r="I10254" s="1358"/>
    </row>
    <row r="10255" spans="8:9">
      <c r="H10255" s="1358"/>
      <c r="I10255" s="1358"/>
    </row>
    <row r="10256" spans="8:9">
      <c r="H10256" s="1358"/>
      <c r="I10256" s="1358"/>
    </row>
    <row r="10257" spans="8:9">
      <c r="H10257" s="1358"/>
      <c r="I10257" s="1358"/>
    </row>
    <row r="10258" spans="8:9">
      <c r="H10258" s="1358"/>
      <c r="I10258" s="1358"/>
    </row>
    <row r="10259" spans="8:9">
      <c r="H10259" s="1358"/>
      <c r="I10259" s="1358"/>
    </row>
    <row r="10260" spans="8:9">
      <c r="H10260" s="1358"/>
      <c r="I10260" s="1358"/>
    </row>
    <row r="10261" spans="8:9">
      <c r="H10261" s="1358"/>
      <c r="I10261" s="1358"/>
    </row>
    <row r="10262" spans="8:9">
      <c r="H10262" s="1358"/>
      <c r="I10262" s="1358"/>
    </row>
    <row r="10263" spans="8:9">
      <c r="H10263" s="1358"/>
      <c r="I10263" s="1358"/>
    </row>
    <row r="10264" spans="8:9">
      <c r="H10264" s="1358"/>
      <c r="I10264" s="1358"/>
    </row>
    <row r="10265" spans="8:9">
      <c r="H10265" s="1358"/>
      <c r="I10265" s="1358"/>
    </row>
    <row r="10266" spans="8:9">
      <c r="H10266" s="1358"/>
      <c r="I10266" s="1358"/>
    </row>
    <row r="10267" spans="8:9">
      <c r="H10267" s="1358"/>
      <c r="I10267" s="1358"/>
    </row>
    <row r="10268" spans="8:9">
      <c r="H10268" s="1358"/>
      <c r="I10268" s="1358"/>
    </row>
    <row r="10269" spans="8:9">
      <c r="H10269" s="1358"/>
      <c r="I10269" s="1358"/>
    </row>
    <row r="10270" spans="8:9">
      <c r="H10270" s="1358"/>
      <c r="I10270" s="1358"/>
    </row>
    <row r="10271" spans="8:9">
      <c r="H10271" s="1358"/>
      <c r="I10271" s="1358"/>
    </row>
    <row r="10272" spans="8:9">
      <c r="H10272" s="1358"/>
      <c r="I10272" s="1358"/>
    </row>
    <row r="10273" spans="8:9">
      <c r="H10273" s="1358"/>
      <c r="I10273" s="1358"/>
    </row>
    <row r="10274" spans="8:9">
      <c r="H10274" s="1358"/>
      <c r="I10274" s="1358"/>
    </row>
    <row r="10275" spans="8:9">
      <c r="H10275" s="1358"/>
      <c r="I10275" s="1358"/>
    </row>
    <row r="10276" spans="8:9">
      <c r="H10276" s="1358"/>
      <c r="I10276" s="1358"/>
    </row>
    <row r="10277" spans="8:9">
      <c r="H10277" s="1358"/>
      <c r="I10277" s="1358"/>
    </row>
    <row r="10278" spans="8:9">
      <c r="H10278" s="1358"/>
      <c r="I10278" s="1358"/>
    </row>
    <row r="10279" spans="8:9">
      <c r="H10279" s="1358"/>
      <c r="I10279" s="1358"/>
    </row>
    <row r="10280" spans="8:9">
      <c r="H10280" s="1358"/>
      <c r="I10280" s="1358"/>
    </row>
    <row r="10281" spans="8:9">
      <c r="H10281" s="1358"/>
      <c r="I10281" s="1358"/>
    </row>
    <row r="10282" spans="8:9">
      <c r="H10282" s="1358"/>
      <c r="I10282" s="1358"/>
    </row>
    <row r="10283" spans="8:9">
      <c r="H10283" s="1358"/>
      <c r="I10283" s="1358"/>
    </row>
    <row r="10284" spans="8:9">
      <c r="H10284" s="1358"/>
      <c r="I10284" s="1358"/>
    </row>
    <row r="10285" spans="8:9">
      <c r="H10285" s="1358"/>
      <c r="I10285" s="1358"/>
    </row>
    <row r="10286" spans="8:9">
      <c r="H10286" s="1358"/>
      <c r="I10286" s="1358"/>
    </row>
    <row r="10287" spans="8:9">
      <c r="H10287" s="1358"/>
      <c r="I10287" s="1358"/>
    </row>
    <row r="10288" spans="8:9">
      <c r="H10288" s="1358"/>
      <c r="I10288" s="1358"/>
    </row>
    <row r="10289" spans="8:9">
      <c r="H10289" s="1358"/>
      <c r="I10289" s="1358"/>
    </row>
    <row r="10290" spans="8:9">
      <c r="H10290" s="1358"/>
      <c r="I10290" s="1358"/>
    </row>
    <row r="10291" spans="8:9">
      <c r="H10291" s="1358"/>
      <c r="I10291" s="1358"/>
    </row>
    <row r="10292" spans="8:9">
      <c r="H10292" s="1358"/>
      <c r="I10292" s="1358"/>
    </row>
    <row r="10293" spans="8:9">
      <c r="H10293" s="1358"/>
      <c r="I10293" s="1358"/>
    </row>
    <row r="10294" spans="8:9">
      <c r="H10294" s="1358"/>
      <c r="I10294" s="1358"/>
    </row>
    <row r="10295" spans="8:9">
      <c r="H10295" s="1358"/>
      <c r="I10295" s="1358"/>
    </row>
    <row r="10296" spans="8:9">
      <c r="H10296" s="1358"/>
      <c r="I10296" s="1358"/>
    </row>
    <row r="10297" spans="8:9">
      <c r="H10297" s="1358"/>
      <c r="I10297" s="1358"/>
    </row>
    <row r="10298" spans="8:9">
      <c r="H10298" s="1358"/>
      <c r="I10298" s="1358"/>
    </row>
    <row r="10299" spans="8:9">
      <c r="H10299" s="1358"/>
      <c r="I10299" s="1358"/>
    </row>
    <row r="10300" spans="8:9">
      <c r="H10300" s="1358"/>
      <c r="I10300" s="1358"/>
    </row>
    <row r="10301" spans="8:9">
      <c r="H10301" s="1358"/>
      <c r="I10301" s="1358"/>
    </row>
    <row r="10302" spans="8:9">
      <c r="H10302" s="1358"/>
      <c r="I10302" s="1358"/>
    </row>
    <row r="10303" spans="8:9">
      <c r="H10303" s="1358"/>
      <c r="I10303" s="1358"/>
    </row>
    <row r="10304" spans="8:9">
      <c r="H10304" s="1358"/>
      <c r="I10304" s="1358"/>
    </row>
    <row r="10305" spans="8:9">
      <c r="H10305" s="1358"/>
      <c r="I10305" s="1358"/>
    </row>
    <row r="10306" spans="8:9">
      <c r="H10306" s="1358"/>
      <c r="I10306" s="1358"/>
    </row>
    <row r="10307" spans="8:9">
      <c r="H10307" s="1358"/>
      <c r="I10307" s="1358"/>
    </row>
    <row r="10308" spans="8:9">
      <c r="H10308" s="1358"/>
      <c r="I10308" s="1358"/>
    </row>
    <row r="10309" spans="8:9">
      <c r="H10309" s="1358"/>
      <c r="I10309" s="1358"/>
    </row>
    <row r="10310" spans="8:9">
      <c r="H10310" s="1358"/>
      <c r="I10310" s="1358"/>
    </row>
    <row r="10311" spans="8:9">
      <c r="H10311" s="1358"/>
      <c r="I10311" s="1358"/>
    </row>
    <row r="10312" spans="8:9">
      <c r="H10312" s="1358"/>
      <c r="I10312" s="1358"/>
    </row>
    <row r="10313" spans="8:9">
      <c r="H10313" s="1358"/>
      <c r="I10313" s="1358"/>
    </row>
    <row r="10314" spans="8:9">
      <c r="H10314" s="1358"/>
      <c r="I10314" s="1358"/>
    </row>
    <row r="10315" spans="8:9">
      <c r="H10315" s="1358"/>
      <c r="I10315" s="1358"/>
    </row>
    <row r="10316" spans="8:9">
      <c r="H10316" s="1358"/>
      <c r="I10316" s="1358"/>
    </row>
    <row r="10317" spans="8:9">
      <c r="H10317" s="1358"/>
      <c r="I10317" s="1358"/>
    </row>
    <row r="10318" spans="8:9">
      <c r="H10318" s="1358"/>
      <c r="I10318" s="1358"/>
    </row>
    <row r="10319" spans="8:9">
      <c r="H10319" s="1358"/>
      <c r="I10319" s="1358"/>
    </row>
    <row r="10320" spans="8:9">
      <c r="H10320" s="1358"/>
      <c r="I10320" s="1358"/>
    </row>
    <row r="10321" spans="8:9">
      <c r="H10321" s="1358"/>
      <c r="I10321" s="1358"/>
    </row>
    <row r="10322" spans="8:9">
      <c r="H10322" s="1358"/>
      <c r="I10322" s="1358"/>
    </row>
    <row r="10323" spans="8:9">
      <c r="H10323" s="1358"/>
      <c r="I10323" s="1358"/>
    </row>
    <row r="10324" spans="8:9">
      <c r="H10324" s="1358"/>
      <c r="I10324" s="1358"/>
    </row>
    <row r="10325" spans="8:9">
      <c r="H10325" s="1358"/>
      <c r="I10325" s="1358"/>
    </row>
    <row r="10326" spans="8:9">
      <c r="H10326" s="1358"/>
      <c r="I10326" s="1358"/>
    </row>
    <row r="10327" spans="8:9">
      <c r="H10327" s="1358"/>
      <c r="I10327" s="1358"/>
    </row>
    <row r="10328" spans="8:9">
      <c r="H10328" s="1358"/>
      <c r="I10328" s="1358"/>
    </row>
    <row r="10329" spans="8:9">
      <c r="H10329" s="1358"/>
      <c r="I10329" s="1358"/>
    </row>
    <row r="10330" spans="8:9">
      <c r="H10330" s="1358"/>
      <c r="I10330" s="1358"/>
    </row>
    <row r="10331" spans="8:9">
      <c r="H10331" s="1358"/>
      <c r="I10331" s="1358"/>
    </row>
    <row r="10332" spans="8:9">
      <c r="H10332" s="1358"/>
      <c r="I10332" s="1358"/>
    </row>
    <row r="10333" spans="8:9">
      <c r="H10333" s="1358"/>
      <c r="I10333" s="1358"/>
    </row>
    <row r="10334" spans="8:9">
      <c r="H10334" s="1358"/>
      <c r="I10334" s="1358"/>
    </row>
    <row r="10335" spans="8:9">
      <c r="H10335" s="1358"/>
      <c r="I10335" s="1358"/>
    </row>
    <row r="10336" spans="8:9">
      <c r="H10336" s="1358"/>
      <c r="I10336" s="1358"/>
    </row>
    <row r="10337" spans="8:9">
      <c r="H10337" s="1358"/>
      <c r="I10337" s="1358"/>
    </row>
    <row r="10338" spans="8:9">
      <c r="H10338" s="1358"/>
      <c r="I10338" s="1358"/>
    </row>
    <row r="10339" spans="8:9">
      <c r="H10339" s="1358"/>
      <c r="I10339" s="1358"/>
    </row>
    <row r="10340" spans="8:9">
      <c r="H10340" s="1358"/>
      <c r="I10340" s="1358"/>
    </row>
    <row r="10341" spans="8:9">
      <c r="H10341" s="1358"/>
      <c r="I10341" s="1358"/>
    </row>
    <row r="10342" spans="8:9">
      <c r="H10342" s="1358"/>
      <c r="I10342" s="1358"/>
    </row>
    <row r="10343" spans="8:9">
      <c r="H10343" s="1358"/>
      <c r="I10343" s="1358"/>
    </row>
    <row r="10344" spans="8:9">
      <c r="H10344" s="1358"/>
      <c r="I10344" s="1358"/>
    </row>
    <row r="10345" spans="8:9">
      <c r="H10345" s="1358"/>
      <c r="I10345" s="1358"/>
    </row>
    <row r="10346" spans="8:9">
      <c r="H10346" s="1358"/>
      <c r="I10346" s="1358"/>
    </row>
    <row r="10347" spans="8:9">
      <c r="H10347" s="1358"/>
      <c r="I10347" s="1358"/>
    </row>
    <row r="10348" spans="8:9">
      <c r="H10348" s="1358"/>
      <c r="I10348" s="1358"/>
    </row>
    <row r="10349" spans="8:9">
      <c r="H10349" s="1358"/>
      <c r="I10349" s="1358"/>
    </row>
    <row r="10350" spans="8:9">
      <c r="H10350" s="1358"/>
      <c r="I10350" s="1358"/>
    </row>
    <row r="10351" spans="8:9">
      <c r="H10351" s="1358"/>
      <c r="I10351" s="1358"/>
    </row>
    <row r="10352" spans="8:9">
      <c r="H10352" s="1358"/>
      <c r="I10352" s="1358"/>
    </row>
    <row r="10353" spans="8:9">
      <c r="H10353" s="1358"/>
      <c r="I10353" s="1358"/>
    </row>
    <row r="10354" spans="8:9">
      <c r="H10354" s="1358"/>
      <c r="I10354" s="1358"/>
    </row>
    <row r="10355" spans="8:9">
      <c r="H10355" s="1358"/>
      <c r="I10355" s="1358"/>
    </row>
    <row r="10356" spans="8:9">
      <c r="H10356" s="1358"/>
      <c r="I10356" s="1358"/>
    </row>
    <row r="10357" spans="8:9">
      <c r="H10357" s="1358"/>
      <c r="I10357" s="1358"/>
    </row>
    <row r="10358" spans="8:9">
      <c r="H10358" s="1358"/>
      <c r="I10358" s="1358"/>
    </row>
    <row r="10359" spans="8:9">
      <c r="H10359" s="1358"/>
      <c r="I10359" s="1358"/>
    </row>
    <row r="10360" spans="8:9">
      <c r="H10360" s="1358"/>
      <c r="I10360" s="1358"/>
    </row>
    <row r="10361" spans="8:9">
      <c r="H10361" s="1358"/>
      <c r="I10361" s="1358"/>
    </row>
    <row r="10362" spans="8:9">
      <c r="H10362" s="1358"/>
      <c r="I10362" s="1358"/>
    </row>
    <row r="10363" spans="8:9">
      <c r="H10363" s="1358"/>
      <c r="I10363" s="1358"/>
    </row>
    <row r="10364" spans="8:9">
      <c r="H10364" s="1358"/>
      <c r="I10364" s="1358"/>
    </row>
    <row r="10365" spans="8:9">
      <c r="H10365" s="1358"/>
      <c r="I10365" s="1358"/>
    </row>
    <row r="10366" spans="8:9">
      <c r="H10366" s="1358"/>
      <c r="I10366" s="1358"/>
    </row>
    <row r="10367" spans="8:9">
      <c r="H10367" s="1358"/>
      <c r="I10367" s="1358"/>
    </row>
    <row r="10368" spans="8:9">
      <c r="H10368" s="1358"/>
      <c r="I10368" s="1358"/>
    </row>
    <row r="10369" spans="8:9">
      <c r="H10369" s="1358"/>
      <c r="I10369" s="1358"/>
    </row>
    <row r="10370" spans="8:9">
      <c r="H10370" s="1358"/>
      <c r="I10370" s="1358"/>
    </row>
    <row r="10371" spans="8:9">
      <c r="H10371" s="1358"/>
      <c r="I10371" s="1358"/>
    </row>
    <row r="10372" spans="8:9">
      <c r="H10372" s="1358"/>
      <c r="I10372" s="1358"/>
    </row>
    <row r="10373" spans="8:9">
      <c r="H10373" s="1358"/>
      <c r="I10373" s="1358"/>
    </row>
    <row r="10374" spans="8:9">
      <c r="H10374" s="1358"/>
      <c r="I10374" s="1358"/>
    </row>
    <row r="10375" spans="8:9">
      <c r="H10375" s="1358"/>
      <c r="I10375" s="1358"/>
    </row>
    <row r="10376" spans="8:9">
      <c r="H10376" s="1358"/>
      <c r="I10376" s="1358"/>
    </row>
    <row r="10377" spans="8:9">
      <c r="H10377" s="1358"/>
      <c r="I10377" s="1358"/>
    </row>
    <row r="10378" spans="8:9">
      <c r="H10378" s="1358"/>
      <c r="I10378" s="1358"/>
    </row>
    <row r="10379" spans="8:9">
      <c r="H10379" s="1358"/>
      <c r="I10379" s="1358"/>
    </row>
    <row r="10380" spans="8:9">
      <c r="H10380" s="1358"/>
      <c r="I10380" s="1358"/>
    </row>
    <row r="10381" spans="8:9">
      <c r="H10381" s="1358"/>
      <c r="I10381" s="1358"/>
    </row>
    <row r="10382" spans="8:9">
      <c r="H10382" s="1358"/>
      <c r="I10382" s="1358"/>
    </row>
    <row r="10383" spans="8:9">
      <c r="H10383" s="1358"/>
      <c r="I10383" s="1358"/>
    </row>
    <row r="10384" spans="8:9">
      <c r="H10384" s="1358"/>
      <c r="I10384" s="1358"/>
    </row>
    <row r="10385" spans="8:9">
      <c r="H10385" s="1358"/>
      <c r="I10385" s="1358"/>
    </row>
    <row r="10386" spans="8:9">
      <c r="H10386" s="1358"/>
      <c r="I10386" s="1358"/>
    </row>
    <row r="10387" spans="8:9">
      <c r="H10387" s="1358"/>
      <c r="I10387" s="1358"/>
    </row>
    <row r="10388" spans="8:9">
      <c r="H10388" s="1358"/>
      <c r="I10388" s="1358"/>
    </row>
    <row r="10389" spans="8:9">
      <c r="H10389" s="1358"/>
      <c r="I10389" s="1358"/>
    </row>
    <row r="10390" spans="8:9">
      <c r="H10390" s="1358"/>
      <c r="I10390" s="1358"/>
    </row>
    <row r="10391" spans="8:9">
      <c r="H10391" s="1358"/>
      <c r="I10391" s="1358"/>
    </row>
    <row r="10392" spans="8:9">
      <c r="H10392" s="1358"/>
      <c r="I10392" s="1358"/>
    </row>
    <row r="10393" spans="8:9">
      <c r="H10393" s="1358"/>
      <c r="I10393" s="1358"/>
    </row>
    <row r="10394" spans="8:9">
      <c r="H10394" s="1358"/>
      <c r="I10394" s="1358"/>
    </row>
    <row r="10395" spans="8:9">
      <c r="H10395" s="1358"/>
      <c r="I10395" s="1358"/>
    </row>
    <row r="10396" spans="8:9">
      <c r="H10396" s="1358"/>
      <c r="I10396" s="1358"/>
    </row>
    <row r="10397" spans="8:9">
      <c r="H10397" s="1358"/>
      <c r="I10397" s="1358"/>
    </row>
    <row r="10398" spans="8:9">
      <c r="H10398" s="1358"/>
      <c r="I10398" s="1358"/>
    </row>
    <row r="10399" spans="8:9">
      <c r="H10399" s="1358"/>
      <c r="I10399" s="1358"/>
    </row>
    <row r="10400" spans="8:9">
      <c r="H10400" s="1358"/>
      <c r="I10400" s="1358"/>
    </row>
    <row r="10401" spans="8:9">
      <c r="H10401" s="1358"/>
      <c r="I10401" s="1358"/>
    </row>
    <row r="10402" spans="8:9">
      <c r="H10402" s="1358"/>
      <c r="I10402" s="1358"/>
    </row>
    <row r="10403" spans="8:9">
      <c r="H10403" s="1358"/>
      <c r="I10403" s="1358"/>
    </row>
    <row r="10404" spans="8:9">
      <c r="H10404" s="1358"/>
      <c r="I10404" s="1358"/>
    </row>
    <row r="10405" spans="8:9">
      <c r="H10405" s="1358"/>
      <c r="I10405" s="1358"/>
    </row>
    <row r="10406" spans="8:9">
      <c r="H10406" s="1358"/>
      <c r="I10406" s="1358"/>
    </row>
    <row r="10407" spans="8:9">
      <c r="H10407" s="1358"/>
      <c r="I10407" s="1358"/>
    </row>
    <row r="10408" spans="8:9">
      <c r="H10408" s="1358"/>
      <c r="I10408" s="1358"/>
    </row>
    <row r="10409" spans="8:9">
      <c r="H10409" s="1358"/>
      <c r="I10409" s="1358"/>
    </row>
    <row r="10410" spans="8:9">
      <c r="H10410" s="1358"/>
      <c r="I10410" s="1358"/>
    </row>
    <row r="10411" spans="8:9">
      <c r="H10411" s="1358"/>
      <c r="I10411" s="1358"/>
    </row>
    <row r="10412" spans="8:9">
      <c r="H10412" s="1358"/>
      <c r="I10412" s="1358"/>
    </row>
    <row r="10413" spans="8:9">
      <c r="H10413" s="1358"/>
      <c r="I10413" s="1358"/>
    </row>
    <row r="10414" spans="8:9">
      <c r="H10414" s="1358"/>
      <c r="I10414" s="1358"/>
    </row>
    <row r="10415" spans="8:9">
      <c r="H10415" s="1358"/>
      <c r="I10415" s="1358"/>
    </row>
    <row r="10416" spans="8:9">
      <c r="H10416" s="1358"/>
      <c r="I10416" s="1358"/>
    </row>
    <row r="10417" spans="8:9">
      <c r="H10417" s="1358"/>
      <c r="I10417" s="1358"/>
    </row>
    <row r="10418" spans="8:9">
      <c r="H10418" s="1358"/>
      <c r="I10418" s="1358"/>
    </row>
    <row r="10419" spans="8:9">
      <c r="H10419" s="1358"/>
      <c r="I10419" s="1358"/>
    </row>
    <row r="10420" spans="8:9">
      <c r="H10420" s="1358"/>
      <c r="I10420" s="1358"/>
    </row>
    <row r="10421" spans="8:9">
      <c r="H10421" s="1358"/>
      <c r="I10421" s="1358"/>
    </row>
    <row r="10422" spans="8:9">
      <c r="H10422" s="1358"/>
      <c r="I10422" s="1358"/>
    </row>
    <row r="10423" spans="8:9">
      <c r="H10423" s="1358"/>
      <c r="I10423" s="1358"/>
    </row>
    <row r="10424" spans="8:9">
      <c r="H10424" s="1358"/>
      <c r="I10424" s="1358"/>
    </row>
    <row r="10425" spans="8:9">
      <c r="H10425" s="1358"/>
      <c r="I10425" s="1358"/>
    </row>
    <row r="10426" spans="8:9">
      <c r="H10426" s="1358"/>
      <c r="I10426" s="1358"/>
    </row>
    <row r="10427" spans="8:9">
      <c r="H10427" s="1358"/>
      <c r="I10427" s="1358"/>
    </row>
    <row r="10428" spans="8:9">
      <c r="H10428" s="1358"/>
      <c r="I10428" s="1358"/>
    </row>
    <row r="10429" spans="8:9">
      <c r="H10429" s="1358"/>
      <c r="I10429" s="1358"/>
    </row>
    <row r="10430" spans="8:9">
      <c r="H10430" s="1358"/>
      <c r="I10430" s="1358"/>
    </row>
    <row r="10431" spans="8:9">
      <c r="H10431" s="1358"/>
      <c r="I10431" s="1358"/>
    </row>
    <row r="10432" spans="8:9">
      <c r="H10432" s="1358"/>
      <c r="I10432" s="1358"/>
    </row>
    <row r="10433" spans="8:9">
      <c r="H10433" s="1358"/>
      <c r="I10433" s="1358"/>
    </row>
    <row r="10434" spans="8:9">
      <c r="H10434" s="1358"/>
      <c r="I10434" s="1358"/>
    </row>
    <row r="10435" spans="8:9">
      <c r="H10435" s="1358"/>
      <c r="I10435" s="1358"/>
    </row>
    <row r="10436" spans="8:9">
      <c r="H10436" s="1358"/>
      <c r="I10436" s="1358"/>
    </row>
    <row r="10437" spans="8:9">
      <c r="H10437" s="1358"/>
      <c r="I10437" s="1358"/>
    </row>
    <row r="10438" spans="8:9">
      <c r="H10438" s="1358"/>
      <c r="I10438" s="1358"/>
    </row>
    <row r="10439" spans="8:9">
      <c r="H10439" s="1358"/>
      <c r="I10439" s="1358"/>
    </row>
    <row r="10440" spans="8:9">
      <c r="H10440" s="1358"/>
      <c r="I10440" s="1358"/>
    </row>
    <row r="10441" spans="8:9">
      <c r="H10441" s="1358"/>
      <c r="I10441" s="1358"/>
    </row>
    <row r="10442" spans="8:9">
      <c r="H10442" s="1358"/>
      <c r="I10442" s="1358"/>
    </row>
    <row r="10443" spans="8:9">
      <c r="H10443" s="1358"/>
      <c r="I10443" s="1358"/>
    </row>
    <row r="10444" spans="8:9">
      <c r="H10444" s="1358"/>
      <c r="I10444" s="1358"/>
    </row>
    <row r="10445" spans="8:9">
      <c r="H10445" s="1358"/>
      <c r="I10445" s="1358"/>
    </row>
    <row r="10446" spans="8:9">
      <c r="H10446" s="1358"/>
      <c r="I10446" s="1358"/>
    </row>
    <row r="10447" spans="8:9">
      <c r="H10447" s="1358"/>
      <c r="I10447" s="1358"/>
    </row>
    <row r="10448" spans="8:9">
      <c r="H10448" s="1358"/>
      <c r="I10448" s="1358"/>
    </row>
    <row r="10449" spans="8:9">
      <c r="H10449" s="1358"/>
      <c r="I10449" s="1358"/>
    </row>
    <row r="10450" spans="8:9">
      <c r="H10450" s="1358"/>
      <c r="I10450" s="1358"/>
    </row>
    <row r="10451" spans="8:9">
      <c r="H10451" s="1358"/>
      <c r="I10451" s="1358"/>
    </row>
    <row r="10452" spans="8:9">
      <c r="H10452" s="1358"/>
      <c r="I10452" s="1358"/>
    </row>
    <row r="10453" spans="8:9">
      <c r="H10453" s="1358"/>
      <c r="I10453" s="1358"/>
    </row>
    <row r="10454" spans="8:9">
      <c r="H10454" s="1358"/>
      <c r="I10454" s="1358"/>
    </row>
    <row r="10455" spans="8:9">
      <c r="H10455" s="1358"/>
      <c r="I10455" s="1358"/>
    </row>
    <row r="10456" spans="8:9">
      <c r="H10456" s="1358"/>
      <c r="I10456" s="1358"/>
    </row>
    <row r="10457" spans="8:9">
      <c r="H10457" s="1358"/>
      <c r="I10457" s="1358"/>
    </row>
    <row r="10458" spans="8:9">
      <c r="H10458" s="1358"/>
      <c r="I10458" s="1358"/>
    </row>
    <row r="10459" spans="8:9">
      <c r="H10459" s="1358"/>
      <c r="I10459" s="1358"/>
    </row>
    <row r="10460" spans="8:9">
      <c r="H10460" s="1358"/>
      <c r="I10460" s="1358"/>
    </row>
    <row r="10461" spans="8:9">
      <c r="H10461" s="1358"/>
      <c r="I10461" s="1358"/>
    </row>
    <row r="10462" spans="8:9">
      <c r="H10462" s="1358"/>
      <c r="I10462" s="1358"/>
    </row>
    <row r="10463" spans="8:9">
      <c r="H10463" s="1358"/>
      <c r="I10463" s="1358"/>
    </row>
    <row r="10464" spans="8:9">
      <c r="H10464" s="1358"/>
      <c r="I10464" s="1358"/>
    </row>
    <row r="10465" spans="8:9">
      <c r="H10465" s="1358"/>
      <c r="I10465" s="1358"/>
    </row>
    <row r="10466" spans="8:9">
      <c r="H10466" s="1358"/>
      <c r="I10466" s="1358"/>
    </row>
    <row r="10467" spans="8:9">
      <c r="H10467" s="1358"/>
      <c r="I10467" s="1358"/>
    </row>
    <row r="10468" spans="8:9">
      <c r="H10468" s="1358"/>
      <c r="I10468" s="1358"/>
    </row>
    <row r="10469" spans="8:9">
      <c r="H10469" s="1358"/>
      <c r="I10469" s="1358"/>
    </row>
    <row r="10470" spans="8:9">
      <c r="H10470" s="1358"/>
      <c r="I10470" s="1358"/>
    </row>
    <row r="10471" spans="8:9">
      <c r="H10471" s="1358"/>
      <c r="I10471" s="1358"/>
    </row>
    <row r="10472" spans="8:9">
      <c r="H10472" s="1358"/>
      <c r="I10472" s="1358"/>
    </row>
    <row r="10473" spans="8:9">
      <c r="H10473" s="1358"/>
      <c r="I10473" s="1358"/>
    </row>
    <row r="10474" spans="8:9">
      <c r="H10474" s="1358"/>
      <c r="I10474" s="1358"/>
    </row>
    <row r="10475" spans="8:9">
      <c r="H10475" s="1358"/>
      <c r="I10475" s="1358"/>
    </row>
    <row r="10476" spans="8:9">
      <c r="H10476" s="1358"/>
      <c r="I10476" s="1358"/>
    </row>
    <row r="10477" spans="8:9">
      <c r="H10477" s="1358"/>
      <c r="I10477" s="1358"/>
    </row>
    <row r="10478" spans="8:9">
      <c r="H10478" s="1358"/>
      <c r="I10478" s="1358"/>
    </row>
    <row r="10479" spans="8:9">
      <c r="H10479" s="1358"/>
      <c r="I10479" s="1358"/>
    </row>
    <row r="10480" spans="8:9">
      <c r="H10480" s="1358"/>
      <c r="I10480" s="1358"/>
    </row>
    <row r="10481" spans="8:9">
      <c r="H10481" s="1358"/>
      <c r="I10481" s="1358"/>
    </row>
    <row r="10482" spans="8:9">
      <c r="H10482" s="1358"/>
      <c r="I10482" s="1358"/>
    </row>
    <row r="10483" spans="8:9">
      <c r="H10483" s="1358"/>
      <c r="I10483" s="1358"/>
    </row>
    <row r="10484" spans="8:9">
      <c r="H10484" s="1358"/>
      <c r="I10484" s="1358"/>
    </row>
    <row r="10485" spans="8:9">
      <c r="H10485" s="1358"/>
      <c r="I10485" s="1358"/>
    </row>
    <row r="10486" spans="8:9">
      <c r="H10486" s="1358"/>
      <c r="I10486" s="1358"/>
    </row>
    <row r="10487" spans="8:9">
      <c r="H10487" s="1358"/>
      <c r="I10487" s="1358"/>
    </row>
    <row r="10488" spans="8:9">
      <c r="H10488" s="1358"/>
      <c r="I10488" s="1358"/>
    </row>
    <row r="10489" spans="8:9">
      <c r="H10489" s="1358"/>
      <c r="I10489" s="1358"/>
    </row>
    <row r="10490" spans="8:9">
      <c r="H10490" s="1358"/>
      <c r="I10490" s="1358"/>
    </row>
    <row r="10491" spans="8:9">
      <c r="H10491" s="1358"/>
      <c r="I10491" s="1358"/>
    </row>
    <row r="10492" spans="8:9">
      <c r="H10492" s="1358"/>
      <c r="I10492" s="1358"/>
    </row>
    <row r="10493" spans="8:9">
      <c r="H10493" s="1358"/>
      <c r="I10493" s="1358"/>
    </row>
    <row r="10494" spans="8:9">
      <c r="H10494" s="1358"/>
      <c r="I10494" s="1358"/>
    </row>
    <row r="10495" spans="8:9">
      <c r="H10495" s="1358"/>
      <c r="I10495" s="1358"/>
    </row>
    <row r="10496" spans="8:9">
      <c r="H10496" s="1358"/>
      <c r="I10496" s="1358"/>
    </row>
    <row r="10497" spans="8:9">
      <c r="H10497" s="1358"/>
      <c r="I10497" s="1358"/>
    </row>
    <row r="10498" spans="8:9">
      <c r="H10498" s="1358"/>
      <c r="I10498" s="1358"/>
    </row>
    <row r="10499" spans="8:9">
      <c r="H10499" s="1358"/>
      <c r="I10499" s="1358"/>
    </row>
    <row r="10500" spans="8:9">
      <c r="H10500" s="1358"/>
      <c r="I10500" s="1358"/>
    </row>
    <row r="10501" spans="8:9">
      <c r="H10501" s="1358"/>
      <c r="I10501" s="1358"/>
    </row>
    <row r="10502" spans="8:9">
      <c r="H10502" s="1358"/>
      <c r="I10502" s="1358"/>
    </row>
    <row r="10503" spans="8:9">
      <c r="H10503" s="1358"/>
      <c r="I10503" s="1358"/>
    </row>
    <row r="10504" spans="8:9">
      <c r="H10504" s="1358"/>
      <c r="I10504" s="1358"/>
    </row>
    <row r="10505" spans="8:9">
      <c r="H10505" s="1358"/>
      <c r="I10505" s="1358"/>
    </row>
    <row r="10506" spans="8:9">
      <c r="H10506" s="1358"/>
      <c r="I10506" s="1358"/>
    </row>
    <row r="10507" spans="8:9">
      <c r="H10507" s="1358"/>
      <c r="I10507" s="1358"/>
    </row>
    <row r="10508" spans="8:9">
      <c r="H10508" s="1358"/>
      <c r="I10508" s="1358"/>
    </row>
    <row r="10509" spans="8:9">
      <c r="H10509" s="1358"/>
      <c r="I10509" s="1358"/>
    </row>
    <row r="10510" spans="8:9">
      <c r="H10510" s="1358"/>
      <c r="I10510" s="1358"/>
    </row>
    <row r="10511" spans="8:9">
      <c r="H10511" s="1358"/>
      <c r="I10511" s="1358"/>
    </row>
    <row r="10512" spans="8:9">
      <c r="H10512" s="1358"/>
      <c r="I10512" s="1358"/>
    </row>
    <row r="10513" spans="8:9">
      <c r="H10513" s="1358"/>
      <c r="I10513" s="1358"/>
    </row>
    <row r="10514" spans="8:9">
      <c r="H10514" s="1358"/>
      <c r="I10514" s="1358"/>
    </row>
    <row r="10515" spans="8:9">
      <c r="H10515" s="1358"/>
      <c r="I10515" s="1358"/>
    </row>
    <row r="10516" spans="8:9">
      <c r="H10516" s="1358"/>
      <c r="I10516" s="1358"/>
    </row>
    <row r="10517" spans="8:9">
      <c r="H10517" s="1358"/>
      <c r="I10517" s="1358"/>
    </row>
    <row r="10518" spans="8:9">
      <c r="H10518" s="1358"/>
      <c r="I10518" s="1358"/>
    </row>
    <row r="10519" spans="8:9">
      <c r="H10519" s="1358"/>
      <c r="I10519" s="1358"/>
    </row>
    <row r="10520" spans="8:9">
      <c r="H10520" s="1358"/>
      <c r="I10520" s="1358"/>
    </row>
    <row r="10521" spans="8:9">
      <c r="H10521" s="1358"/>
      <c r="I10521" s="1358"/>
    </row>
    <row r="10522" spans="8:9">
      <c r="H10522" s="1358"/>
      <c r="I10522" s="1358"/>
    </row>
    <row r="10523" spans="8:9">
      <c r="H10523" s="1358"/>
      <c r="I10523" s="1358"/>
    </row>
    <row r="10524" spans="8:9">
      <c r="H10524" s="1358"/>
      <c r="I10524" s="1358"/>
    </row>
    <row r="10525" spans="8:9">
      <c r="H10525" s="1358"/>
      <c r="I10525" s="1358"/>
    </row>
    <row r="10526" spans="8:9">
      <c r="H10526" s="1358"/>
      <c r="I10526" s="1358"/>
    </row>
    <row r="10527" spans="8:9">
      <c r="H10527" s="1358"/>
      <c r="I10527" s="1358"/>
    </row>
    <row r="10528" spans="8:9">
      <c r="H10528" s="1358"/>
      <c r="I10528" s="1358"/>
    </row>
    <row r="10529" spans="8:9">
      <c r="H10529" s="1358"/>
      <c r="I10529" s="1358"/>
    </row>
    <row r="10530" spans="8:9">
      <c r="H10530" s="1358"/>
      <c r="I10530" s="1358"/>
    </row>
    <row r="10531" spans="8:9">
      <c r="H10531" s="1358"/>
      <c r="I10531" s="1358"/>
    </row>
    <row r="10532" spans="8:9">
      <c r="H10532" s="1358"/>
      <c r="I10532" s="1358"/>
    </row>
    <row r="10533" spans="8:9">
      <c r="H10533" s="1358"/>
      <c r="I10533" s="1358"/>
    </row>
    <row r="10534" spans="8:9">
      <c r="H10534" s="1358"/>
      <c r="I10534" s="1358"/>
    </row>
    <row r="10535" spans="8:9">
      <c r="H10535" s="1358"/>
      <c r="I10535" s="1358"/>
    </row>
    <row r="10536" spans="8:9">
      <c r="H10536" s="1358"/>
      <c r="I10536" s="1358"/>
    </row>
    <row r="10537" spans="8:9">
      <c r="H10537" s="1358"/>
      <c r="I10537" s="1358"/>
    </row>
    <row r="10538" spans="8:9">
      <c r="H10538" s="1358"/>
      <c r="I10538" s="1358"/>
    </row>
    <row r="10539" spans="8:9">
      <c r="H10539" s="1358"/>
      <c r="I10539" s="1358"/>
    </row>
    <row r="10540" spans="8:9">
      <c r="H10540" s="1358"/>
      <c r="I10540" s="1358"/>
    </row>
    <row r="10541" spans="8:9">
      <c r="H10541" s="1358"/>
      <c r="I10541" s="1358"/>
    </row>
    <row r="10542" spans="8:9">
      <c r="H10542" s="1358"/>
      <c r="I10542" s="1358"/>
    </row>
    <row r="10543" spans="8:9">
      <c r="H10543" s="1358"/>
      <c r="I10543" s="1358"/>
    </row>
    <row r="10544" spans="8:9">
      <c r="H10544" s="1358"/>
      <c r="I10544" s="1358"/>
    </row>
    <row r="10545" spans="8:9">
      <c r="H10545" s="1358"/>
      <c r="I10545" s="1358"/>
    </row>
    <row r="10546" spans="8:9">
      <c r="H10546" s="1358"/>
      <c r="I10546" s="1358"/>
    </row>
    <row r="10547" spans="8:9">
      <c r="H10547" s="1358"/>
      <c r="I10547" s="1358"/>
    </row>
    <row r="10548" spans="8:9">
      <c r="H10548" s="1358"/>
      <c r="I10548" s="1358"/>
    </row>
    <row r="10549" spans="8:9">
      <c r="H10549" s="1358"/>
      <c r="I10549" s="1358"/>
    </row>
    <row r="10550" spans="8:9">
      <c r="H10550" s="1358"/>
      <c r="I10550" s="1358"/>
    </row>
    <row r="10551" spans="8:9">
      <c r="H10551" s="1358"/>
      <c r="I10551" s="1358"/>
    </row>
    <row r="10552" spans="8:9">
      <c r="H10552" s="1358"/>
      <c r="I10552" s="1358"/>
    </row>
    <row r="10553" spans="8:9">
      <c r="H10553" s="1358"/>
      <c r="I10553" s="1358"/>
    </row>
    <row r="10554" spans="8:9">
      <c r="H10554" s="1358"/>
      <c r="I10554" s="1358"/>
    </row>
    <row r="10555" spans="8:9">
      <c r="H10555" s="1358"/>
      <c r="I10555" s="1358"/>
    </row>
    <row r="10556" spans="8:9">
      <c r="H10556" s="1358"/>
      <c r="I10556" s="1358"/>
    </row>
    <row r="10557" spans="8:9">
      <c r="H10557" s="1358"/>
      <c r="I10557" s="1358"/>
    </row>
    <row r="10558" spans="8:9">
      <c r="H10558" s="1358"/>
      <c r="I10558" s="1358"/>
    </row>
    <row r="10559" spans="8:9">
      <c r="H10559" s="1358"/>
      <c r="I10559" s="1358"/>
    </row>
    <row r="10560" spans="8:9">
      <c r="H10560" s="1358"/>
      <c r="I10560" s="1358"/>
    </row>
    <row r="10561" spans="8:9">
      <c r="H10561" s="1358"/>
      <c r="I10561" s="1358"/>
    </row>
    <row r="10562" spans="8:9">
      <c r="H10562" s="1358"/>
      <c r="I10562" s="1358"/>
    </row>
    <row r="10563" spans="8:9">
      <c r="H10563" s="1358"/>
      <c r="I10563" s="1358"/>
    </row>
    <row r="10564" spans="8:9">
      <c r="H10564" s="1358"/>
      <c r="I10564" s="1358"/>
    </row>
    <row r="10565" spans="8:9">
      <c r="H10565" s="1358"/>
      <c r="I10565" s="1358"/>
    </row>
    <row r="10566" spans="8:9">
      <c r="H10566" s="1358"/>
      <c r="I10566" s="1358"/>
    </row>
    <row r="10567" spans="8:9">
      <c r="H10567" s="1358"/>
      <c r="I10567" s="1358"/>
    </row>
    <row r="10568" spans="8:9">
      <c r="H10568" s="1358"/>
      <c r="I10568" s="1358"/>
    </row>
    <row r="10569" spans="8:9">
      <c r="H10569" s="1358"/>
      <c r="I10569" s="1358"/>
    </row>
    <row r="10570" spans="8:9">
      <c r="H10570" s="1358"/>
      <c r="I10570" s="1358"/>
    </row>
    <row r="10571" spans="8:9">
      <c r="H10571" s="1358"/>
      <c r="I10571" s="1358"/>
    </row>
    <row r="10572" spans="8:9">
      <c r="H10572" s="1358"/>
      <c r="I10572" s="1358"/>
    </row>
    <row r="10573" spans="8:9">
      <c r="H10573" s="1358"/>
      <c r="I10573" s="1358"/>
    </row>
    <row r="10574" spans="8:9">
      <c r="H10574" s="1358"/>
      <c r="I10574" s="1358"/>
    </row>
    <row r="10575" spans="8:9">
      <c r="H10575" s="1358"/>
      <c r="I10575" s="1358"/>
    </row>
    <row r="10576" spans="8:9">
      <c r="H10576" s="1358"/>
      <c r="I10576" s="1358"/>
    </row>
    <row r="10577" spans="8:9">
      <c r="H10577" s="1358"/>
      <c r="I10577" s="1358"/>
    </row>
    <row r="10578" spans="8:9">
      <c r="H10578" s="1358"/>
      <c r="I10578" s="1358"/>
    </row>
    <row r="10579" spans="8:9">
      <c r="H10579" s="1358"/>
      <c r="I10579" s="1358"/>
    </row>
    <row r="10580" spans="8:9">
      <c r="H10580" s="1358"/>
      <c r="I10580" s="1358"/>
    </row>
    <row r="10581" spans="8:9">
      <c r="H10581" s="1358"/>
      <c r="I10581" s="1358"/>
    </row>
    <row r="10582" spans="8:9">
      <c r="H10582" s="1358"/>
      <c r="I10582" s="1358"/>
    </row>
    <row r="10583" spans="8:9">
      <c r="H10583" s="1358"/>
      <c r="I10583" s="1358"/>
    </row>
    <row r="10584" spans="8:9">
      <c r="H10584" s="1358"/>
      <c r="I10584" s="1358"/>
    </row>
    <row r="10585" spans="8:9">
      <c r="H10585" s="1358"/>
      <c r="I10585" s="1358"/>
    </row>
    <row r="10586" spans="8:9">
      <c r="H10586" s="1358"/>
      <c r="I10586" s="1358"/>
    </row>
    <row r="10587" spans="8:9">
      <c r="H10587" s="1358"/>
      <c r="I10587" s="1358"/>
    </row>
    <row r="10588" spans="8:9">
      <c r="H10588" s="1358"/>
      <c r="I10588" s="1358"/>
    </row>
    <row r="10589" spans="8:9">
      <c r="H10589" s="1358"/>
      <c r="I10589" s="1358"/>
    </row>
    <row r="10590" spans="8:9">
      <c r="H10590" s="1358"/>
      <c r="I10590" s="1358"/>
    </row>
    <row r="10591" spans="8:9">
      <c r="H10591" s="1358"/>
      <c r="I10591" s="1358"/>
    </row>
    <row r="10592" spans="8:9">
      <c r="H10592" s="1358"/>
      <c r="I10592" s="1358"/>
    </row>
    <row r="10593" spans="8:9">
      <c r="H10593" s="1358"/>
      <c r="I10593" s="1358"/>
    </row>
    <row r="10594" spans="8:9">
      <c r="H10594" s="1358"/>
      <c r="I10594" s="1358"/>
    </row>
    <row r="10595" spans="8:9">
      <c r="H10595" s="1358"/>
      <c r="I10595" s="1358"/>
    </row>
    <row r="10596" spans="8:9">
      <c r="H10596" s="1358"/>
      <c r="I10596" s="1358"/>
    </row>
    <row r="10597" spans="8:9">
      <c r="H10597" s="1358"/>
      <c r="I10597" s="1358"/>
    </row>
    <row r="10598" spans="8:9">
      <c r="H10598" s="1358"/>
      <c r="I10598" s="1358"/>
    </row>
    <row r="10599" spans="8:9">
      <c r="H10599" s="1358"/>
      <c r="I10599" s="1358"/>
    </row>
    <row r="10600" spans="8:9">
      <c r="H10600" s="1358"/>
      <c r="I10600" s="1358"/>
    </row>
    <row r="10601" spans="8:9">
      <c r="H10601" s="1358"/>
      <c r="I10601" s="1358"/>
    </row>
    <row r="10602" spans="8:9">
      <c r="H10602" s="1358"/>
      <c r="I10602" s="1358"/>
    </row>
    <row r="10603" spans="8:9">
      <c r="H10603" s="1358"/>
      <c r="I10603" s="1358"/>
    </row>
    <row r="10604" spans="8:9">
      <c r="H10604" s="1358"/>
      <c r="I10604" s="1358"/>
    </row>
    <row r="10605" spans="8:9">
      <c r="H10605" s="1358"/>
      <c r="I10605" s="1358"/>
    </row>
    <row r="10606" spans="8:9">
      <c r="H10606" s="1358"/>
      <c r="I10606" s="1358"/>
    </row>
    <row r="10607" spans="8:9">
      <c r="H10607" s="1358"/>
      <c r="I10607" s="1358"/>
    </row>
    <row r="10608" spans="8:9">
      <c r="H10608" s="1358"/>
      <c r="I10608" s="1358"/>
    </row>
    <row r="10609" spans="8:9">
      <c r="H10609" s="1358"/>
      <c r="I10609" s="1358"/>
    </row>
    <row r="10610" spans="8:9">
      <c r="H10610" s="1358"/>
      <c r="I10610" s="1358"/>
    </row>
    <row r="10611" spans="8:9">
      <c r="H10611" s="1358"/>
      <c r="I10611" s="1358"/>
    </row>
    <row r="10612" spans="8:9">
      <c r="H10612" s="1358"/>
      <c r="I10612" s="1358"/>
    </row>
    <row r="10613" spans="8:9">
      <c r="H10613" s="1358"/>
      <c r="I10613" s="1358"/>
    </row>
    <row r="10614" spans="8:9">
      <c r="H10614" s="1358"/>
      <c r="I10614" s="1358"/>
    </row>
    <row r="10615" spans="8:9">
      <c r="H10615" s="1358"/>
      <c r="I10615" s="1358"/>
    </row>
    <row r="10616" spans="8:9">
      <c r="H10616" s="1358"/>
      <c r="I10616" s="1358"/>
    </row>
    <row r="10617" spans="8:9">
      <c r="H10617" s="1358"/>
      <c r="I10617" s="1358"/>
    </row>
    <row r="10618" spans="8:9">
      <c r="H10618" s="1358"/>
      <c r="I10618" s="1358"/>
    </row>
    <row r="10619" spans="8:9">
      <c r="H10619" s="1358"/>
      <c r="I10619" s="1358"/>
    </row>
    <row r="10620" spans="8:9">
      <c r="H10620" s="1358"/>
      <c r="I10620" s="1358"/>
    </row>
    <row r="10621" spans="8:9">
      <c r="H10621" s="1358"/>
      <c r="I10621" s="1358"/>
    </row>
    <row r="10622" spans="8:9">
      <c r="H10622" s="1358"/>
      <c r="I10622" s="1358"/>
    </row>
    <row r="10623" spans="8:9">
      <c r="H10623" s="1358"/>
      <c r="I10623" s="1358"/>
    </row>
    <row r="10624" spans="8:9">
      <c r="H10624" s="1358"/>
      <c r="I10624" s="1358"/>
    </row>
    <row r="10625" spans="8:9">
      <c r="H10625" s="1358"/>
      <c r="I10625" s="1358"/>
    </row>
    <row r="10626" spans="8:9">
      <c r="H10626" s="1358"/>
      <c r="I10626" s="1358"/>
    </row>
    <row r="10627" spans="8:9">
      <c r="H10627" s="1358"/>
      <c r="I10627" s="1358"/>
    </row>
    <row r="10628" spans="8:9">
      <c r="H10628" s="1358"/>
      <c r="I10628" s="1358"/>
    </row>
    <row r="10629" spans="8:9">
      <c r="H10629" s="1358"/>
      <c r="I10629" s="1358"/>
    </row>
    <row r="10630" spans="8:9">
      <c r="H10630" s="1358"/>
      <c r="I10630" s="1358"/>
    </row>
    <row r="10631" spans="8:9">
      <c r="H10631" s="1358"/>
      <c r="I10631" s="1358"/>
    </row>
    <row r="10632" spans="8:9">
      <c r="H10632" s="1358"/>
      <c r="I10632" s="1358"/>
    </row>
    <row r="10633" spans="8:9">
      <c r="H10633" s="1358"/>
      <c r="I10633" s="1358"/>
    </row>
    <row r="10634" spans="8:9">
      <c r="H10634" s="1358"/>
      <c r="I10634" s="1358"/>
    </row>
    <row r="10635" spans="8:9">
      <c r="H10635" s="1358"/>
      <c r="I10635" s="1358"/>
    </row>
    <row r="10636" spans="8:9">
      <c r="H10636" s="1358"/>
      <c r="I10636" s="1358"/>
    </row>
    <row r="10637" spans="8:9">
      <c r="H10637" s="1358"/>
      <c r="I10637" s="1358"/>
    </row>
    <row r="10638" spans="8:9">
      <c r="H10638" s="1358"/>
      <c r="I10638" s="1358"/>
    </row>
    <row r="10639" spans="8:9">
      <c r="H10639" s="1358"/>
      <c r="I10639" s="1358"/>
    </row>
    <row r="10640" spans="8:9">
      <c r="H10640" s="1358"/>
      <c r="I10640" s="1358"/>
    </row>
    <row r="10641" spans="8:9">
      <c r="H10641" s="1358"/>
      <c r="I10641" s="1358"/>
    </row>
    <row r="10642" spans="8:9">
      <c r="H10642" s="1358"/>
      <c r="I10642" s="1358"/>
    </row>
    <row r="10643" spans="8:9">
      <c r="H10643" s="1358"/>
      <c r="I10643" s="1358"/>
    </row>
    <row r="10644" spans="8:9">
      <c r="H10644" s="1358"/>
      <c r="I10644" s="1358"/>
    </row>
    <row r="10645" spans="8:9">
      <c r="H10645" s="1358"/>
      <c r="I10645" s="1358"/>
    </row>
    <row r="10646" spans="8:9">
      <c r="H10646" s="1358"/>
      <c r="I10646" s="1358"/>
    </row>
    <row r="10647" spans="8:9">
      <c r="H10647" s="1358"/>
      <c r="I10647" s="1358"/>
    </row>
    <row r="10648" spans="8:9">
      <c r="H10648" s="1358"/>
      <c r="I10648" s="1358"/>
    </row>
    <row r="10649" spans="8:9">
      <c r="H10649" s="1358"/>
      <c r="I10649" s="1358"/>
    </row>
    <row r="10650" spans="8:9">
      <c r="H10650" s="1358"/>
      <c r="I10650" s="1358"/>
    </row>
    <row r="10651" spans="8:9">
      <c r="H10651" s="1358"/>
      <c r="I10651" s="1358"/>
    </row>
    <row r="10652" spans="8:9">
      <c r="H10652" s="1358"/>
      <c r="I10652" s="1358"/>
    </row>
    <row r="10653" spans="8:9">
      <c r="H10653" s="1358"/>
      <c r="I10653" s="1358"/>
    </row>
    <row r="10654" spans="8:9">
      <c r="H10654" s="1358"/>
      <c r="I10654" s="1358"/>
    </row>
    <row r="10655" spans="8:9">
      <c r="H10655" s="1358"/>
      <c r="I10655" s="1358"/>
    </row>
    <row r="10656" spans="8:9">
      <c r="H10656" s="1358"/>
      <c r="I10656" s="1358"/>
    </row>
    <row r="10657" spans="8:9">
      <c r="H10657" s="1358"/>
      <c r="I10657" s="1358"/>
    </row>
    <row r="10658" spans="8:9">
      <c r="H10658" s="1358"/>
      <c r="I10658" s="1358"/>
    </row>
    <row r="10659" spans="8:9">
      <c r="H10659" s="1358"/>
      <c r="I10659" s="1358"/>
    </row>
    <row r="10660" spans="8:9">
      <c r="H10660" s="1358"/>
      <c r="I10660" s="1358"/>
    </row>
    <row r="10661" spans="8:9">
      <c r="H10661" s="1358"/>
      <c r="I10661" s="1358"/>
    </row>
    <row r="10662" spans="8:9">
      <c r="H10662" s="1358"/>
      <c r="I10662" s="1358"/>
    </row>
    <row r="10663" spans="8:9">
      <c r="H10663" s="1358"/>
      <c r="I10663" s="1358"/>
    </row>
    <row r="10664" spans="8:9">
      <c r="H10664" s="1358"/>
      <c r="I10664" s="1358"/>
    </row>
    <row r="10665" spans="8:9">
      <c r="H10665" s="1358"/>
      <c r="I10665" s="1358"/>
    </row>
    <row r="10666" spans="8:9">
      <c r="H10666" s="1358"/>
      <c r="I10666" s="1358"/>
    </row>
    <row r="10667" spans="8:9">
      <c r="H10667" s="1358"/>
      <c r="I10667" s="1358"/>
    </row>
    <row r="10668" spans="8:9">
      <c r="H10668" s="1358"/>
      <c r="I10668" s="1358"/>
    </row>
    <row r="10669" spans="8:9">
      <c r="H10669" s="1358"/>
      <c r="I10669" s="1358"/>
    </row>
    <row r="10670" spans="8:9">
      <c r="H10670" s="1358"/>
      <c r="I10670" s="1358"/>
    </row>
    <row r="10671" spans="8:9">
      <c r="H10671" s="1358"/>
      <c r="I10671" s="1358"/>
    </row>
    <row r="10672" spans="8:9">
      <c r="H10672" s="1358"/>
      <c r="I10672" s="1358"/>
    </row>
    <row r="10673" spans="8:9">
      <c r="H10673" s="1358"/>
      <c r="I10673" s="1358"/>
    </row>
    <row r="10674" spans="8:9">
      <c r="H10674" s="1358"/>
      <c r="I10674" s="1358"/>
    </row>
    <row r="10675" spans="8:9">
      <c r="H10675" s="1358"/>
      <c r="I10675" s="1358"/>
    </row>
    <row r="10676" spans="8:9">
      <c r="H10676" s="1358"/>
      <c r="I10676" s="1358"/>
    </row>
    <row r="10677" spans="8:9">
      <c r="H10677" s="1358"/>
      <c r="I10677" s="1358"/>
    </row>
    <row r="10678" spans="8:9">
      <c r="H10678" s="1358"/>
      <c r="I10678" s="1358"/>
    </row>
    <row r="10679" spans="8:9">
      <c r="H10679" s="1358"/>
      <c r="I10679" s="1358"/>
    </row>
    <row r="10680" spans="8:9">
      <c r="H10680" s="1358"/>
      <c r="I10680" s="1358"/>
    </row>
    <row r="10681" spans="8:9">
      <c r="H10681" s="1358"/>
      <c r="I10681" s="1358"/>
    </row>
    <row r="10682" spans="8:9">
      <c r="H10682" s="1358"/>
      <c r="I10682" s="1358"/>
    </row>
    <row r="10683" spans="8:9">
      <c r="H10683" s="1358"/>
      <c r="I10683" s="1358"/>
    </row>
    <row r="10684" spans="8:9">
      <c r="H10684" s="1358"/>
      <c r="I10684" s="1358"/>
    </row>
    <row r="10685" spans="8:9">
      <c r="H10685" s="1358"/>
      <c r="I10685" s="1358"/>
    </row>
    <row r="10686" spans="8:9">
      <c r="H10686" s="1358"/>
      <c r="I10686" s="1358"/>
    </row>
    <row r="10687" spans="8:9">
      <c r="H10687" s="1358"/>
      <c r="I10687" s="1358"/>
    </row>
    <row r="10688" spans="8:9">
      <c r="H10688" s="1358"/>
      <c r="I10688" s="1358"/>
    </row>
    <row r="10689" spans="8:9">
      <c r="H10689" s="1358"/>
      <c r="I10689" s="1358"/>
    </row>
    <row r="10690" spans="8:9">
      <c r="H10690" s="1358"/>
      <c r="I10690" s="1358"/>
    </row>
    <row r="10691" spans="8:9">
      <c r="H10691" s="1358"/>
      <c r="I10691" s="1358"/>
    </row>
    <row r="10692" spans="8:9">
      <c r="H10692" s="1358"/>
      <c r="I10692" s="1358"/>
    </row>
    <row r="10693" spans="8:9">
      <c r="H10693" s="1358"/>
      <c r="I10693" s="1358"/>
    </row>
    <row r="10694" spans="8:9">
      <c r="H10694" s="1358"/>
      <c r="I10694" s="1358"/>
    </row>
    <row r="10695" spans="8:9">
      <c r="H10695" s="1358"/>
      <c r="I10695" s="1358"/>
    </row>
    <row r="10696" spans="8:9">
      <c r="H10696" s="1358"/>
      <c r="I10696" s="1358"/>
    </row>
    <row r="10697" spans="8:9">
      <c r="H10697" s="1358"/>
      <c r="I10697" s="1358"/>
    </row>
    <row r="10698" spans="8:9">
      <c r="H10698" s="1358"/>
      <c r="I10698" s="1358"/>
    </row>
    <row r="10699" spans="8:9">
      <c r="H10699" s="1358"/>
      <c r="I10699" s="1358"/>
    </row>
    <row r="10700" spans="8:9">
      <c r="H10700" s="1358"/>
      <c r="I10700" s="1358"/>
    </row>
    <row r="10701" spans="8:9">
      <c r="H10701" s="1358"/>
      <c r="I10701" s="1358"/>
    </row>
    <row r="10702" spans="8:9">
      <c r="H10702" s="1358"/>
      <c r="I10702" s="1358"/>
    </row>
    <row r="10703" spans="8:9">
      <c r="H10703" s="1358"/>
      <c r="I10703" s="1358"/>
    </row>
    <row r="10704" spans="8:9">
      <c r="H10704" s="1358"/>
      <c r="I10704" s="1358"/>
    </row>
    <row r="10705" spans="8:9">
      <c r="H10705" s="1358"/>
      <c r="I10705" s="1358"/>
    </row>
    <row r="10706" spans="8:9">
      <c r="H10706" s="1358"/>
      <c r="I10706" s="1358"/>
    </row>
    <row r="10707" spans="8:9">
      <c r="H10707" s="1358"/>
      <c r="I10707" s="1358"/>
    </row>
    <row r="10708" spans="8:9">
      <c r="H10708" s="1358"/>
      <c r="I10708" s="1358"/>
    </row>
    <row r="10709" spans="8:9">
      <c r="H10709" s="1358"/>
      <c r="I10709" s="1358"/>
    </row>
    <row r="10710" spans="8:9">
      <c r="H10710" s="1358"/>
      <c r="I10710" s="1358"/>
    </row>
    <row r="10711" spans="8:9">
      <c r="H10711" s="1358"/>
      <c r="I10711" s="1358"/>
    </row>
    <row r="10712" spans="8:9">
      <c r="H10712" s="1358"/>
      <c r="I10712" s="1358"/>
    </row>
    <row r="10713" spans="8:9">
      <c r="H10713" s="1358"/>
      <c r="I10713" s="1358"/>
    </row>
    <row r="10714" spans="8:9">
      <c r="H10714" s="1358"/>
      <c r="I10714" s="1358"/>
    </row>
    <row r="10715" spans="8:9">
      <c r="H10715" s="1358"/>
      <c r="I10715" s="1358"/>
    </row>
    <row r="10716" spans="8:9">
      <c r="H10716" s="1358"/>
      <c r="I10716" s="1358"/>
    </row>
    <row r="10717" spans="8:9">
      <c r="H10717" s="1358"/>
      <c r="I10717" s="1358"/>
    </row>
    <row r="10718" spans="8:9">
      <c r="H10718" s="1358"/>
      <c r="I10718" s="1358"/>
    </row>
    <row r="10719" spans="8:9">
      <c r="H10719" s="1358"/>
      <c r="I10719" s="1358"/>
    </row>
    <row r="10720" spans="8:9">
      <c r="H10720" s="1358"/>
      <c r="I10720" s="1358"/>
    </row>
    <row r="10721" spans="8:9">
      <c r="H10721" s="1358"/>
      <c r="I10721" s="1358"/>
    </row>
    <row r="10722" spans="8:9">
      <c r="H10722" s="1358"/>
      <c r="I10722" s="1358"/>
    </row>
    <row r="10723" spans="8:9">
      <c r="H10723" s="1358"/>
      <c r="I10723" s="1358"/>
    </row>
    <row r="10724" spans="8:9">
      <c r="H10724" s="1358"/>
      <c r="I10724" s="1358"/>
    </row>
    <row r="10725" spans="8:9">
      <c r="H10725" s="1358"/>
      <c r="I10725" s="1358"/>
    </row>
    <row r="10726" spans="8:9">
      <c r="H10726" s="1358"/>
      <c r="I10726" s="1358"/>
    </row>
    <row r="10727" spans="8:9">
      <c r="H10727" s="1358"/>
      <c r="I10727" s="1358"/>
    </row>
    <row r="10728" spans="8:9">
      <c r="H10728" s="1358"/>
      <c r="I10728" s="1358"/>
    </row>
    <row r="10729" spans="8:9">
      <c r="H10729" s="1358"/>
      <c r="I10729" s="1358"/>
    </row>
    <row r="10730" spans="8:9">
      <c r="H10730" s="1358"/>
      <c r="I10730" s="1358"/>
    </row>
    <row r="10731" spans="8:9">
      <c r="H10731" s="1358"/>
      <c r="I10731" s="1358"/>
    </row>
    <row r="10732" spans="8:9">
      <c r="H10732" s="1358"/>
      <c r="I10732" s="1358"/>
    </row>
    <row r="10733" spans="8:9">
      <c r="H10733" s="1358"/>
      <c r="I10733" s="1358"/>
    </row>
    <row r="10734" spans="8:9">
      <c r="H10734" s="1358"/>
      <c r="I10734" s="1358"/>
    </row>
    <row r="10735" spans="8:9">
      <c r="H10735" s="1358"/>
      <c r="I10735" s="1358"/>
    </row>
    <row r="10736" spans="8:9">
      <c r="H10736" s="1358"/>
      <c r="I10736" s="1358"/>
    </row>
    <row r="10737" spans="8:9">
      <c r="H10737" s="1358"/>
      <c r="I10737" s="1358"/>
    </row>
    <row r="10738" spans="8:9">
      <c r="H10738" s="1358"/>
      <c r="I10738" s="1358"/>
    </row>
    <row r="10739" spans="8:9">
      <c r="H10739" s="1358"/>
      <c r="I10739" s="1358"/>
    </row>
    <row r="10740" spans="8:9">
      <c r="H10740" s="1358"/>
      <c r="I10740" s="1358"/>
    </row>
    <row r="10741" spans="8:9">
      <c r="H10741" s="1358"/>
      <c r="I10741" s="1358"/>
    </row>
    <row r="10742" spans="8:9">
      <c r="H10742" s="1358"/>
      <c r="I10742" s="1358"/>
    </row>
    <row r="10743" spans="8:9">
      <c r="H10743" s="1358"/>
      <c r="I10743" s="1358"/>
    </row>
    <row r="10744" spans="8:9">
      <c r="H10744" s="1358"/>
      <c r="I10744" s="1358"/>
    </row>
    <row r="10745" spans="8:9">
      <c r="H10745" s="1358"/>
      <c r="I10745" s="1358"/>
    </row>
    <row r="10746" spans="8:9">
      <c r="H10746" s="1358"/>
      <c r="I10746" s="1358"/>
    </row>
    <row r="10747" spans="8:9">
      <c r="H10747" s="1358"/>
      <c r="I10747" s="1358"/>
    </row>
    <row r="10748" spans="8:9">
      <c r="H10748" s="1358"/>
      <c r="I10748" s="1358"/>
    </row>
    <row r="10749" spans="8:9">
      <c r="H10749" s="1358"/>
      <c r="I10749" s="1358"/>
    </row>
    <row r="10750" spans="8:9">
      <c r="H10750" s="1358"/>
      <c r="I10750" s="1358"/>
    </row>
    <row r="10751" spans="8:9">
      <c r="H10751" s="1358"/>
      <c r="I10751" s="1358"/>
    </row>
    <row r="10752" spans="8:9">
      <c r="H10752" s="1358"/>
      <c r="I10752" s="1358"/>
    </row>
    <row r="10753" spans="8:9">
      <c r="H10753" s="1358"/>
      <c r="I10753" s="1358"/>
    </row>
    <row r="10754" spans="8:9">
      <c r="H10754" s="1358"/>
      <c r="I10754" s="1358"/>
    </row>
    <row r="10755" spans="8:9">
      <c r="H10755" s="1358"/>
      <c r="I10755" s="1358"/>
    </row>
    <row r="10756" spans="8:9">
      <c r="H10756" s="1358"/>
      <c r="I10756" s="1358"/>
    </row>
    <row r="10757" spans="8:9">
      <c r="H10757" s="1358"/>
      <c r="I10757" s="1358"/>
    </row>
    <row r="10758" spans="8:9">
      <c r="H10758" s="1358"/>
      <c r="I10758" s="1358"/>
    </row>
    <row r="10759" spans="8:9">
      <c r="H10759" s="1358"/>
      <c r="I10759" s="1358"/>
    </row>
    <row r="10760" spans="8:9">
      <c r="H10760" s="1358"/>
      <c r="I10760" s="1358"/>
    </row>
    <row r="10761" spans="8:9">
      <c r="H10761" s="1358"/>
      <c r="I10761" s="1358"/>
    </row>
    <row r="10762" spans="8:9">
      <c r="H10762" s="1358"/>
      <c r="I10762" s="1358"/>
    </row>
    <row r="10763" spans="8:9">
      <c r="H10763" s="1358"/>
      <c r="I10763" s="1358"/>
    </row>
    <row r="10764" spans="8:9">
      <c r="H10764" s="1358"/>
      <c r="I10764" s="1358"/>
    </row>
    <row r="10765" spans="8:9">
      <c r="H10765" s="1358"/>
      <c r="I10765" s="1358"/>
    </row>
    <row r="10766" spans="8:9">
      <c r="H10766" s="1358"/>
      <c r="I10766" s="1358"/>
    </row>
    <row r="10767" spans="8:9">
      <c r="H10767" s="1358"/>
      <c r="I10767" s="1358"/>
    </row>
    <row r="10768" spans="8:9">
      <c r="H10768" s="1358"/>
      <c r="I10768" s="1358"/>
    </row>
    <row r="10769" spans="8:9">
      <c r="H10769" s="1358"/>
      <c r="I10769" s="1358"/>
    </row>
    <row r="10770" spans="8:9">
      <c r="H10770" s="1358"/>
      <c r="I10770" s="1358"/>
    </row>
    <row r="10771" spans="8:9">
      <c r="H10771" s="1358"/>
      <c r="I10771" s="1358"/>
    </row>
    <row r="10772" spans="8:9">
      <c r="H10772" s="1358"/>
      <c r="I10772" s="1358"/>
    </row>
    <row r="10773" spans="8:9">
      <c r="H10773" s="1358"/>
      <c r="I10773" s="1358"/>
    </row>
    <row r="10774" spans="8:9">
      <c r="H10774" s="1358"/>
      <c r="I10774" s="1358"/>
    </row>
    <row r="10775" spans="8:9">
      <c r="H10775" s="1358"/>
      <c r="I10775" s="1358"/>
    </row>
    <row r="10776" spans="8:9">
      <c r="H10776" s="1358"/>
      <c r="I10776" s="1358"/>
    </row>
    <row r="10777" spans="8:9">
      <c r="H10777" s="1358"/>
      <c r="I10777" s="1358"/>
    </row>
    <row r="10778" spans="8:9">
      <c r="H10778" s="1358"/>
      <c r="I10778" s="1358"/>
    </row>
    <row r="10779" spans="8:9">
      <c r="H10779" s="1358"/>
      <c r="I10779" s="1358"/>
    </row>
    <row r="10780" spans="8:9">
      <c r="H10780" s="1358"/>
      <c r="I10780" s="1358"/>
    </row>
    <row r="10781" spans="8:9">
      <c r="H10781" s="1358"/>
      <c r="I10781" s="1358"/>
    </row>
    <row r="10782" spans="8:9">
      <c r="H10782" s="1358"/>
      <c r="I10782" s="1358"/>
    </row>
    <row r="10783" spans="8:9">
      <c r="H10783" s="1358"/>
      <c r="I10783" s="1358"/>
    </row>
    <row r="10784" spans="8:9">
      <c r="H10784" s="1358"/>
      <c r="I10784" s="1358"/>
    </row>
    <row r="10785" spans="8:9">
      <c r="H10785" s="1358"/>
      <c r="I10785" s="1358"/>
    </row>
    <row r="10786" spans="8:9">
      <c r="H10786" s="1358"/>
      <c r="I10786" s="1358"/>
    </row>
    <row r="10787" spans="8:9">
      <c r="H10787" s="1358"/>
      <c r="I10787" s="1358"/>
    </row>
    <row r="10788" spans="8:9">
      <c r="H10788" s="1358"/>
      <c r="I10788" s="1358"/>
    </row>
    <row r="10789" spans="8:9">
      <c r="H10789" s="1358"/>
      <c r="I10789" s="1358"/>
    </row>
    <row r="10790" spans="8:9">
      <c r="H10790" s="1358"/>
      <c r="I10790" s="1358"/>
    </row>
    <row r="10791" spans="8:9">
      <c r="H10791" s="1358"/>
      <c r="I10791" s="1358"/>
    </row>
    <row r="10792" spans="8:9">
      <c r="H10792" s="1358"/>
      <c r="I10792" s="1358"/>
    </row>
    <row r="10793" spans="8:9">
      <c r="H10793" s="1358"/>
      <c r="I10793" s="1358"/>
    </row>
    <row r="10794" spans="8:9">
      <c r="H10794" s="1358"/>
      <c r="I10794" s="1358"/>
    </row>
    <row r="10795" spans="8:9">
      <c r="H10795" s="1358"/>
      <c r="I10795" s="1358"/>
    </row>
    <row r="10796" spans="8:9">
      <c r="H10796" s="1358"/>
      <c r="I10796" s="1358"/>
    </row>
    <row r="10797" spans="8:9">
      <c r="H10797" s="1358"/>
      <c r="I10797" s="1358"/>
    </row>
    <row r="10798" spans="8:9">
      <c r="H10798" s="1358"/>
      <c r="I10798" s="1358"/>
    </row>
    <row r="10799" spans="8:9">
      <c r="H10799" s="1358"/>
      <c r="I10799" s="1358"/>
    </row>
    <row r="10800" spans="8:9">
      <c r="H10800" s="1358"/>
      <c r="I10800" s="1358"/>
    </row>
    <row r="10801" spans="8:9">
      <c r="H10801" s="1358"/>
      <c r="I10801" s="1358"/>
    </row>
    <row r="10802" spans="8:9">
      <c r="H10802" s="1358"/>
      <c r="I10802" s="1358"/>
    </row>
    <row r="10803" spans="8:9">
      <c r="H10803" s="1358"/>
      <c r="I10803" s="1358"/>
    </row>
    <row r="10804" spans="8:9">
      <c r="H10804" s="1358"/>
      <c r="I10804" s="1358"/>
    </row>
    <row r="10805" spans="8:9">
      <c r="H10805" s="1358"/>
      <c r="I10805" s="1358"/>
    </row>
    <row r="10806" spans="8:9">
      <c r="H10806" s="1358"/>
      <c r="I10806" s="1358"/>
    </row>
    <row r="10807" spans="8:9">
      <c r="H10807" s="1358"/>
      <c r="I10807" s="1358"/>
    </row>
    <row r="10808" spans="8:9">
      <c r="H10808" s="1358"/>
      <c r="I10808" s="1358"/>
    </row>
    <row r="10809" spans="8:9">
      <c r="H10809" s="1358"/>
      <c r="I10809" s="1358"/>
    </row>
    <row r="10810" spans="8:9">
      <c r="H10810" s="1358"/>
      <c r="I10810" s="1358"/>
    </row>
    <row r="10811" spans="8:9">
      <c r="H10811" s="1358"/>
      <c r="I10811" s="1358"/>
    </row>
    <row r="10812" spans="8:9">
      <c r="H10812" s="1358"/>
      <c r="I10812" s="1358"/>
    </row>
    <row r="10813" spans="8:9">
      <c r="H10813" s="1358"/>
      <c r="I10813" s="1358"/>
    </row>
    <row r="10814" spans="8:9">
      <c r="H10814" s="1358"/>
      <c r="I10814" s="1358"/>
    </row>
    <row r="10815" spans="8:9">
      <c r="H10815" s="1358"/>
      <c r="I10815" s="1358"/>
    </row>
    <row r="10816" spans="8:9">
      <c r="H10816" s="1358"/>
      <c r="I10816" s="1358"/>
    </row>
    <row r="10817" spans="8:9">
      <c r="H10817" s="1358"/>
      <c r="I10817" s="1358"/>
    </row>
    <row r="10818" spans="8:9">
      <c r="H10818" s="1358"/>
      <c r="I10818" s="1358"/>
    </row>
    <row r="10819" spans="8:9">
      <c r="H10819" s="1358"/>
      <c r="I10819" s="1358"/>
    </row>
    <row r="10820" spans="8:9">
      <c r="H10820" s="1358"/>
      <c r="I10820" s="1358"/>
    </row>
    <row r="10821" spans="8:9">
      <c r="H10821" s="1358"/>
      <c r="I10821" s="1358"/>
    </row>
    <row r="10822" spans="8:9">
      <c r="H10822" s="1358"/>
      <c r="I10822" s="1358"/>
    </row>
    <row r="10823" spans="8:9">
      <c r="H10823" s="1358"/>
      <c r="I10823" s="1358"/>
    </row>
    <row r="10824" spans="8:9">
      <c r="H10824" s="1358"/>
      <c r="I10824" s="1358"/>
    </row>
    <row r="10825" spans="8:9">
      <c r="H10825" s="1358"/>
      <c r="I10825" s="1358"/>
    </row>
    <row r="10826" spans="8:9">
      <c r="H10826" s="1358"/>
      <c r="I10826" s="1358"/>
    </row>
    <row r="10827" spans="8:9">
      <c r="H10827" s="1358"/>
      <c r="I10827" s="1358"/>
    </row>
    <row r="10828" spans="8:9">
      <c r="H10828" s="1358"/>
      <c r="I10828" s="1358"/>
    </row>
    <row r="10829" spans="8:9">
      <c r="H10829" s="1358"/>
      <c r="I10829" s="1358"/>
    </row>
    <row r="10830" spans="8:9">
      <c r="H10830" s="1358"/>
      <c r="I10830" s="1358"/>
    </row>
    <row r="10831" spans="8:9">
      <c r="H10831" s="1358"/>
      <c r="I10831" s="1358"/>
    </row>
    <row r="10832" spans="8:9">
      <c r="H10832" s="1358"/>
      <c r="I10832" s="1358"/>
    </row>
    <row r="10833" spans="8:9">
      <c r="H10833" s="1358"/>
      <c r="I10833" s="1358"/>
    </row>
    <row r="10834" spans="8:9">
      <c r="H10834" s="1358"/>
      <c r="I10834" s="1358"/>
    </row>
    <row r="10835" spans="8:9">
      <c r="H10835" s="1358"/>
      <c r="I10835" s="1358"/>
    </row>
    <row r="10836" spans="8:9">
      <c r="H10836" s="1358"/>
      <c r="I10836" s="1358"/>
    </row>
    <row r="10837" spans="8:9">
      <c r="H10837" s="1358"/>
      <c r="I10837" s="1358"/>
    </row>
    <row r="10838" spans="8:9">
      <c r="H10838" s="1358"/>
      <c r="I10838" s="1358"/>
    </row>
    <row r="10839" spans="8:9">
      <c r="H10839" s="1358"/>
      <c r="I10839" s="1358"/>
    </row>
    <row r="10840" spans="8:9">
      <c r="H10840" s="1358"/>
      <c r="I10840" s="1358"/>
    </row>
    <row r="10841" spans="8:9">
      <c r="H10841" s="1358"/>
      <c r="I10841" s="1358"/>
    </row>
    <row r="10842" spans="8:9">
      <c r="H10842" s="1358"/>
      <c r="I10842" s="1358"/>
    </row>
    <row r="10843" spans="8:9">
      <c r="H10843" s="1358"/>
      <c r="I10843" s="1358"/>
    </row>
    <row r="10844" spans="8:9">
      <c r="H10844" s="1358"/>
      <c r="I10844" s="1358"/>
    </row>
    <row r="10845" spans="8:9">
      <c r="H10845" s="1358"/>
      <c r="I10845" s="1358"/>
    </row>
    <row r="10846" spans="8:9">
      <c r="H10846" s="1358"/>
      <c r="I10846" s="1358"/>
    </row>
    <row r="10847" spans="8:9">
      <c r="H10847" s="1358"/>
      <c r="I10847" s="1358"/>
    </row>
    <row r="10848" spans="8:9">
      <c r="H10848" s="1358"/>
      <c r="I10848" s="1358"/>
    </row>
    <row r="10849" spans="8:9">
      <c r="H10849" s="1358"/>
      <c r="I10849" s="1358"/>
    </row>
    <row r="10850" spans="8:9">
      <c r="H10850" s="1358"/>
      <c r="I10850" s="1358"/>
    </row>
    <row r="10851" spans="8:9">
      <c r="H10851" s="1358"/>
      <c r="I10851" s="1358"/>
    </row>
    <row r="10852" spans="8:9">
      <c r="H10852" s="1358"/>
      <c r="I10852" s="1358"/>
    </row>
    <row r="10853" spans="8:9">
      <c r="H10853" s="1358"/>
      <c r="I10853" s="1358"/>
    </row>
    <row r="10854" spans="8:9">
      <c r="H10854" s="1358"/>
      <c r="I10854" s="1358"/>
    </row>
    <row r="10855" spans="8:9">
      <c r="H10855" s="1358"/>
      <c r="I10855" s="1358"/>
    </row>
    <row r="10856" spans="8:9">
      <c r="H10856" s="1358"/>
      <c r="I10856" s="1358"/>
    </row>
    <row r="10857" spans="8:9">
      <c r="H10857" s="1358"/>
      <c r="I10857" s="1358"/>
    </row>
    <row r="10858" spans="8:9">
      <c r="H10858" s="1358"/>
      <c r="I10858" s="1358"/>
    </row>
    <row r="10859" spans="8:9">
      <c r="H10859" s="1358"/>
      <c r="I10859" s="1358"/>
    </row>
    <row r="10860" spans="8:9">
      <c r="H10860" s="1358"/>
      <c r="I10860" s="1358"/>
    </row>
    <row r="10861" spans="8:9">
      <c r="H10861" s="1358"/>
      <c r="I10861" s="1358"/>
    </row>
    <row r="10862" spans="8:9">
      <c r="H10862" s="1358"/>
      <c r="I10862" s="1358"/>
    </row>
    <row r="10863" spans="8:9">
      <c r="H10863" s="1358"/>
      <c r="I10863" s="1358"/>
    </row>
    <row r="10864" spans="8:9">
      <c r="H10864" s="1358"/>
      <c r="I10864" s="1358"/>
    </row>
    <row r="10865" spans="8:9">
      <c r="H10865" s="1358"/>
      <c r="I10865" s="1358"/>
    </row>
    <row r="10866" spans="8:9">
      <c r="H10866" s="1358"/>
      <c r="I10866" s="1358"/>
    </row>
    <row r="10867" spans="8:9">
      <c r="H10867" s="1358"/>
      <c r="I10867" s="1358"/>
    </row>
    <row r="10868" spans="8:9">
      <c r="H10868" s="1358"/>
      <c r="I10868" s="1358"/>
    </row>
    <row r="10869" spans="8:9">
      <c r="H10869" s="1358"/>
      <c r="I10869" s="1358"/>
    </row>
    <row r="10870" spans="8:9">
      <c r="H10870" s="1358"/>
      <c r="I10870" s="1358"/>
    </row>
    <row r="10871" spans="8:9">
      <c r="H10871" s="1358"/>
      <c r="I10871" s="1358"/>
    </row>
    <row r="10872" spans="8:9">
      <c r="H10872" s="1358"/>
      <c r="I10872" s="1358"/>
    </row>
    <row r="10873" spans="8:9">
      <c r="H10873" s="1358"/>
      <c r="I10873" s="1358"/>
    </row>
    <row r="10874" spans="8:9">
      <c r="H10874" s="1358"/>
      <c r="I10874" s="1358"/>
    </row>
    <row r="10875" spans="8:9">
      <c r="H10875" s="1358"/>
      <c r="I10875" s="1358"/>
    </row>
    <row r="10876" spans="8:9">
      <c r="H10876" s="1358"/>
      <c r="I10876" s="1358"/>
    </row>
    <row r="10877" spans="8:9">
      <c r="H10877" s="1358"/>
      <c r="I10877" s="1358"/>
    </row>
    <row r="10878" spans="8:9">
      <c r="H10878" s="1358"/>
      <c r="I10878" s="1358"/>
    </row>
    <row r="10879" spans="8:9">
      <c r="H10879" s="1358"/>
      <c r="I10879" s="1358"/>
    </row>
    <row r="10880" spans="8:9">
      <c r="H10880" s="1358"/>
      <c r="I10880" s="1358"/>
    </row>
    <row r="10881" spans="8:9">
      <c r="H10881" s="1358"/>
      <c r="I10881" s="1358"/>
    </row>
    <row r="10882" spans="8:9">
      <c r="H10882" s="1358"/>
      <c r="I10882" s="1358"/>
    </row>
    <row r="10883" spans="8:9">
      <c r="H10883" s="1358"/>
      <c r="I10883" s="1358"/>
    </row>
    <row r="10884" spans="8:9">
      <c r="H10884" s="1358"/>
      <c r="I10884" s="1358"/>
    </row>
    <row r="10885" spans="8:9">
      <c r="H10885" s="1358"/>
      <c r="I10885" s="1358"/>
    </row>
    <row r="10886" spans="8:9">
      <c r="H10886" s="1358"/>
      <c r="I10886" s="1358"/>
    </row>
    <row r="10887" spans="8:9">
      <c r="H10887" s="1358"/>
      <c r="I10887" s="1358"/>
    </row>
    <row r="10888" spans="8:9">
      <c r="H10888" s="1358"/>
      <c r="I10888" s="1358"/>
    </row>
    <row r="10889" spans="8:9">
      <c r="H10889" s="1358"/>
      <c r="I10889" s="1358"/>
    </row>
    <row r="10890" spans="8:9">
      <c r="H10890" s="1358"/>
      <c r="I10890" s="1358"/>
    </row>
    <row r="10891" spans="8:9">
      <c r="H10891" s="1358"/>
      <c r="I10891" s="1358"/>
    </row>
    <row r="10892" spans="8:9">
      <c r="H10892" s="1358"/>
      <c r="I10892" s="1358"/>
    </row>
    <row r="10893" spans="8:9">
      <c r="H10893" s="1358"/>
      <c r="I10893" s="1358"/>
    </row>
    <row r="10894" spans="8:9">
      <c r="H10894" s="1358"/>
      <c r="I10894" s="1358"/>
    </row>
    <row r="10895" spans="8:9">
      <c r="H10895" s="1358"/>
      <c r="I10895" s="1358"/>
    </row>
    <row r="10896" spans="8:9">
      <c r="H10896" s="1358"/>
      <c r="I10896" s="1358"/>
    </row>
    <row r="10897" spans="8:9">
      <c r="H10897" s="1358"/>
      <c r="I10897" s="1358"/>
    </row>
    <row r="10898" spans="8:9">
      <c r="H10898" s="1358"/>
      <c r="I10898" s="1358"/>
    </row>
    <row r="10899" spans="8:9">
      <c r="H10899" s="1358"/>
      <c r="I10899" s="1358"/>
    </row>
    <row r="10900" spans="8:9">
      <c r="H10900" s="1358"/>
      <c r="I10900" s="1358"/>
    </row>
    <row r="10901" spans="8:9">
      <c r="H10901" s="1358"/>
      <c r="I10901" s="1358"/>
    </row>
    <row r="10902" spans="8:9">
      <c r="H10902" s="1358"/>
      <c r="I10902" s="1358"/>
    </row>
    <row r="10903" spans="8:9">
      <c r="H10903" s="1358"/>
      <c r="I10903" s="1358"/>
    </row>
    <row r="10904" spans="8:9">
      <c r="H10904" s="1358"/>
      <c r="I10904" s="1358"/>
    </row>
    <row r="10905" spans="8:9">
      <c r="H10905" s="1358"/>
      <c r="I10905" s="1358"/>
    </row>
    <row r="10906" spans="8:9">
      <c r="H10906" s="1358"/>
      <c r="I10906" s="1358"/>
    </row>
    <row r="10907" spans="8:9">
      <c r="H10907" s="1358"/>
      <c r="I10907" s="1358"/>
    </row>
    <row r="10908" spans="8:9">
      <c r="H10908" s="1358"/>
      <c r="I10908" s="1358"/>
    </row>
    <row r="10909" spans="8:9">
      <c r="H10909" s="1358"/>
      <c r="I10909" s="1358"/>
    </row>
    <row r="10910" spans="8:9">
      <c r="H10910" s="1358"/>
      <c r="I10910" s="1358"/>
    </row>
    <row r="10911" spans="8:9">
      <c r="H10911" s="1358"/>
      <c r="I10911" s="1358"/>
    </row>
    <row r="10912" spans="8:9">
      <c r="H10912" s="1358"/>
      <c r="I10912" s="1358"/>
    </row>
    <row r="10913" spans="8:9">
      <c r="H10913" s="1358"/>
      <c r="I10913" s="1358"/>
    </row>
    <row r="10914" spans="8:9">
      <c r="H10914" s="1358"/>
      <c r="I10914" s="1358"/>
    </row>
    <row r="10915" spans="8:9">
      <c r="H10915" s="1358"/>
      <c r="I10915" s="1358"/>
    </row>
    <row r="10916" spans="8:9">
      <c r="H10916" s="1358"/>
      <c r="I10916" s="1358"/>
    </row>
    <row r="10917" spans="8:9">
      <c r="H10917" s="1358"/>
      <c r="I10917" s="1358"/>
    </row>
    <row r="10918" spans="8:9">
      <c r="H10918" s="1358"/>
      <c r="I10918" s="1358"/>
    </row>
    <row r="10919" spans="8:9">
      <c r="H10919" s="1358"/>
      <c r="I10919" s="1358"/>
    </row>
    <row r="10920" spans="8:9">
      <c r="H10920" s="1358"/>
      <c r="I10920" s="1358"/>
    </row>
    <row r="10921" spans="8:9">
      <c r="H10921" s="1358"/>
      <c r="I10921" s="1358"/>
    </row>
    <row r="10922" spans="8:9">
      <c r="H10922" s="1358"/>
      <c r="I10922" s="1358"/>
    </row>
    <row r="10923" spans="8:9">
      <c r="H10923" s="1358"/>
      <c r="I10923" s="1358"/>
    </row>
    <row r="10924" spans="8:9">
      <c r="H10924" s="1358"/>
      <c r="I10924" s="1358"/>
    </row>
    <row r="10925" spans="8:9">
      <c r="H10925" s="1358"/>
      <c r="I10925" s="1358"/>
    </row>
    <row r="10926" spans="8:9">
      <c r="H10926" s="1358"/>
      <c r="I10926" s="1358"/>
    </row>
    <row r="10927" spans="8:9">
      <c r="H10927" s="1358"/>
      <c r="I10927" s="1358"/>
    </row>
    <row r="10928" spans="8:9">
      <c r="H10928" s="1358"/>
      <c r="I10928" s="1358"/>
    </row>
    <row r="10929" spans="8:9">
      <c r="H10929" s="1358"/>
      <c r="I10929" s="1358"/>
    </row>
    <row r="10930" spans="8:9">
      <c r="H10930" s="1358"/>
      <c r="I10930" s="1358"/>
    </row>
    <row r="10931" spans="8:9">
      <c r="H10931" s="1358"/>
      <c r="I10931" s="1358"/>
    </row>
    <row r="10932" spans="8:9">
      <c r="H10932" s="1358"/>
      <c r="I10932" s="1358"/>
    </row>
    <row r="10933" spans="8:9">
      <c r="H10933" s="1358"/>
      <c r="I10933" s="1358"/>
    </row>
    <row r="10934" spans="8:9">
      <c r="H10934" s="1358"/>
      <c r="I10934" s="1358"/>
    </row>
    <row r="10935" spans="8:9">
      <c r="H10935" s="1358"/>
      <c r="I10935" s="1358"/>
    </row>
    <row r="10936" spans="8:9">
      <c r="H10936" s="1358"/>
      <c r="I10936" s="1358"/>
    </row>
    <row r="10937" spans="8:9">
      <c r="H10937" s="1358"/>
      <c r="I10937" s="1358"/>
    </row>
    <row r="10938" spans="8:9">
      <c r="H10938" s="1358"/>
      <c r="I10938" s="1358"/>
    </row>
    <row r="10939" spans="8:9">
      <c r="H10939" s="1358"/>
      <c r="I10939" s="1358"/>
    </row>
    <row r="10940" spans="8:9">
      <c r="H10940" s="1358"/>
      <c r="I10940" s="1358"/>
    </row>
    <row r="10941" spans="8:9">
      <c r="H10941" s="1358"/>
      <c r="I10941" s="1358"/>
    </row>
    <row r="10942" spans="8:9">
      <c r="H10942" s="1358"/>
      <c r="I10942" s="1358"/>
    </row>
    <row r="10943" spans="8:9">
      <c r="H10943" s="1358"/>
      <c r="I10943" s="1358"/>
    </row>
    <row r="10944" spans="8:9">
      <c r="H10944" s="1358"/>
      <c r="I10944" s="1358"/>
    </row>
    <row r="10945" spans="8:9">
      <c r="H10945" s="1358"/>
      <c r="I10945" s="1358"/>
    </row>
    <row r="10946" spans="8:9">
      <c r="H10946" s="1358"/>
      <c r="I10946" s="1358"/>
    </row>
    <row r="10947" spans="8:9">
      <c r="H10947" s="1358"/>
      <c r="I10947" s="1358"/>
    </row>
    <row r="10948" spans="8:9">
      <c r="H10948" s="1358"/>
      <c r="I10948" s="1358"/>
    </row>
    <row r="10949" spans="8:9">
      <c r="H10949" s="1358"/>
      <c r="I10949" s="1358"/>
    </row>
    <row r="10950" spans="8:9">
      <c r="H10950" s="1358"/>
      <c r="I10950" s="1358"/>
    </row>
    <row r="10951" spans="8:9">
      <c r="H10951" s="1358"/>
      <c r="I10951" s="1358"/>
    </row>
    <row r="10952" spans="8:9">
      <c r="H10952" s="1358"/>
      <c r="I10952" s="1358"/>
    </row>
    <row r="10953" spans="8:9">
      <c r="H10953" s="1358"/>
      <c r="I10953" s="1358"/>
    </row>
    <row r="10954" spans="8:9">
      <c r="H10954" s="1358"/>
      <c r="I10954" s="1358"/>
    </row>
    <row r="10955" spans="8:9">
      <c r="H10955" s="1358"/>
      <c r="I10955" s="1358"/>
    </row>
    <row r="10956" spans="8:9">
      <c r="H10956" s="1358"/>
      <c r="I10956" s="1358"/>
    </row>
    <row r="10957" spans="8:9">
      <c r="H10957" s="1358"/>
      <c r="I10957" s="1358"/>
    </row>
    <row r="10958" spans="8:9">
      <c r="H10958" s="1358"/>
      <c r="I10958" s="1358"/>
    </row>
    <row r="10959" spans="8:9">
      <c r="H10959" s="1358"/>
      <c r="I10959" s="1358"/>
    </row>
    <row r="10960" spans="8:9">
      <c r="H10960" s="1358"/>
      <c r="I10960" s="1358"/>
    </row>
    <row r="10961" spans="8:9">
      <c r="H10961" s="1358"/>
      <c r="I10961" s="1358"/>
    </row>
    <row r="10962" spans="8:9">
      <c r="H10962" s="1358"/>
      <c r="I10962" s="1358"/>
    </row>
    <row r="10963" spans="8:9">
      <c r="H10963" s="1358"/>
      <c r="I10963" s="1358"/>
    </row>
    <row r="10964" spans="8:9">
      <c r="H10964" s="1358"/>
      <c r="I10964" s="1358"/>
    </row>
    <row r="10965" spans="8:9">
      <c r="H10965" s="1358"/>
      <c r="I10965" s="1358"/>
    </row>
    <row r="10966" spans="8:9">
      <c r="H10966" s="1358"/>
      <c r="I10966" s="1358"/>
    </row>
    <row r="10967" spans="8:9">
      <c r="H10967" s="1358"/>
      <c r="I10967" s="1358"/>
    </row>
    <row r="10968" spans="8:9">
      <c r="H10968" s="1358"/>
      <c r="I10968" s="1358"/>
    </row>
    <row r="10969" spans="8:9">
      <c r="H10969" s="1358"/>
      <c r="I10969" s="1358"/>
    </row>
    <row r="10970" spans="8:9">
      <c r="H10970" s="1358"/>
      <c r="I10970" s="1358"/>
    </row>
    <row r="10971" spans="8:9">
      <c r="H10971" s="1358"/>
      <c r="I10971" s="1358"/>
    </row>
    <row r="10972" spans="8:9">
      <c r="H10972" s="1358"/>
      <c r="I10972" s="1358"/>
    </row>
    <row r="10973" spans="8:9">
      <c r="H10973" s="1358"/>
      <c r="I10973" s="1358"/>
    </row>
    <row r="10974" spans="8:9">
      <c r="H10974" s="1358"/>
      <c r="I10974" s="1358"/>
    </row>
    <row r="10975" spans="8:9">
      <c r="H10975" s="1358"/>
      <c r="I10975" s="1358"/>
    </row>
    <row r="10976" spans="8:9">
      <c r="H10976" s="1358"/>
      <c r="I10976" s="1358"/>
    </row>
    <row r="10977" spans="8:9">
      <c r="H10977" s="1358"/>
      <c r="I10977" s="1358"/>
    </row>
    <row r="10978" spans="8:9">
      <c r="H10978" s="1358"/>
      <c r="I10978" s="1358"/>
    </row>
    <row r="10979" spans="8:9">
      <c r="H10979" s="1358"/>
      <c r="I10979" s="1358"/>
    </row>
    <row r="10980" spans="8:9">
      <c r="H10980" s="1358"/>
      <c r="I10980" s="1358"/>
    </row>
    <row r="10981" spans="8:9">
      <c r="H10981" s="1358"/>
      <c r="I10981" s="1358"/>
    </row>
    <row r="10982" spans="8:9">
      <c r="H10982" s="1358"/>
      <c r="I10982" s="1358"/>
    </row>
    <row r="10983" spans="8:9">
      <c r="H10983" s="1358"/>
      <c r="I10983" s="1358"/>
    </row>
    <row r="10984" spans="8:9">
      <c r="H10984" s="1358"/>
      <c r="I10984" s="1358"/>
    </row>
    <row r="10985" spans="8:9">
      <c r="H10985" s="1358"/>
      <c r="I10985" s="1358"/>
    </row>
    <row r="10986" spans="8:9">
      <c r="H10986" s="1358"/>
      <c r="I10986" s="1358"/>
    </row>
    <row r="10987" spans="8:9">
      <c r="H10987" s="1358"/>
      <c r="I10987" s="1358"/>
    </row>
    <row r="10988" spans="8:9">
      <c r="H10988" s="1358"/>
      <c r="I10988" s="1358"/>
    </row>
    <row r="10989" spans="8:9">
      <c r="H10989" s="1358"/>
      <c r="I10989" s="1358"/>
    </row>
    <row r="10990" spans="8:9">
      <c r="H10990" s="1358"/>
      <c r="I10990" s="1358"/>
    </row>
    <row r="10991" spans="8:9">
      <c r="H10991" s="1358"/>
      <c r="I10991" s="1358"/>
    </row>
    <row r="10992" spans="8:9">
      <c r="H10992" s="1358"/>
      <c r="I10992" s="1358"/>
    </row>
    <row r="10993" spans="8:9">
      <c r="H10993" s="1358"/>
      <c r="I10993" s="1358"/>
    </row>
    <row r="10994" spans="8:9">
      <c r="H10994" s="1358"/>
      <c r="I10994" s="1358"/>
    </row>
    <row r="10995" spans="8:9">
      <c r="H10995" s="1358"/>
      <c r="I10995" s="1358"/>
    </row>
    <row r="10996" spans="8:9">
      <c r="H10996" s="1358"/>
      <c r="I10996" s="1358"/>
    </row>
    <row r="10997" spans="8:9">
      <c r="H10997" s="1358"/>
      <c r="I10997" s="1358"/>
    </row>
    <row r="10998" spans="8:9">
      <c r="H10998" s="1358"/>
      <c r="I10998" s="1358"/>
    </row>
    <row r="10999" spans="8:9">
      <c r="H10999" s="1358"/>
      <c r="I10999" s="1358"/>
    </row>
    <row r="11000" spans="8:9">
      <c r="H11000" s="1358"/>
      <c r="I11000" s="1358"/>
    </row>
    <row r="11001" spans="8:9">
      <c r="H11001" s="1358"/>
      <c r="I11001" s="1358"/>
    </row>
    <row r="11002" spans="8:9">
      <c r="H11002" s="1358"/>
      <c r="I11002" s="1358"/>
    </row>
    <row r="11003" spans="8:9">
      <c r="H11003" s="1358"/>
      <c r="I11003" s="1358"/>
    </row>
    <row r="11004" spans="8:9">
      <c r="H11004" s="1358"/>
      <c r="I11004" s="1358"/>
    </row>
    <row r="11005" spans="8:9">
      <c r="H11005" s="1358"/>
      <c r="I11005" s="1358"/>
    </row>
    <row r="11006" spans="8:9">
      <c r="H11006" s="1358"/>
      <c r="I11006" s="1358"/>
    </row>
    <row r="11007" spans="8:9">
      <c r="H11007" s="1358"/>
      <c r="I11007" s="1358"/>
    </row>
    <row r="11008" spans="8:9">
      <c r="H11008" s="1358"/>
      <c r="I11008" s="1358"/>
    </row>
    <row r="11009" spans="8:9">
      <c r="H11009" s="1358"/>
      <c r="I11009" s="1358"/>
    </row>
    <row r="11010" spans="8:9">
      <c r="H11010" s="1358"/>
      <c r="I11010" s="1358"/>
    </row>
    <row r="11011" spans="8:9">
      <c r="H11011" s="1358"/>
      <c r="I11011" s="1358"/>
    </row>
    <row r="11012" spans="8:9">
      <c r="H11012" s="1358"/>
      <c r="I11012" s="1358"/>
    </row>
    <row r="11013" spans="8:9">
      <c r="H11013" s="1358"/>
      <c r="I11013" s="1358"/>
    </row>
    <row r="11014" spans="8:9">
      <c r="H11014" s="1358"/>
      <c r="I11014" s="1358"/>
    </row>
    <row r="11015" spans="8:9">
      <c r="H11015" s="1358"/>
      <c r="I11015" s="1358"/>
    </row>
    <row r="11016" spans="8:9">
      <c r="H11016" s="1358"/>
      <c r="I11016" s="1358"/>
    </row>
    <row r="11017" spans="8:9">
      <c r="H11017" s="1358"/>
      <c r="I11017" s="1358"/>
    </row>
    <row r="11018" spans="8:9">
      <c r="H11018" s="1358"/>
      <c r="I11018" s="1358"/>
    </row>
    <row r="11019" spans="8:9">
      <c r="H11019" s="1358"/>
      <c r="I11019" s="1358"/>
    </row>
    <row r="11020" spans="8:9">
      <c r="H11020" s="1358"/>
      <c r="I11020" s="1358"/>
    </row>
    <row r="11021" spans="8:9">
      <c r="H11021" s="1358"/>
      <c r="I11021" s="1358"/>
    </row>
    <row r="11022" spans="8:9">
      <c r="H11022" s="1358"/>
      <c r="I11022" s="1358"/>
    </row>
    <row r="11023" spans="8:9">
      <c r="H11023" s="1358"/>
      <c r="I11023" s="1358"/>
    </row>
    <row r="11024" spans="8:9">
      <c r="H11024" s="1358"/>
      <c r="I11024" s="1358"/>
    </row>
    <row r="11025" spans="8:9">
      <c r="H11025" s="1358"/>
      <c r="I11025" s="1358"/>
    </row>
    <row r="11026" spans="8:9">
      <c r="H11026" s="1358"/>
      <c r="I11026" s="1358"/>
    </row>
    <row r="11027" spans="8:9">
      <c r="H11027" s="1358"/>
      <c r="I11027" s="1358"/>
    </row>
    <row r="11028" spans="8:9">
      <c r="H11028" s="1358"/>
      <c r="I11028" s="1358"/>
    </row>
    <row r="11029" spans="8:9">
      <c r="H11029" s="1358"/>
      <c r="I11029" s="1358"/>
    </row>
    <row r="11030" spans="8:9">
      <c r="H11030" s="1358"/>
      <c r="I11030" s="1358"/>
    </row>
    <row r="11031" spans="8:9">
      <c r="H11031" s="1358"/>
      <c r="I11031" s="1358"/>
    </row>
    <row r="11032" spans="8:9">
      <c r="H11032" s="1358"/>
      <c r="I11032" s="1358"/>
    </row>
    <row r="11033" spans="8:9">
      <c r="H11033" s="1358"/>
      <c r="I11033" s="1358"/>
    </row>
    <row r="11034" spans="8:9">
      <c r="H11034" s="1358"/>
      <c r="I11034" s="1358"/>
    </row>
    <row r="11035" spans="8:9">
      <c r="H11035" s="1358"/>
      <c r="I11035" s="1358"/>
    </row>
    <row r="11036" spans="8:9">
      <c r="H11036" s="1358"/>
      <c r="I11036" s="1358"/>
    </row>
    <row r="11037" spans="8:9">
      <c r="H11037" s="1358"/>
      <c r="I11037" s="1358"/>
    </row>
    <row r="11038" spans="8:9">
      <c r="H11038" s="1358"/>
      <c r="I11038" s="1358"/>
    </row>
    <row r="11039" spans="8:9">
      <c r="H11039" s="1358"/>
      <c r="I11039" s="1358"/>
    </row>
    <row r="11040" spans="8:9">
      <c r="H11040" s="1358"/>
      <c r="I11040" s="1358"/>
    </row>
    <row r="11041" spans="8:9">
      <c r="H11041" s="1358"/>
      <c r="I11041" s="1358"/>
    </row>
    <row r="11042" spans="8:9">
      <c r="H11042" s="1358"/>
      <c r="I11042" s="1358"/>
    </row>
    <row r="11043" spans="8:9">
      <c r="H11043" s="1358"/>
      <c r="I11043" s="1358"/>
    </row>
    <row r="11044" spans="8:9">
      <c r="H11044" s="1358"/>
      <c r="I11044" s="1358"/>
    </row>
    <row r="11045" spans="8:9">
      <c r="H11045" s="1358"/>
      <c r="I11045" s="1358"/>
    </row>
    <row r="11046" spans="8:9">
      <c r="H11046" s="1358"/>
      <c r="I11046" s="1358"/>
    </row>
    <row r="11047" spans="8:9">
      <c r="H11047" s="1358"/>
      <c r="I11047" s="1358"/>
    </row>
    <row r="11048" spans="8:9">
      <c r="H11048" s="1358"/>
      <c r="I11048" s="1358"/>
    </row>
    <row r="11049" spans="8:9">
      <c r="H11049" s="1358"/>
      <c r="I11049" s="1358"/>
    </row>
    <row r="11050" spans="8:9">
      <c r="H11050" s="1358"/>
      <c r="I11050" s="1358"/>
    </row>
    <row r="11051" spans="8:9">
      <c r="H11051" s="1358"/>
      <c r="I11051" s="1358"/>
    </row>
    <row r="11052" spans="8:9">
      <c r="H11052" s="1358"/>
      <c r="I11052" s="1358"/>
    </row>
    <row r="11053" spans="8:9">
      <c r="H11053" s="1358"/>
      <c r="I11053" s="1358"/>
    </row>
    <row r="11054" spans="8:9">
      <c r="H11054" s="1358"/>
      <c r="I11054" s="1358"/>
    </row>
    <row r="11055" spans="8:9">
      <c r="H11055" s="1358"/>
      <c r="I11055" s="1358"/>
    </row>
    <row r="11056" spans="8:9">
      <c r="H11056" s="1358"/>
      <c r="I11056" s="1358"/>
    </row>
    <row r="11057" spans="8:9">
      <c r="H11057" s="1358"/>
      <c r="I11057" s="1358"/>
    </row>
    <row r="11058" spans="8:9">
      <c r="H11058" s="1358"/>
      <c r="I11058" s="1358"/>
    </row>
    <row r="11059" spans="8:9">
      <c r="H11059" s="1358"/>
      <c r="I11059" s="1358"/>
    </row>
    <row r="11060" spans="8:9">
      <c r="H11060" s="1358"/>
      <c r="I11060" s="1358"/>
    </row>
    <row r="11061" spans="8:9">
      <c r="H11061" s="1358"/>
      <c r="I11061" s="1358"/>
    </row>
    <row r="11062" spans="8:9">
      <c r="H11062" s="1358"/>
      <c r="I11062" s="1358"/>
    </row>
    <row r="11063" spans="8:9">
      <c r="H11063" s="1358"/>
      <c r="I11063" s="1358"/>
    </row>
    <row r="11064" spans="8:9">
      <c r="H11064" s="1358"/>
      <c r="I11064" s="1358"/>
    </row>
    <row r="11065" spans="8:9">
      <c r="H11065" s="1358"/>
      <c r="I11065" s="1358"/>
    </row>
    <row r="11066" spans="8:9">
      <c r="H11066" s="1358"/>
      <c r="I11066" s="1358"/>
    </row>
    <row r="11067" spans="8:9">
      <c r="H11067" s="1358"/>
      <c r="I11067" s="1358"/>
    </row>
    <row r="11068" spans="8:9">
      <c r="H11068" s="1358"/>
      <c r="I11068" s="1358"/>
    </row>
    <row r="11069" spans="8:9">
      <c r="H11069" s="1358"/>
      <c r="I11069" s="1358"/>
    </row>
    <row r="11070" spans="8:9">
      <c r="H11070" s="1358"/>
      <c r="I11070" s="1358"/>
    </row>
    <row r="11071" spans="8:9">
      <c r="H11071" s="1358"/>
      <c r="I11071" s="1358"/>
    </row>
    <row r="11072" spans="8:9">
      <c r="H11072" s="1358"/>
      <c r="I11072" s="1358"/>
    </row>
    <row r="11073" spans="8:9">
      <c r="H11073" s="1358"/>
      <c r="I11073" s="1358"/>
    </row>
    <row r="11074" spans="8:9">
      <c r="H11074" s="1358"/>
      <c r="I11074" s="1358"/>
    </row>
    <row r="11075" spans="8:9">
      <c r="H11075" s="1358"/>
      <c r="I11075" s="1358"/>
    </row>
    <row r="11076" spans="8:9">
      <c r="H11076" s="1358"/>
      <c r="I11076" s="1358"/>
    </row>
    <row r="11077" spans="8:9">
      <c r="H11077" s="1358"/>
      <c r="I11077" s="1358"/>
    </row>
    <row r="11078" spans="8:9">
      <c r="H11078" s="1358"/>
      <c r="I11078" s="1358"/>
    </row>
    <row r="11079" spans="8:9">
      <c r="H11079" s="1358"/>
      <c r="I11079" s="1358"/>
    </row>
    <row r="11080" spans="8:9">
      <c r="H11080" s="1358"/>
      <c r="I11080" s="1358"/>
    </row>
    <row r="11081" spans="8:9">
      <c r="H11081" s="1358"/>
      <c r="I11081" s="1358"/>
    </row>
    <row r="11082" spans="8:9">
      <c r="H11082" s="1358"/>
      <c r="I11082" s="1358"/>
    </row>
    <row r="11083" spans="8:9">
      <c r="H11083" s="1358"/>
      <c r="I11083" s="1358"/>
    </row>
    <row r="11084" spans="8:9">
      <c r="H11084" s="1358"/>
      <c r="I11084" s="1358"/>
    </row>
    <row r="11085" spans="8:9">
      <c r="H11085" s="1358"/>
      <c r="I11085" s="1358"/>
    </row>
    <row r="11086" spans="8:9">
      <c r="H11086" s="1358"/>
      <c r="I11086" s="1358"/>
    </row>
    <row r="11087" spans="8:9">
      <c r="H11087" s="1358"/>
      <c r="I11087" s="1358"/>
    </row>
    <row r="11088" spans="8:9">
      <c r="H11088" s="1358"/>
      <c r="I11088" s="1358"/>
    </row>
    <row r="11089" spans="8:9">
      <c r="H11089" s="1358"/>
      <c r="I11089" s="1358"/>
    </row>
    <row r="11090" spans="8:9">
      <c r="H11090" s="1358"/>
      <c r="I11090" s="1358"/>
    </row>
    <row r="11091" spans="8:9">
      <c r="H11091" s="1358"/>
      <c r="I11091" s="1358"/>
    </row>
    <row r="11092" spans="8:9">
      <c r="H11092" s="1358"/>
      <c r="I11092" s="1358"/>
    </row>
    <row r="11093" spans="8:9">
      <c r="H11093" s="1358"/>
      <c r="I11093" s="1358"/>
    </row>
    <row r="11094" spans="8:9">
      <c r="H11094" s="1358"/>
      <c r="I11094" s="1358"/>
    </row>
    <row r="11095" spans="8:9">
      <c r="H11095" s="1358"/>
      <c r="I11095" s="1358"/>
    </row>
    <row r="11096" spans="8:9">
      <c r="H11096" s="1358"/>
      <c r="I11096" s="1358"/>
    </row>
    <row r="11097" spans="8:9">
      <c r="H11097" s="1358"/>
      <c r="I11097" s="1358"/>
    </row>
    <row r="11098" spans="8:9">
      <c r="H11098" s="1358"/>
      <c r="I11098" s="1358"/>
    </row>
    <row r="11099" spans="8:9">
      <c r="H11099" s="1358"/>
      <c r="I11099" s="1358"/>
    </row>
    <row r="11100" spans="8:9">
      <c r="H11100" s="1358"/>
      <c r="I11100" s="1358"/>
    </row>
    <row r="11101" spans="8:9">
      <c r="H11101" s="1358"/>
      <c r="I11101" s="1358"/>
    </row>
    <row r="11102" spans="8:9">
      <c r="H11102" s="1358"/>
      <c r="I11102" s="1358"/>
    </row>
    <row r="11103" spans="8:9">
      <c r="H11103" s="1358"/>
      <c r="I11103" s="1358"/>
    </row>
    <row r="11104" spans="8:9">
      <c r="H11104" s="1358"/>
      <c r="I11104" s="1358"/>
    </row>
    <row r="11105" spans="8:9">
      <c r="H11105" s="1358"/>
      <c r="I11105" s="1358"/>
    </row>
    <row r="11106" spans="8:9">
      <c r="H11106" s="1358"/>
      <c r="I11106" s="1358"/>
    </row>
    <row r="11107" spans="8:9">
      <c r="H11107" s="1358"/>
      <c r="I11107" s="1358"/>
    </row>
    <row r="11108" spans="8:9">
      <c r="H11108" s="1358"/>
      <c r="I11108" s="1358"/>
    </row>
    <row r="11109" spans="8:9">
      <c r="H11109" s="1358"/>
      <c r="I11109" s="1358"/>
    </row>
    <row r="11110" spans="8:9">
      <c r="H11110" s="1358"/>
      <c r="I11110" s="1358"/>
    </row>
    <row r="11111" spans="8:9">
      <c r="H11111" s="1358"/>
      <c r="I11111" s="1358"/>
    </row>
    <row r="11112" spans="8:9">
      <c r="H11112" s="1358"/>
      <c r="I11112" s="1358"/>
    </row>
    <row r="11113" spans="8:9">
      <c r="H11113" s="1358"/>
      <c r="I11113" s="1358"/>
    </row>
    <row r="11114" spans="8:9">
      <c r="H11114" s="1358"/>
      <c r="I11114" s="1358"/>
    </row>
    <row r="11115" spans="8:9">
      <c r="H11115" s="1358"/>
      <c r="I11115" s="1358"/>
    </row>
    <row r="11116" spans="8:9">
      <c r="H11116" s="1358"/>
      <c r="I11116" s="1358"/>
    </row>
    <row r="11117" spans="8:9">
      <c r="H11117" s="1358"/>
      <c r="I11117" s="1358"/>
    </row>
    <row r="11118" spans="8:9">
      <c r="H11118" s="1358"/>
      <c r="I11118" s="1358"/>
    </row>
    <row r="11119" spans="8:9">
      <c r="H11119" s="1358"/>
      <c r="I11119" s="1358"/>
    </row>
    <row r="11120" spans="8:9">
      <c r="H11120" s="1358"/>
      <c r="I11120" s="1358"/>
    </row>
    <row r="11121" spans="8:9">
      <c r="H11121" s="1358"/>
      <c r="I11121" s="1358"/>
    </row>
    <row r="11122" spans="8:9">
      <c r="H11122" s="1358"/>
      <c r="I11122" s="1358"/>
    </row>
    <row r="11123" spans="8:9">
      <c r="H11123" s="1358"/>
      <c r="I11123" s="1358"/>
    </row>
    <row r="11124" spans="8:9">
      <c r="H11124" s="1358"/>
      <c r="I11124" s="1358"/>
    </row>
    <row r="11125" spans="8:9">
      <c r="H11125" s="1358"/>
      <c r="I11125" s="1358"/>
    </row>
    <row r="11126" spans="8:9">
      <c r="H11126" s="1358"/>
      <c r="I11126" s="1358"/>
    </row>
    <row r="11127" spans="8:9">
      <c r="H11127" s="1358"/>
      <c r="I11127" s="1358"/>
    </row>
    <row r="11128" spans="8:9">
      <c r="H11128" s="1358"/>
      <c r="I11128" s="1358"/>
    </row>
    <row r="11129" spans="8:9">
      <c r="H11129" s="1358"/>
      <c r="I11129" s="1358"/>
    </row>
    <row r="11130" spans="8:9">
      <c r="H11130" s="1358"/>
      <c r="I11130" s="1358"/>
    </row>
    <row r="11131" spans="8:9">
      <c r="H11131" s="1358"/>
      <c r="I11131" s="1358"/>
    </row>
    <row r="11132" spans="8:9">
      <c r="H11132" s="1358"/>
      <c r="I11132" s="1358"/>
    </row>
    <row r="11133" spans="8:9">
      <c r="H11133" s="1358"/>
      <c r="I11133" s="1358"/>
    </row>
    <row r="11134" spans="8:9">
      <c r="H11134" s="1358"/>
      <c r="I11134" s="1358"/>
    </row>
    <row r="11135" spans="8:9">
      <c r="H11135" s="1358"/>
      <c r="I11135" s="1358"/>
    </row>
    <row r="11136" spans="8:9">
      <c r="H11136" s="1358"/>
      <c r="I11136" s="1358"/>
    </row>
    <row r="11137" spans="8:9">
      <c r="H11137" s="1358"/>
      <c r="I11137" s="1358"/>
    </row>
    <row r="11138" spans="8:9">
      <c r="H11138" s="1358"/>
      <c r="I11138" s="1358"/>
    </row>
    <row r="11139" spans="8:9">
      <c r="H11139" s="1358"/>
      <c r="I11139" s="1358"/>
    </row>
    <row r="11140" spans="8:9">
      <c r="H11140" s="1358"/>
      <c r="I11140" s="1358"/>
    </row>
    <row r="11141" spans="8:9">
      <c r="H11141" s="1358"/>
      <c r="I11141" s="1358"/>
    </row>
    <row r="11142" spans="8:9">
      <c r="H11142" s="1358"/>
      <c r="I11142" s="1358"/>
    </row>
    <row r="11143" spans="8:9">
      <c r="H11143" s="1358"/>
      <c r="I11143" s="1358"/>
    </row>
    <row r="11144" spans="8:9">
      <c r="H11144" s="1358"/>
      <c r="I11144" s="1358"/>
    </row>
    <row r="11145" spans="8:9">
      <c r="H11145" s="1358"/>
      <c r="I11145" s="1358"/>
    </row>
    <row r="11146" spans="8:9">
      <c r="H11146" s="1358"/>
      <c r="I11146" s="1358"/>
    </row>
    <row r="11147" spans="8:9">
      <c r="H11147" s="1358"/>
      <c r="I11147" s="1358"/>
    </row>
    <row r="11148" spans="8:9">
      <c r="H11148" s="1358"/>
      <c r="I11148" s="1358"/>
    </row>
    <row r="11149" spans="8:9">
      <c r="H11149" s="1358"/>
      <c r="I11149" s="1358"/>
    </row>
    <row r="11150" spans="8:9">
      <c r="H11150" s="1358"/>
      <c r="I11150" s="1358"/>
    </row>
    <row r="11151" spans="8:9">
      <c r="H11151" s="1358"/>
      <c r="I11151" s="1358"/>
    </row>
    <row r="11152" spans="8:9">
      <c r="H11152" s="1358"/>
      <c r="I11152" s="1358"/>
    </row>
    <row r="11153" spans="8:9">
      <c r="H11153" s="1358"/>
      <c r="I11153" s="1358"/>
    </row>
    <row r="11154" spans="8:9">
      <c r="H11154" s="1358"/>
      <c r="I11154" s="1358"/>
    </row>
    <row r="11155" spans="8:9">
      <c r="H11155" s="1358"/>
      <c r="I11155" s="1358"/>
    </row>
    <row r="11156" spans="8:9">
      <c r="H11156" s="1358"/>
      <c r="I11156" s="1358"/>
    </row>
    <row r="11157" spans="8:9">
      <c r="H11157" s="1358"/>
      <c r="I11157" s="1358"/>
    </row>
    <row r="11158" spans="8:9">
      <c r="H11158" s="1358"/>
      <c r="I11158" s="1358"/>
    </row>
    <row r="11159" spans="8:9">
      <c r="H11159" s="1358"/>
      <c r="I11159" s="1358"/>
    </row>
    <row r="11160" spans="8:9">
      <c r="H11160" s="1358"/>
      <c r="I11160" s="1358"/>
    </row>
    <row r="11161" spans="8:9">
      <c r="H11161" s="1358"/>
      <c r="I11161" s="1358"/>
    </row>
    <row r="11162" spans="8:9">
      <c r="H11162" s="1358"/>
      <c r="I11162" s="1358"/>
    </row>
    <row r="11163" spans="8:9">
      <c r="H11163" s="1358"/>
      <c r="I11163" s="1358"/>
    </row>
    <row r="11164" spans="8:9">
      <c r="H11164" s="1358"/>
      <c r="I11164" s="1358"/>
    </row>
    <row r="11165" spans="8:9">
      <c r="H11165" s="1358"/>
      <c r="I11165" s="1358"/>
    </row>
    <row r="11166" spans="8:9">
      <c r="H11166" s="1358"/>
      <c r="I11166" s="1358"/>
    </row>
    <row r="11167" spans="8:9">
      <c r="H11167" s="1358"/>
      <c r="I11167" s="1358"/>
    </row>
    <row r="11168" spans="8:9">
      <c r="H11168" s="1358"/>
      <c r="I11168" s="1358"/>
    </row>
    <row r="11169" spans="8:9">
      <c r="H11169" s="1358"/>
      <c r="I11169" s="1358"/>
    </row>
    <row r="11170" spans="8:9">
      <c r="H11170" s="1358"/>
      <c r="I11170" s="1358"/>
    </row>
    <row r="11171" spans="8:9">
      <c r="H11171" s="1358"/>
      <c r="I11171" s="1358"/>
    </row>
    <row r="11172" spans="8:9">
      <c r="H11172" s="1358"/>
      <c r="I11172" s="1358"/>
    </row>
    <row r="11173" spans="8:9">
      <c r="H11173" s="1358"/>
      <c r="I11173" s="1358"/>
    </row>
    <row r="11174" spans="8:9">
      <c r="H11174" s="1358"/>
      <c r="I11174" s="1358"/>
    </row>
    <row r="11175" spans="8:9">
      <c r="H11175" s="1358"/>
      <c r="I11175" s="1358"/>
    </row>
    <row r="11176" spans="8:9">
      <c r="H11176" s="1358"/>
      <c r="I11176" s="1358"/>
    </row>
    <row r="11177" spans="8:9">
      <c r="H11177" s="1358"/>
      <c r="I11177" s="1358"/>
    </row>
    <row r="11178" spans="8:9">
      <c r="H11178" s="1358"/>
      <c r="I11178" s="1358"/>
    </row>
    <row r="11179" spans="8:9">
      <c r="H11179" s="1358"/>
      <c r="I11179" s="1358"/>
    </row>
    <row r="11180" spans="8:9">
      <c r="H11180" s="1358"/>
      <c r="I11180" s="1358"/>
    </row>
    <row r="11181" spans="8:9">
      <c r="H11181" s="1358"/>
      <c r="I11181" s="1358"/>
    </row>
    <row r="11182" spans="8:9">
      <c r="H11182" s="1358"/>
      <c r="I11182" s="1358"/>
    </row>
    <row r="11183" spans="8:9">
      <c r="H11183" s="1358"/>
      <c r="I11183" s="1358"/>
    </row>
    <row r="11184" spans="8:9">
      <c r="H11184" s="1358"/>
      <c r="I11184" s="1358"/>
    </row>
    <row r="11185" spans="8:9">
      <c r="H11185" s="1358"/>
      <c r="I11185" s="1358"/>
    </row>
    <row r="11186" spans="8:9">
      <c r="H11186" s="1358"/>
      <c r="I11186" s="1358"/>
    </row>
    <row r="11187" spans="8:9">
      <c r="H11187" s="1358"/>
      <c r="I11187" s="1358"/>
    </row>
    <row r="11188" spans="8:9">
      <c r="H11188" s="1358"/>
      <c r="I11188" s="1358"/>
    </row>
    <row r="11189" spans="8:9">
      <c r="H11189" s="1358"/>
      <c r="I11189" s="1358"/>
    </row>
    <row r="11190" spans="8:9">
      <c r="H11190" s="1358"/>
      <c r="I11190" s="1358"/>
    </row>
    <row r="11191" spans="8:9">
      <c r="H11191" s="1358"/>
      <c r="I11191" s="1358"/>
    </row>
    <row r="11192" spans="8:9">
      <c r="H11192" s="1358"/>
      <c r="I11192" s="1358"/>
    </row>
    <row r="11193" spans="8:9">
      <c r="H11193" s="1358"/>
      <c r="I11193" s="1358"/>
    </row>
    <row r="11194" spans="8:9">
      <c r="H11194" s="1358"/>
      <c r="I11194" s="1358"/>
    </row>
    <row r="11195" spans="8:9">
      <c r="H11195" s="1358"/>
      <c r="I11195" s="1358"/>
    </row>
    <row r="11196" spans="8:9">
      <c r="H11196" s="1358"/>
      <c r="I11196" s="1358"/>
    </row>
    <row r="11197" spans="8:9">
      <c r="H11197" s="1358"/>
      <c r="I11197" s="1358"/>
    </row>
    <row r="11198" spans="8:9">
      <c r="H11198" s="1358"/>
      <c r="I11198" s="1358"/>
    </row>
    <row r="11199" spans="8:9">
      <c r="H11199" s="1358"/>
      <c r="I11199" s="1358"/>
    </row>
    <row r="11200" spans="8:9">
      <c r="H11200" s="1358"/>
      <c r="I11200" s="1358"/>
    </row>
    <row r="11201" spans="8:9">
      <c r="H11201" s="1358"/>
      <c r="I11201" s="1358"/>
    </row>
    <row r="11202" spans="8:9">
      <c r="H11202" s="1358"/>
      <c r="I11202" s="1358"/>
    </row>
    <row r="11203" spans="8:9">
      <c r="H11203" s="1358"/>
      <c r="I11203" s="1358"/>
    </row>
    <row r="11204" spans="8:9">
      <c r="H11204" s="1358"/>
      <c r="I11204" s="1358"/>
    </row>
    <row r="11205" spans="8:9">
      <c r="H11205" s="1358"/>
      <c r="I11205" s="1358"/>
    </row>
    <row r="11206" spans="8:9">
      <c r="H11206" s="1358"/>
      <c r="I11206" s="1358"/>
    </row>
    <row r="11207" spans="8:9">
      <c r="H11207" s="1358"/>
      <c r="I11207" s="1358"/>
    </row>
    <row r="11208" spans="8:9">
      <c r="H11208" s="1358"/>
      <c r="I11208" s="1358"/>
    </row>
    <row r="11209" spans="8:9">
      <c r="H11209" s="1358"/>
      <c r="I11209" s="1358"/>
    </row>
    <row r="11210" spans="8:9">
      <c r="H11210" s="1358"/>
      <c r="I11210" s="1358"/>
    </row>
    <row r="11211" spans="8:9">
      <c r="H11211" s="1358"/>
      <c r="I11211" s="1358"/>
    </row>
    <row r="11212" spans="8:9">
      <c r="H11212" s="1358"/>
      <c r="I11212" s="1358"/>
    </row>
    <row r="11213" spans="8:9">
      <c r="H11213" s="1358"/>
      <c r="I11213" s="1358"/>
    </row>
    <row r="11214" spans="8:9">
      <c r="H11214" s="1358"/>
      <c r="I11214" s="1358"/>
    </row>
    <row r="11215" spans="8:9">
      <c r="H11215" s="1358"/>
      <c r="I11215" s="1358"/>
    </row>
    <row r="11216" spans="8:9">
      <c r="H11216" s="1358"/>
      <c r="I11216" s="1358"/>
    </row>
    <row r="11217" spans="8:9">
      <c r="H11217" s="1358"/>
      <c r="I11217" s="1358"/>
    </row>
    <row r="11218" spans="8:9">
      <c r="H11218" s="1358"/>
      <c r="I11218" s="1358"/>
    </row>
    <row r="11219" spans="8:9">
      <c r="H11219" s="1358"/>
      <c r="I11219" s="1358"/>
    </row>
    <row r="11220" spans="8:9">
      <c r="H11220" s="1358"/>
      <c r="I11220" s="1358"/>
    </row>
    <row r="11221" spans="8:9">
      <c r="H11221" s="1358"/>
      <c r="I11221" s="1358"/>
    </row>
    <row r="11222" spans="8:9">
      <c r="H11222" s="1358"/>
      <c r="I11222" s="1358"/>
    </row>
    <row r="11223" spans="8:9">
      <c r="H11223" s="1358"/>
      <c r="I11223" s="1358"/>
    </row>
    <row r="11224" spans="8:9">
      <c r="H11224" s="1358"/>
      <c r="I11224" s="1358"/>
    </row>
    <row r="11225" spans="8:9">
      <c r="H11225" s="1358"/>
      <c r="I11225" s="1358"/>
    </row>
    <row r="11226" spans="8:9">
      <c r="H11226" s="1358"/>
      <c r="I11226" s="1358"/>
    </row>
    <row r="11227" spans="8:9">
      <c r="H11227" s="1358"/>
      <c r="I11227" s="1358"/>
    </row>
    <row r="11228" spans="8:9">
      <c r="H11228" s="1358"/>
      <c r="I11228" s="1358"/>
    </row>
    <row r="11229" spans="8:9">
      <c r="H11229" s="1358"/>
      <c r="I11229" s="1358"/>
    </row>
    <row r="11230" spans="8:9">
      <c r="H11230" s="1358"/>
      <c r="I11230" s="1358"/>
    </row>
    <row r="11231" spans="8:9">
      <c r="H11231" s="1358"/>
      <c r="I11231" s="1358"/>
    </row>
    <row r="11232" spans="8:9">
      <c r="H11232" s="1358"/>
      <c r="I11232" s="1358"/>
    </row>
    <row r="11233" spans="8:9">
      <c r="H11233" s="1358"/>
      <c r="I11233" s="1358"/>
    </row>
    <row r="11234" spans="8:9">
      <c r="H11234" s="1358"/>
      <c r="I11234" s="1358"/>
    </row>
    <row r="11235" spans="8:9">
      <c r="H11235" s="1358"/>
      <c r="I11235" s="1358"/>
    </row>
    <row r="11236" spans="8:9">
      <c r="H11236" s="1358"/>
      <c r="I11236" s="1358"/>
    </row>
    <row r="11237" spans="8:9">
      <c r="H11237" s="1358"/>
      <c r="I11237" s="1358"/>
    </row>
    <row r="11238" spans="8:9">
      <c r="H11238" s="1358"/>
      <c r="I11238" s="1358"/>
    </row>
    <row r="11239" spans="8:9">
      <c r="H11239" s="1358"/>
      <c r="I11239" s="1358"/>
    </row>
    <row r="11240" spans="8:9">
      <c r="H11240" s="1358"/>
      <c r="I11240" s="1358"/>
    </row>
    <row r="11241" spans="8:9">
      <c r="H11241" s="1358"/>
      <c r="I11241" s="1358"/>
    </row>
    <row r="11242" spans="8:9">
      <c r="H11242" s="1358"/>
      <c r="I11242" s="1358"/>
    </row>
    <row r="11243" spans="8:9">
      <c r="H11243" s="1358"/>
      <c r="I11243" s="1358"/>
    </row>
    <row r="11244" spans="8:9">
      <c r="H11244" s="1358"/>
      <c r="I11244" s="1358"/>
    </row>
    <row r="11245" spans="8:9">
      <c r="H11245" s="1358"/>
      <c r="I11245" s="1358"/>
    </row>
    <row r="11246" spans="8:9">
      <c r="H11246" s="1358"/>
      <c r="I11246" s="1358"/>
    </row>
    <row r="11247" spans="8:9">
      <c r="H11247" s="1358"/>
      <c r="I11247" s="1358"/>
    </row>
    <row r="11248" spans="8:9">
      <c r="H11248" s="1358"/>
      <c r="I11248" s="1358"/>
    </row>
    <row r="11249" spans="8:9">
      <c r="H11249" s="1358"/>
      <c r="I11249" s="1358"/>
    </row>
    <row r="11250" spans="8:9">
      <c r="H11250" s="1358"/>
      <c r="I11250" s="1358"/>
    </row>
    <row r="11251" spans="8:9">
      <c r="H11251" s="1358"/>
      <c r="I11251" s="1358"/>
    </row>
    <row r="11252" spans="8:9">
      <c r="H11252" s="1358"/>
      <c r="I11252" s="1358"/>
    </row>
    <row r="11253" spans="8:9">
      <c r="H11253" s="1358"/>
      <c r="I11253" s="1358"/>
    </row>
    <row r="11254" spans="8:9">
      <c r="H11254" s="1358"/>
      <c r="I11254" s="1358"/>
    </row>
    <row r="11255" spans="8:9">
      <c r="H11255" s="1358"/>
      <c r="I11255" s="1358"/>
    </row>
    <row r="11256" spans="8:9">
      <c r="H11256" s="1358"/>
      <c r="I11256" s="1358"/>
    </row>
    <row r="11257" spans="8:9">
      <c r="H11257" s="1358"/>
      <c r="I11257" s="1358"/>
    </row>
    <row r="11258" spans="8:9">
      <c r="H11258" s="1358"/>
      <c r="I11258" s="1358"/>
    </row>
    <row r="11259" spans="8:9">
      <c r="H11259" s="1358"/>
      <c r="I11259" s="1358"/>
    </row>
    <row r="11260" spans="8:9">
      <c r="H11260" s="1358"/>
      <c r="I11260" s="1358"/>
    </row>
    <row r="11261" spans="8:9">
      <c r="H11261" s="1358"/>
      <c r="I11261" s="1358"/>
    </row>
    <row r="11262" spans="8:9">
      <c r="H11262" s="1358"/>
      <c r="I11262" s="1358"/>
    </row>
    <row r="11263" spans="8:9">
      <c r="H11263" s="1358"/>
      <c r="I11263" s="1358"/>
    </row>
    <row r="11264" spans="8:9">
      <c r="H11264" s="1358"/>
      <c r="I11264" s="1358"/>
    </row>
    <row r="11265" spans="8:9">
      <c r="H11265" s="1358"/>
      <c r="I11265" s="1358"/>
    </row>
    <row r="11266" spans="8:9">
      <c r="H11266" s="1358"/>
      <c r="I11266" s="1358"/>
    </row>
    <row r="11267" spans="8:9">
      <c r="H11267" s="1358"/>
      <c r="I11267" s="1358"/>
    </row>
    <row r="11268" spans="8:9">
      <c r="H11268" s="1358"/>
      <c r="I11268" s="1358"/>
    </row>
    <row r="11269" spans="8:9">
      <c r="H11269" s="1358"/>
      <c r="I11269" s="1358"/>
    </row>
    <row r="11270" spans="8:9">
      <c r="H11270" s="1358"/>
      <c r="I11270" s="1358"/>
    </row>
    <row r="11271" spans="8:9">
      <c r="H11271" s="1358"/>
      <c r="I11271" s="1358"/>
    </row>
    <row r="11272" spans="8:9">
      <c r="H11272" s="1358"/>
      <c r="I11272" s="1358"/>
    </row>
    <row r="11273" spans="8:9">
      <c r="H11273" s="1358"/>
      <c r="I11273" s="1358"/>
    </row>
    <row r="11274" spans="8:9">
      <c r="H11274" s="1358"/>
      <c r="I11274" s="1358"/>
    </row>
    <row r="11275" spans="8:9">
      <c r="H11275" s="1358"/>
      <c r="I11275" s="1358"/>
    </row>
    <row r="11276" spans="8:9">
      <c r="H11276" s="1358"/>
      <c r="I11276" s="1358"/>
    </row>
    <row r="11277" spans="8:9">
      <c r="H11277" s="1358"/>
      <c r="I11277" s="1358"/>
    </row>
    <row r="11278" spans="8:9">
      <c r="H11278" s="1358"/>
      <c r="I11278" s="1358"/>
    </row>
    <row r="11279" spans="8:9">
      <c r="H11279" s="1358"/>
      <c r="I11279" s="1358"/>
    </row>
    <row r="11280" spans="8:9">
      <c r="H11280" s="1358"/>
      <c r="I11280" s="1358"/>
    </row>
    <row r="11281" spans="8:9">
      <c r="H11281" s="1358"/>
      <c r="I11281" s="1358"/>
    </row>
    <row r="11282" spans="8:9">
      <c r="H11282" s="1358"/>
      <c r="I11282" s="1358"/>
    </row>
    <row r="11283" spans="8:9">
      <c r="H11283" s="1358"/>
      <c r="I11283" s="1358"/>
    </row>
    <row r="11284" spans="8:9">
      <c r="H11284" s="1358"/>
      <c r="I11284" s="1358"/>
    </row>
    <row r="11285" spans="8:9">
      <c r="H11285" s="1358"/>
      <c r="I11285" s="1358"/>
    </row>
    <row r="11286" spans="8:9">
      <c r="H11286" s="1358"/>
      <c r="I11286" s="1358"/>
    </row>
    <row r="11287" spans="8:9">
      <c r="H11287" s="1358"/>
      <c r="I11287" s="1358"/>
    </row>
    <row r="11288" spans="8:9">
      <c r="H11288" s="1358"/>
      <c r="I11288" s="1358"/>
    </row>
    <row r="11289" spans="8:9">
      <c r="H11289" s="1358"/>
      <c r="I11289" s="1358"/>
    </row>
    <row r="11290" spans="8:9">
      <c r="H11290" s="1358"/>
      <c r="I11290" s="1358"/>
    </row>
    <row r="11291" spans="8:9">
      <c r="H11291" s="1358"/>
      <c r="I11291" s="1358"/>
    </row>
    <row r="11292" spans="8:9">
      <c r="H11292" s="1358"/>
      <c r="I11292" s="1358"/>
    </row>
    <row r="11293" spans="8:9">
      <c r="H11293" s="1358"/>
      <c r="I11293" s="1358"/>
    </row>
    <row r="11294" spans="8:9">
      <c r="H11294" s="1358"/>
      <c r="I11294" s="1358"/>
    </row>
    <row r="11295" spans="8:9">
      <c r="H11295" s="1358"/>
      <c r="I11295" s="1358"/>
    </row>
    <row r="11296" spans="8:9">
      <c r="H11296" s="1358"/>
      <c r="I11296" s="1358"/>
    </row>
    <row r="11297" spans="8:9">
      <c r="H11297" s="1358"/>
      <c r="I11297" s="1358"/>
    </row>
    <row r="11298" spans="8:9">
      <c r="H11298" s="1358"/>
      <c r="I11298" s="1358"/>
    </row>
    <row r="11299" spans="8:9">
      <c r="H11299" s="1358"/>
      <c r="I11299" s="1358"/>
    </row>
    <row r="11300" spans="8:9">
      <c r="H11300" s="1358"/>
      <c r="I11300" s="1358"/>
    </row>
    <row r="11301" spans="8:9">
      <c r="H11301" s="1358"/>
      <c r="I11301" s="1358"/>
    </row>
    <row r="11302" spans="8:9">
      <c r="H11302" s="1358"/>
      <c r="I11302" s="1358"/>
    </row>
    <row r="11303" spans="8:9">
      <c r="H11303" s="1358"/>
      <c r="I11303" s="1358"/>
    </row>
    <row r="11304" spans="8:9">
      <c r="H11304" s="1358"/>
      <c r="I11304" s="1358"/>
    </row>
    <row r="11305" spans="8:9">
      <c r="H11305" s="1358"/>
      <c r="I11305" s="1358"/>
    </row>
    <row r="11306" spans="8:9">
      <c r="H11306" s="1358"/>
      <c r="I11306" s="1358"/>
    </row>
    <row r="11307" spans="8:9">
      <c r="H11307" s="1358"/>
      <c r="I11307" s="1358"/>
    </row>
    <row r="11308" spans="8:9">
      <c r="H11308" s="1358"/>
      <c r="I11308" s="1358"/>
    </row>
    <row r="11309" spans="8:9">
      <c r="H11309" s="1358"/>
      <c r="I11309" s="1358"/>
    </row>
    <row r="11310" spans="8:9">
      <c r="H11310" s="1358"/>
      <c r="I11310" s="1358"/>
    </row>
    <row r="11311" spans="8:9">
      <c r="H11311" s="1358"/>
      <c r="I11311" s="1358"/>
    </row>
    <row r="11312" spans="8:9">
      <c r="H11312" s="1358"/>
      <c r="I11312" s="1358"/>
    </row>
    <row r="11313" spans="8:9">
      <c r="H11313" s="1358"/>
      <c r="I11313" s="1358"/>
    </row>
    <row r="11314" spans="8:9">
      <c r="H11314" s="1358"/>
      <c r="I11314" s="1358"/>
    </row>
    <row r="11315" spans="8:9">
      <c r="H11315" s="1358"/>
      <c r="I11315" s="1358"/>
    </row>
    <row r="11316" spans="8:9">
      <c r="H11316" s="1358"/>
      <c r="I11316" s="1358"/>
    </row>
    <row r="11317" spans="8:9">
      <c r="H11317" s="1358"/>
      <c r="I11317" s="1358"/>
    </row>
    <row r="11318" spans="8:9">
      <c r="H11318" s="1358"/>
      <c r="I11318" s="1358"/>
    </row>
    <row r="11319" spans="8:9">
      <c r="H11319" s="1358"/>
      <c r="I11319" s="1358"/>
    </row>
    <row r="11320" spans="8:9">
      <c r="H11320" s="1358"/>
      <c r="I11320" s="1358"/>
    </row>
    <row r="11321" spans="8:9">
      <c r="H11321" s="1358"/>
      <c r="I11321" s="1358"/>
    </row>
    <row r="11322" spans="8:9">
      <c r="H11322" s="1358"/>
      <c r="I11322" s="1358"/>
    </row>
    <row r="11323" spans="8:9">
      <c r="H11323" s="1358"/>
      <c r="I11323" s="1358"/>
    </row>
    <row r="11324" spans="8:9">
      <c r="H11324" s="1358"/>
      <c r="I11324" s="1358"/>
    </row>
    <row r="11325" spans="8:9">
      <c r="H11325" s="1358"/>
      <c r="I11325" s="1358"/>
    </row>
    <row r="11326" spans="8:9">
      <c r="H11326" s="1358"/>
      <c r="I11326" s="1358"/>
    </row>
    <row r="11327" spans="8:9">
      <c r="H11327" s="1358"/>
      <c r="I11327" s="1358"/>
    </row>
    <row r="11328" spans="8:9">
      <c r="H11328" s="1358"/>
      <c r="I11328" s="1358"/>
    </row>
    <row r="11329" spans="8:9">
      <c r="H11329" s="1358"/>
      <c r="I11329" s="1358"/>
    </row>
    <row r="11330" spans="8:9">
      <c r="H11330" s="1358"/>
      <c r="I11330" s="1358"/>
    </row>
    <row r="11331" spans="8:9">
      <c r="H11331" s="1358"/>
      <c r="I11331" s="1358"/>
    </row>
    <row r="11332" spans="8:9">
      <c r="H11332" s="1358"/>
      <c r="I11332" s="1358"/>
    </row>
    <row r="11333" spans="8:9">
      <c r="H11333" s="1358"/>
      <c r="I11333" s="1358"/>
    </row>
    <row r="11334" spans="8:9">
      <c r="H11334" s="1358"/>
      <c r="I11334" s="1358"/>
    </row>
    <row r="11335" spans="8:9">
      <c r="H11335" s="1358"/>
      <c r="I11335" s="1358"/>
    </row>
    <row r="11336" spans="8:9">
      <c r="H11336" s="1358"/>
      <c r="I11336" s="1358"/>
    </row>
    <row r="11337" spans="8:9">
      <c r="H11337" s="1358"/>
      <c r="I11337" s="1358"/>
    </row>
    <row r="11338" spans="8:9">
      <c r="H11338" s="1358"/>
      <c r="I11338" s="1358"/>
    </row>
    <row r="11339" spans="8:9">
      <c r="H11339" s="1358"/>
      <c r="I11339" s="1358"/>
    </row>
    <row r="11340" spans="8:9">
      <c r="H11340" s="1358"/>
      <c r="I11340" s="1358"/>
    </row>
    <row r="11341" spans="8:9">
      <c r="H11341" s="1358"/>
      <c r="I11341" s="1358"/>
    </row>
    <row r="11342" spans="8:9">
      <c r="H11342" s="1358"/>
      <c r="I11342" s="1358"/>
    </row>
    <row r="11343" spans="8:9">
      <c r="H11343" s="1358"/>
      <c r="I11343" s="1358"/>
    </row>
    <row r="11344" spans="8:9">
      <c r="H11344" s="1358"/>
      <c r="I11344" s="1358"/>
    </row>
    <row r="11345" spans="8:9">
      <c r="H11345" s="1358"/>
      <c r="I11345" s="1358"/>
    </row>
    <row r="11346" spans="8:9">
      <c r="H11346" s="1358"/>
      <c r="I11346" s="1358"/>
    </row>
    <row r="11347" spans="8:9">
      <c r="H11347" s="1358"/>
      <c r="I11347" s="1358"/>
    </row>
    <row r="11348" spans="8:9">
      <c r="H11348" s="1358"/>
      <c r="I11348" s="1358"/>
    </row>
    <row r="11349" spans="8:9">
      <c r="H11349" s="1358"/>
      <c r="I11349" s="1358"/>
    </row>
    <row r="11350" spans="8:9">
      <c r="H11350" s="1358"/>
      <c r="I11350" s="1358"/>
    </row>
    <row r="11351" spans="8:9">
      <c r="H11351" s="1358"/>
      <c r="I11351" s="1358"/>
    </row>
    <row r="11352" spans="8:9">
      <c r="H11352" s="1358"/>
      <c r="I11352" s="1358"/>
    </row>
    <row r="11353" spans="8:9">
      <c r="H11353" s="1358"/>
      <c r="I11353" s="1358"/>
    </row>
    <row r="11354" spans="8:9">
      <c r="H11354" s="1358"/>
      <c r="I11354" s="1358"/>
    </row>
    <row r="11355" spans="8:9">
      <c r="H11355" s="1358"/>
      <c r="I11355" s="1358"/>
    </row>
    <row r="11356" spans="8:9">
      <c r="H11356" s="1358"/>
      <c r="I11356" s="1358"/>
    </row>
    <row r="11357" spans="8:9">
      <c r="H11357" s="1358"/>
      <c r="I11357" s="1358"/>
    </row>
    <row r="11358" spans="8:9">
      <c r="H11358" s="1358"/>
      <c r="I11358" s="1358"/>
    </row>
    <row r="11359" spans="8:9">
      <c r="H11359" s="1358"/>
      <c r="I11359" s="1358"/>
    </row>
    <row r="11360" spans="8:9">
      <c r="H11360" s="1358"/>
      <c r="I11360" s="1358"/>
    </row>
    <row r="11361" spans="8:9">
      <c r="H11361" s="1358"/>
      <c r="I11361" s="1358"/>
    </row>
    <row r="11362" spans="8:9">
      <c r="H11362" s="1358"/>
      <c r="I11362" s="1358"/>
    </row>
    <row r="11363" spans="8:9">
      <c r="H11363" s="1358"/>
      <c r="I11363" s="1358"/>
    </row>
    <row r="11364" spans="8:9">
      <c r="H11364" s="1358"/>
      <c r="I11364" s="1358"/>
    </row>
    <row r="11365" spans="8:9">
      <c r="H11365" s="1358"/>
      <c r="I11365" s="1358"/>
    </row>
    <row r="11366" spans="8:9">
      <c r="H11366" s="1358"/>
      <c r="I11366" s="1358"/>
    </row>
    <row r="11367" spans="8:9">
      <c r="H11367" s="1358"/>
      <c r="I11367" s="1358"/>
    </row>
    <row r="11368" spans="8:9">
      <c r="H11368" s="1358"/>
      <c r="I11368" s="1358"/>
    </row>
    <row r="11369" spans="8:9">
      <c r="H11369" s="1358"/>
      <c r="I11369" s="1358"/>
    </row>
    <row r="11370" spans="8:9">
      <c r="H11370" s="1358"/>
      <c r="I11370" s="1358"/>
    </row>
    <row r="11371" spans="8:9">
      <c r="H11371" s="1358"/>
      <c r="I11371" s="1358"/>
    </row>
    <row r="11372" spans="8:9">
      <c r="H11372" s="1358"/>
      <c r="I11372" s="1358"/>
    </row>
    <row r="11373" spans="8:9">
      <c r="H11373" s="1358"/>
      <c r="I11373" s="1358"/>
    </row>
    <row r="11374" spans="8:9">
      <c r="H11374" s="1358"/>
      <c r="I11374" s="1358"/>
    </row>
    <row r="11375" spans="8:9">
      <c r="H11375" s="1358"/>
      <c r="I11375" s="1358"/>
    </row>
    <row r="11376" spans="8:9">
      <c r="H11376" s="1358"/>
      <c r="I11376" s="1358"/>
    </row>
    <row r="11377" spans="8:9">
      <c r="H11377" s="1358"/>
      <c r="I11377" s="1358"/>
    </row>
    <row r="11378" spans="8:9">
      <c r="H11378" s="1358"/>
      <c r="I11378" s="1358"/>
    </row>
    <row r="11379" spans="8:9">
      <c r="H11379" s="1358"/>
      <c r="I11379" s="1358"/>
    </row>
    <row r="11380" spans="8:9">
      <c r="H11380" s="1358"/>
      <c r="I11380" s="1358"/>
    </row>
    <row r="11381" spans="8:9">
      <c r="H11381" s="1358"/>
      <c r="I11381" s="1358"/>
    </row>
    <row r="11382" spans="8:9">
      <c r="H11382" s="1358"/>
      <c r="I11382" s="1358"/>
    </row>
    <row r="11383" spans="8:9">
      <c r="H11383" s="1358"/>
      <c r="I11383" s="1358"/>
    </row>
    <row r="11384" spans="8:9">
      <c r="H11384" s="1358"/>
      <c r="I11384" s="1358"/>
    </row>
    <row r="11385" spans="8:9">
      <c r="H11385" s="1358"/>
      <c r="I11385" s="1358"/>
    </row>
    <row r="11386" spans="8:9">
      <c r="H11386" s="1358"/>
      <c r="I11386" s="1358"/>
    </row>
    <row r="11387" spans="8:9">
      <c r="H11387" s="1358"/>
      <c r="I11387" s="1358"/>
    </row>
    <row r="11388" spans="8:9">
      <c r="H11388" s="1358"/>
      <c r="I11388" s="1358"/>
    </row>
    <row r="11389" spans="8:9">
      <c r="H11389" s="1358"/>
      <c r="I11389" s="1358"/>
    </row>
    <row r="11390" spans="8:9">
      <c r="H11390" s="1358"/>
      <c r="I11390" s="1358"/>
    </row>
    <row r="11391" spans="8:9">
      <c r="H11391" s="1358"/>
      <c r="I11391" s="1358"/>
    </row>
    <row r="11392" spans="8:9">
      <c r="H11392" s="1358"/>
      <c r="I11392" s="1358"/>
    </row>
    <row r="11393" spans="8:9">
      <c r="H11393" s="1358"/>
      <c r="I11393" s="1358"/>
    </row>
    <row r="11394" spans="8:9">
      <c r="H11394" s="1358"/>
      <c r="I11394" s="1358"/>
    </row>
    <row r="11395" spans="8:9">
      <c r="H11395" s="1358"/>
      <c r="I11395" s="1358"/>
    </row>
    <row r="11396" spans="8:9">
      <c r="H11396" s="1358"/>
      <c r="I11396" s="1358"/>
    </row>
    <row r="11397" spans="8:9">
      <c r="H11397" s="1358"/>
      <c r="I11397" s="1358"/>
    </row>
    <row r="11398" spans="8:9">
      <c r="H11398" s="1358"/>
      <c r="I11398" s="1358"/>
    </row>
    <row r="11399" spans="8:9">
      <c r="H11399" s="1358"/>
      <c r="I11399" s="1358"/>
    </row>
    <row r="11400" spans="8:9">
      <c r="H11400" s="1358"/>
      <c r="I11400" s="1358"/>
    </row>
    <row r="11401" spans="8:9">
      <c r="H11401" s="1358"/>
      <c r="I11401" s="1358"/>
    </row>
    <row r="11402" spans="8:9">
      <c r="H11402" s="1358"/>
      <c r="I11402" s="1358"/>
    </row>
    <row r="11403" spans="8:9">
      <c r="H11403" s="1358"/>
      <c r="I11403" s="1358"/>
    </row>
    <row r="11404" spans="8:9">
      <c r="H11404" s="1358"/>
      <c r="I11404" s="1358"/>
    </row>
    <row r="11405" spans="8:9">
      <c r="H11405" s="1358"/>
      <c r="I11405" s="1358"/>
    </row>
    <row r="11406" spans="8:9">
      <c r="H11406" s="1358"/>
      <c r="I11406" s="1358"/>
    </row>
    <row r="11407" spans="8:9">
      <c r="H11407" s="1358"/>
      <c r="I11407" s="1358"/>
    </row>
    <row r="11408" spans="8:9">
      <c r="H11408" s="1358"/>
      <c r="I11408" s="1358"/>
    </row>
    <row r="11409" spans="8:9">
      <c r="H11409" s="1358"/>
      <c r="I11409" s="1358"/>
    </row>
    <row r="11410" spans="8:9">
      <c r="H11410" s="1358"/>
      <c r="I11410" s="1358"/>
    </row>
    <row r="11411" spans="8:9">
      <c r="H11411" s="1358"/>
      <c r="I11411" s="1358"/>
    </row>
    <row r="11412" spans="8:9">
      <c r="H11412" s="1358"/>
      <c r="I11412" s="1358"/>
    </row>
    <row r="11413" spans="8:9">
      <c r="H11413" s="1358"/>
      <c r="I11413" s="1358"/>
    </row>
    <row r="11414" spans="8:9">
      <c r="H11414" s="1358"/>
      <c r="I11414" s="1358"/>
    </row>
    <row r="11415" spans="8:9">
      <c r="H11415" s="1358"/>
      <c r="I11415" s="1358"/>
    </row>
    <row r="11416" spans="8:9">
      <c r="H11416" s="1358"/>
      <c r="I11416" s="1358"/>
    </row>
    <row r="11417" spans="8:9">
      <c r="H11417" s="1358"/>
      <c r="I11417" s="1358"/>
    </row>
    <row r="11418" spans="8:9">
      <c r="H11418" s="1358"/>
      <c r="I11418" s="1358"/>
    </row>
    <row r="11419" spans="8:9">
      <c r="H11419" s="1358"/>
      <c r="I11419" s="1358"/>
    </row>
    <row r="11420" spans="8:9">
      <c r="H11420" s="1358"/>
      <c r="I11420" s="1358"/>
    </row>
    <row r="11421" spans="8:9">
      <c r="H11421" s="1358"/>
      <c r="I11421" s="1358"/>
    </row>
    <row r="11422" spans="8:9">
      <c r="H11422" s="1358"/>
      <c r="I11422" s="1358"/>
    </row>
    <row r="11423" spans="8:9">
      <c r="H11423" s="1358"/>
      <c r="I11423" s="1358"/>
    </row>
    <row r="11424" spans="8:9">
      <c r="H11424" s="1358"/>
      <c r="I11424" s="1358"/>
    </row>
    <row r="11425" spans="8:9">
      <c r="H11425" s="1358"/>
      <c r="I11425" s="1358"/>
    </row>
    <row r="11426" spans="8:9">
      <c r="H11426" s="1358"/>
      <c r="I11426" s="1358"/>
    </row>
    <row r="11427" spans="8:9">
      <c r="H11427" s="1358"/>
      <c r="I11427" s="1358"/>
    </row>
    <row r="11428" spans="8:9">
      <c r="H11428" s="1358"/>
      <c r="I11428" s="1358"/>
    </row>
    <row r="11429" spans="8:9">
      <c r="H11429" s="1358"/>
      <c r="I11429" s="1358"/>
    </row>
    <row r="11430" spans="8:9">
      <c r="H11430" s="1358"/>
      <c r="I11430" s="1358"/>
    </row>
    <row r="11431" spans="8:9">
      <c r="H11431" s="1358"/>
      <c r="I11431" s="1358"/>
    </row>
    <row r="11432" spans="8:9">
      <c r="H11432" s="1358"/>
      <c r="I11432" s="1358"/>
    </row>
    <row r="11433" spans="8:9">
      <c r="H11433" s="1358"/>
      <c r="I11433" s="1358"/>
    </row>
    <row r="11434" spans="8:9">
      <c r="H11434" s="1358"/>
      <c r="I11434" s="1358"/>
    </row>
    <row r="11435" spans="8:9">
      <c r="H11435" s="1358"/>
      <c r="I11435" s="1358"/>
    </row>
    <row r="11436" spans="8:9">
      <c r="H11436" s="1358"/>
      <c r="I11436" s="1358"/>
    </row>
    <row r="11437" spans="8:9">
      <c r="H11437" s="1358"/>
      <c r="I11437" s="1358"/>
    </row>
    <row r="11438" spans="8:9">
      <c r="H11438" s="1358"/>
      <c r="I11438" s="1358"/>
    </row>
    <row r="11439" spans="8:9">
      <c r="H11439" s="1358"/>
      <c r="I11439" s="1358"/>
    </row>
    <row r="11440" spans="8:9">
      <c r="H11440" s="1358"/>
      <c r="I11440" s="1358"/>
    </row>
    <row r="11441" spans="8:9">
      <c r="H11441" s="1358"/>
      <c r="I11441" s="1358"/>
    </row>
    <row r="11442" spans="8:9">
      <c r="H11442" s="1358"/>
      <c r="I11442" s="1358"/>
    </row>
    <row r="11443" spans="8:9">
      <c r="H11443" s="1358"/>
      <c r="I11443" s="1358"/>
    </row>
    <row r="11444" spans="8:9">
      <c r="H11444" s="1358"/>
      <c r="I11444" s="1358"/>
    </row>
    <row r="11445" spans="8:9">
      <c r="H11445" s="1358"/>
      <c r="I11445" s="1358"/>
    </row>
    <row r="11446" spans="8:9">
      <c r="H11446" s="1358"/>
      <c r="I11446" s="1358"/>
    </row>
    <row r="11447" spans="8:9">
      <c r="H11447" s="1358"/>
      <c r="I11447" s="1358"/>
    </row>
    <row r="11448" spans="8:9">
      <c r="H11448" s="1358"/>
      <c r="I11448" s="1358"/>
    </row>
    <row r="11449" spans="8:9">
      <c r="H11449" s="1358"/>
      <c r="I11449" s="1358"/>
    </row>
    <row r="11450" spans="8:9">
      <c r="H11450" s="1358"/>
      <c r="I11450" s="1358"/>
    </row>
    <row r="11451" spans="8:9">
      <c r="H11451" s="1358"/>
      <c r="I11451" s="1358"/>
    </row>
    <row r="11452" spans="8:9">
      <c r="H11452" s="1358"/>
      <c r="I11452" s="1358"/>
    </row>
    <row r="11453" spans="8:9">
      <c r="H11453" s="1358"/>
      <c r="I11453" s="1358"/>
    </row>
    <row r="11454" spans="8:9">
      <c r="H11454" s="1358"/>
      <c r="I11454" s="1358"/>
    </row>
    <row r="11455" spans="8:9">
      <c r="H11455" s="1358"/>
      <c r="I11455" s="1358"/>
    </row>
    <row r="11456" spans="8:9">
      <c r="H11456" s="1358"/>
      <c r="I11456" s="1358"/>
    </row>
    <row r="11457" spans="8:9">
      <c r="H11457" s="1358"/>
      <c r="I11457" s="1358"/>
    </row>
    <row r="11458" spans="8:9">
      <c r="H11458" s="1358"/>
      <c r="I11458" s="1358"/>
    </row>
    <row r="11459" spans="8:9">
      <c r="H11459" s="1358"/>
      <c r="I11459" s="1358"/>
    </row>
    <row r="11460" spans="8:9">
      <c r="H11460" s="1358"/>
      <c r="I11460" s="1358"/>
    </row>
    <row r="11461" spans="8:9">
      <c r="H11461" s="1358"/>
      <c r="I11461" s="1358"/>
    </row>
    <row r="11462" spans="8:9">
      <c r="H11462" s="1358"/>
      <c r="I11462" s="1358"/>
    </row>
    <row r="11463" spans="8:9">
      <c r="H11463" s="1358"/>
      <c r="I11463" s="1358"/>
    </row>
    <row r="11464" spans="8:9">
      <c r="H11464" s="1358"/>
      <c r="I11464" s="1358"/>
    </row>
    <row r="11465" spans="8:9">
      <c r="H11465" s="1358"/>
      <c r="I11465" s="1358"/>
    </row>
    <row r="11466" spans="8:9">
      <c r="H11466" s="1358"/>
      <c r="I11466" s="1358"/>
    </row>
    <row r="11467" spans="8:9">
      <c r="H11467" s="1358"/>
      <c r="I11467" s="1358"/>
    </row>
    <row r="11468" spans="8:9">
      <c r="H11468" s="1358"/>
      <c r="I11468" s="1358"/>
    </row>
    <row r="11469" spans="8:9">
      <c r="H11469" s="1358"/>
      <c r="I11469" s="1358"/>
    </row>
    <row r="11470" spans="8:9">
      <c r="H11470" s="1358"/>
      <c r="I11470" s="1358"/>
    </row>
    <row r="11471" spans="8:9">
      <c r="H11471" s="1358"/>
      <c r="I11471" s="1358"/>
    </row>
    <row r="11472" spans="8:9">
      <c r="H11472" s="1358"/>
      <c r="I11472" s="1358"/>
    </row>
    <row r="11473" spans="8:9">
      <c r="H11473" s="1358"/>
      <c r="I11473" s="1358"/>
    </row>
    <row r="11474" spans="8:9">
      <c r="H11474" s="1358"/>
      <c r="I11474" s="1358"/>
    </row>
    <row r="11475" spans="8:9">
      <c r="H11475" s="1358"/>
      <c r="I11475" s="1358"/>
    </row>
    <row r="11476" spans="8:9">
      <c r="H11476" s="1358"/>
      <c r="I11476" s="1358"/>
    </row>
    <row r="11477" spans="8:9">
      <c r="H11477" s="1358"/>
      <c r="I11477" s="1358"/>
    </row>
    <row r="11478" spans="8:9">
      <c r="H11478" s="1358"/>
      <c r="I11478" s="1358"/>
    </row>
    <row r="11479" spans="8:9">
      <c r="H11479" s="1358"/>
      <c r="I11479" s="1358"/>
    </row>
    <row r="11480" spans="8:9">
      <c r="H11480" s="1358"/>
      <c r="I11480" s="1358"/>
    </row>
    <row r="11481" spans="8:9">
      <c r="H11481" s="1358"/>
      <c r="I11481" s="1358"/>
    </row>
    <row r="11482" spans="8:9">
      <c r="H11482" s="1358"/>
      <c r="I11482" s="1358"/>
    </row>
    <row r="11483" spans="8:9">
      <c r="H11483" s="1358"/>
      <c r="I11483" s="1358"/>
    </row>
    <row r="11484" spans="8:9">
      <c r="H11484" s="1358"/>
      <c r="I11484" s="1358"/>
    </row>
    <row r="11485" spans="8:9">
      <c r="H11485" s="1358"/>
      <c r="I11485" s="1358"/>
    </row>
    <row r="11486" spans="8:9">
      <c r="H11486" s="1358"/>
      <c r="I11486" s="1358"/>
    </row>
    <row r="11487" spans="8:9">
      <c r="H11487" s="1358"/>
      <c r="I11487" s="1358"/>
    </row>
    <row r="11488" spans="8:9">
      <c r="H11488" s="1358"/>
      <c r="I11488" s="1358"/>
    </row>
    <row r="11489" spans="8:9">
      <c r="H11489" s="1358"/>
      <c r="I11489" s="1358"/>
    </row>
    <row r="11490" spans="8:9">
      <c r="H11490" s="1358"/>
      <c r="I11490" s="1358"/>
    </row>
    <row r="11491" spans="8:9">
      <c r="H11491" s="1358"/>
      <c r="I11491" s="1358"/>
    </row>
    <row r="11492" spans="8:9">
      <c r="H11492" s="1358"/>
      <c r="I11492" s="1358"/>
    </row>
    <row r="11493" spans="8:9">
      <c r="H11493" s="1358"/>
      <c r="I11493" s="1358"/>
    </row>
    <row r="11494" spans="8:9">
      <c r="H11494" s="1358"/>
      <c r="I11494" s="1358"/>
    </row>
    <row r="11495" spans="8:9">
      <c r="H11495" s="1358"/>
      <c r="I11495" s="1358"/>
    </row>
    <row r="11496" spans="8:9">
      <c r="H11496" s="1358"/>
      <c r="I11496" s="1358"/>
    </row>
    <row r="11497" spans="8:9">
      <c r="H11497" s="1358"/>
      <c r="I11497" s="1358"/>
    </row>
    <row r="11498" spans="8:9">
      <c r="H11498" s="1358"/>
      <c r="I11498" s="1358"/>
    </row>
    <row r="11499" spans="8:9">
      <c r="H11499" s="1358"/>
      <c r="I11499" s="1358"/>
    </row>
    <row r="11500" spans="8:9">
      <c r="H11500" s="1358"/>
      <c r="I11500" s="1358"/>
    </row>
    <row r="11501" spans="8:9">
      <c r="H11501" s="1358"/>
      <c r="I11501" s="1358"/>
    </row>
    <row r="11502" spans="8:9">
      <c r="H11502" s="1358"/>
      <c r="I11502" s="1358"/>
    </row>
    <row r="11503" spans="8:9">
      <c r="H11503" s="1358"/>
      <c r="I11503" s="1358"/>
    </row>
    <row r="11504" spans="8:9">
      <c r="H11504" s="1358"/>
      <c r="I11504" s="1358"/>
    </row>
    <row r="11505" spans="8:9">
      <c r="H11505" s="1358"/>
      <c r="I11505" s="1358"/>
    </row>
    <row r="11506" spans="8:9">
      <c r="H11506" s="1358"/>
      <c r="I11506" s="1358"/>
    </row>
    <row r="11507" spans="8:9">
      <c r="H11507" s="1358"/>
      <c r="I11507" s="1358"/>
    </row>
    <row r="11508" spans="8:9">
      <c r="H11508" s="1358"/>
      <c r="I11508" s="1358"/>
    </row>
    <row r="11509" spans="8:9">
      <c r="H11509" s="1358"/>
      <c r="I11509" s="1358"/>
    </row>
    <row r="11510" spans="8:9">
      <c r="H11510" s="1358"/>
      <c r="I11510" s="1358"/>
    </row>
    <row r="11511" spans="8:9">
      <c r="H11511" s="1358"/>
      <c r="I11511" s="1358"/>
    </row>
    <row r="11512" spans="8:9">
      <c r="H11512" s="1358"/>
      <c r="I11512" s="1358"/>
    </row>
    <row r="11513" spans="8:9">
      <c r="H11513" s="1358"/>
      <c r="I11513" s="1358"/>
    </row>
    <row r="11514" spans="8:9">
      <c r="H11514" s="1358"/>
      <c r="I11514" s="1358"/>
    </row>
    <row r="11515" spans="8:9">
      <c r="H11515" s="1358"/>
      <c r="I11515" s="1358"/>
    </row>
    <row r="11516" spans="8:9">
      <c r="H11516" s="1358"/>
      <c r="I11516" s="1358"/>
    </row>
    <row r="11517" spans="8:9">
      <c r="H11517" s="1358"/>
      <c r="I11517" s="1358"/>
    </row>
    <row r="11518" spans="8:9">
      <c r="H11518" s="1358"/>
      <c r="I11518" s="1358"/>
    </row>
    <row r="11519" spans="8:9">
      <c r="H11519" s="1358"/>
      <c r="I11519" s="1358"/>
    </row>
    <row r="11520" spans="8:9">
      <c r="H11520" s="1358"/>
      <c r="I11520" s="1358"/>
    </row>
    <row r="11521" spans="8:9">
      <c r="H11521" s="1358"/>
      <c r="I11521" s="1358"/>
    </row>
    <row r="11522" spans="8:9">
      <c r="H11522" s="1358"/>
      <c r="I11522" s="1358"/>
    </row>
    <row r="11523" spans="8:9">
      <c r="H11523" s="1358"/>
      <c r="I11523" s="1358"/>
    </row>
    <row r="11524" spans="8:9">
      <c r="H11524" s="1358"/>
      <c r="I11524" s="1358"/>
    </row>
    <row r="11525" spans="8:9">
      <c r="H11525" s="1358"/>
      <c r="I11525" s="1358"/>
    </row>
    <row r="11526" spans="8:9">
      <c r="H11526" s="1358"/>
      <c r="I11526" s="1358"/>
    </row>
    <row r="11527" spans="8:9">
      <c r="H11527" s="1358"/>
      <c r="I11527" s="1358"/>
    </row>
    <row r="11528" spans="8:9">
      <c r="H11528" s="1358"/>
      <c r="I11528" s="1358"/>
    </row>
    <row r="11529" spans="8:9">
      <c r="H11529" s="1358"/>
      <c r="I11529" s="1358"/>
    </row>
    <row r="11530" spans="8:9">
      <c r="H11530" s="1358"/>
      <c r="I11530" s="1358"/>
    </row>
    <row r="11531" spans="8:9">
      <c r="H11531" s="1358"/>
      <c r="I11531" s="1358"/>
    </row>
    <row r="11532" spans="8:9">
      <c r="H11532" s="1358"/>
      <c r="I11532" s="1358"/>
    </row>
    <row r="11533" spans="8:9">
      <c r="H11533" s="1358"/>
      <c r="I11533" s="1358"/>
    </row>
    <row r="11534" spans="8:9">
      <c r="H11534" s="1358"/>
      <c r="I11534" s="1358"/>
    </row>
    <row r="11535" spans="8:9">
      <c r="H11535" s="1358"/>
      <c r="I11535" s="1358"/>
    </row>
    <row r="11536" spans="8:9">
      <c r="H11536" s="1358"/>
      <c r="I11536" s="1358"/>
    </row>
    <row r="11537" spans="8:9">
      <c r="H11537" s="1358"/>
      <c r="I11537" s="1358"/>
    </row>
    <row r="11538" spans="8:9">
      <c r="H11538" s="1358"/>
      <c r="I11538" s="1358"/>
    </row>
    <row r="11539" spans="8:9">
      <c r="H11539" s="1358"/>
      <c r="I11539" s="1358"/>
    </row>
    <row r="11540" spans="8:9">
      <c r="H11540" s="1358"/>
      <c r="I11540" s="1358"/>
    </row>
    <row r="11541" spans="8:9">
      <c r="H11541" s="1358"/>
      <c r="I11541" s="1358"/>
    </row>
    <row r="11542" spans="8:9">
      <c r="H11542" s="1358"/>
      <c r="I11542" s="1358"/>
    </row>
    <row r="11543" spans="8:9">
      <c r="H11543" s="1358"/>
      <c r="I11543" s="1358"/>
    </row>
    <row r="11544" spans="8:9">
      <c r="H11544" s="1358"/>
      <c r="I11544" s="1358"/>
    </row>
    <row r="11545" spans="8:9">
      <c r="H11545" s="1358"/>
      <c r="I11545" s="1358"/>
    </row>
    <row r="11546" spans="8:9">
      <c r="H11546" s="1358"/>
      <c r="I11546" s="1358"/>
    </row>
    <row r="11547" spans="8:9">
      <c r="H11547" s="1358"/>
      <c r="I11547" s="1358"/>
    </row>
    <row r="11548" spans="8:9">
      <c r="H11548" s="1358"/>
      <c r="I11548" s="1358"/>
    </row>
    <row r="11549" spans="8:9">
      <c r="H11549" s="1358"/>
      <c r="I11549" s="1358"/>
    </row>
    <row r="11550" spans="8:9">
      <c r="H11550" s="1358"/>
      <c r="I11550" s="1358"/>
    </row>
    <row r="11551" spans="8:9">
      <c r="H11551" s="1358"/>
      <c r="I11551" s="1358"/>
    </row>
    <row r="11552" spans="8:9">
      <c r="H11552" s="1358"/>
      <c r="I11552" s="1358"/>
    </row>
    <row r="11553" spans="8:9">
      <c r="H11553" s="1358"/>
      <c r="I11553" s="1358"/>
    </row>
    <row r="11554" spans="8:9">
      <c r="H11554" s="1358"/>
      <c r="I11554" s="1358"/>
    </row>
    <row r="11555" spans="8:9">
      <c r="H11555" s="1358"/>
      <c r="I11555" s="1358"/>
    </row>
    <row r="11556" spans="8:9">
      <c r="H11556" s="1358"/>
      <c r="I11556" s="1358"/>
    </row>
    <row r="11557" spans="8:9">
      <c r="H11557" s="1358"/>
      <c r="I11557" s="1358"/>
    </row>
    <row r="11558" spans="8:9">
      <c r="H11558" s="1358"/>
      <c r="I11558" s="1358"/>
    </row>
    <row r="11559" spans="8:9">
      <c r="H11559" s="1358"/>
      <c r="I11559" s="1358"/>
    </row>
    <row r="11560" spans="8:9">
      <c r="H11560" s="1358"/>
      <c r="I11560" s="1358"/>
    </row>
    <row r="11561" spans="8:9">
      <c r="H11561" s="1358"/>
      <c r="I11561" s="1358"/>
    </row>
    <row r="11562" spans="8:9">
      <c r="H11562" s="1358"/>
      <c r="I11562" s="1358"/>
    </row>
    <row r="11563" spans="8:9">
      <c r="H11563" s="1358"/>
      <c r="I11563" s="1358"/>
    </row>
    <row r="11564" spans="8:9">
      <c r="H11564" s="1358"/>
      <c r="I11564" s="1358"/>
    </row>
    <row r="11565" spans="8:9">
      <c r="H11565" s="1358"/>
      <c r="I11565" s="1358"/>
    </row>
    <row r="11566" spans="8:9">
      <c r="H11566" s="1358"/>
      <c r="I11566" s="1358"/>
    </row>
    <row r="11567" spans="8:9">
      <c r="H11567" s="1358"/>
      <c r="I11567" s="1358"/>
    </row>
    <row r="11568" spans="8:9">
      <c r="H11568" s="1358"/>
      <c r="I11568" s="1358"/>
    </row>
    <row r="11569" spans="8:9">
      <c r="H11569" s="1358"/>
      <c r="I11569" s="1358"/>
    </row>
    <row r="11570" spans="8:9">
      <c r="H11570" s="1358"/>
      <c r="I11570" s="1358"/>
    </row>
    <row r="11571" spans="8:9">
      <c r="H11571" s="1358"/>
      <c r="I11571" s="1358"/>
    </row>
    <row r="11572" spans="8:9">
      <c r="H11572" s="1358"/>
      <c r="I11572" s="1358"/>
    </row>
    <row r="11573" spans="8:9">
      <c r="H11573" s="1358"/>
      <c r="I11573" s="1358"/>
    </row>
    <row r="11574" spans="8:9">
      <c r="H11574" s="1358"/>
      <c r="I11574" s="1358"/>
    </row>
    <row r="11575" spans="8:9">
      <c r="H11575" s="1358"/>
      <c r="I11575" s="1358"/>
    </row>
    <row r="11576" spans="8:9">
      <c r="H11576" s="1358"/>
      <c r="I11576" s="1358"/>
    </row>
    <row r="11577" spans="8:9">
      <c r="H11577" s="1358"/>
      <c r="I11577" s="1358"/>
    </row>
    <row r="11578" spans="8:9">
      <c r="H11578" s="1358"/>
      <c r="I11578" s="1358"/>
    </row>
    <row r="11579" spans="8:9">
      <c r="H11579" s="1358"/>
      <c r="I11579" s="1358"/>
    </row>
    <row r="11580" spans="8:9">
      <c r="H11580" s="1358"/>
      <c r="I11580" s="1358"/>
    </row>
    <row r="11581" spans="8:9">
      <c r="H11581" s="1358"/>
      <c r="I11581" s="1358"/>
    </row>
    <row r="11582" spans="8:9">
      <c r="H11582" s="1358"/>
      <c r="I11582" s="1358"/>
    </row>
    <row r="11583" spans="8:9">
      <c r="H11583" s="1358"/>
      <c r="I11583" s="1358"/>
    </row>
    <row r="11584" spans="8:9">
      <c r="H11584" s="1358"/>
      <c r="I11584" s="1358"/>
    </row>
    <row r="11585" spans="8:9">
      <c r="H11585" s="1358"/>
      <c r="I11585" s="1358"/>
    </row>
    <row r="11586" spans="8:9">
      <c r="H11586" s="1358"/>
      <c r="I11586" s="1358"/>
    </row>
    <row r="11587" spans="8:9">
      <c r="H11587" s="1358"/>
      <c r="I11587" s="1358"/>
    </row>
    <row r="11588" spans="8:9">
      <c r="H11588" s="1358"/>
      <c r="I11588" s="1358"/>
    </row>
    <row r="11589" spans="8:9">
      <c r="H11589" s="1358"/>
      <c r="I11589" s="1358"/>
    </row>
    <row r="11590" spans="8:9">
      <c r="H11590" s="1358"/>
      <c r="I11590" s="1358"/>
    </row>
    <row r="11591" spans="8:9">
      <c r="H11591" s="1358"/>
      <c r="I11591" s="1358"/>
    </row>
    <row r="11592" spans="8:9">
      <c r="H11592" s="1358"/>
      <c r="I11592" s="1358"/>
    </row>
    <row r="11593" spans="8:9">
      <c r="H11593" s="1358"/>
      <c r="I11593" s="1358"/>
    </row>
    <row r="11594" spans="8:9">
      <c r="H11594" s="1358"/>
      <c r="I11594" s="1358"/>
    </row>
    <row r="11595" spans="8:9">
      <c r="H11595" s="1358"/>
      <c r="I11595" s="1358"/>
    </row>
    <row r="11596" spans="8:9">
      <c r="H11596" s="1358"/>
      <c r="I11596" s="1358"/>
    </row>
    <row r="11597" spans="8:9">
      <c r="H11597" s="1358"/>
      <c r="I11597" s="1358"/>
    </row>
    <row r="11598" spans="8:9">
      <c r="H11598" s="1358"/>
      <c r="I11598" s="1358"/>
    </row>
    <row r="11599" spans="8:9">
      <c r="H11599" s="1358"/>
      <c r="I11599" s="1358"/>
    </row>
    <row r="11600" spans="8:9">
      <c r="H11600" s="1358"/>
      <c r="I11600" s="1358"/>
    </row>
    <row r="11601" spans="8:9">
      <c r="H11601" s="1358"/>
      <c r="I11601" s="1358"/>
    </row>
    <row r="11602" spans="8:9">
      <c r="H11602" s="1358"/>
      <c r="I11602" s="1358"/>
    </row>
    <row r="11603" spans="8:9">
      <c r="H11603" s="1358"/>
      <c r="I11603" s="1358"/>
    </row>
    <row r="11604" spans="8:9">
      <c r="H11604" s="1358"/>
      <c r="I11604" s="1358"/>
    </row>
    <row r="11605" spans="8:9">
      <c r="H11605" s="1358"/>
      <c r="I11605" s="1358"/>
    </row>
    <row r="11606" spans="8:9">
      <c r="H11606" s="1358"/>
      <c r="I11606" s="1358"/>
    </row>
    <row r="11607" spans="8:9">
      <c r="H11607" s="1358"/>
      <c r="I11607" s="1358"/>
    </row>
    <row r="11608" spans="8:9">
      <c r="H11608" s="1358"/>
      <c r="I11608" s="1358"/>
    </row>
    <row r="11609" spans="8:9">
      <c r="H11609" s="1358"/>
      <c r="I11609" s="1358"/>
    </row>
    <row r="11610" spans="8:9">
      <c r="H11610" s="1358"/>
      <c r="I11610" s="1358"/>
    </row>
    <row r="11611" spans="8:9">
      <c r="H11611" s="1358"/>
      <c r="I11611" s="1358"/>
    </row>
    <row r="11612" spans="8:9">
      <c r="H11612" s="1358"/>
      <c r="I11612" s="1358"/>
    </row>
    <row r="11613" spans="8:9">
      <c r="H11613" s="1358"/>
      <c r="I11613" s="1358"/>
    </row>
    <row r="11614" spans="8:9">
      <c r="H11614" s="1358"/>
      <c r="I11614" s="1358"/>
    </row>
    <row r="11615" spans="8:9">
      <c r="H11615" s="1358"/>
      <c r="I11615" s="1358"/>
    </row>
    <row r="11616" spans="8:9">
      <c r="H11616" s="1358"/>
      <c r="I11616" s="1358"/>
    </row>
    <row r="11617" spans="8:9">
      <c r="H11617" s="1358"/>
      <c r="I11617" s="1358"/>
    </row>
    <row r="11618" spans="8:9">
      <c r="H11618" s="1358"/>
      <c r="I11618" s="1358"/>
    </row>
    <row r="11619" spans="8:9">
      <c r="H11619" s="1358"/>
      <c r="I11619" s="1358"/>
    </row>
    <row r="11620" spans="8:9">
      <c r="H11620" s="1358"/>
      <c r="I11620" s="1358"/>
    </row>
    <row r="11621" spans="8:9">
      <c r="H11621" s="1358"/>
      <c r="I11621" s="1358"/>
    </row>
    <row r="11622" spans="8:9">
      <c r="H11622" s="1358"/>
      <c r="I11622" s="1358"/>
    </row>
    <row r="11623" spans="8:9">
      <c r="H11623" s="1358"/>
      <c r="I11623" s="1358"/>
    </row>
    <row r="11624" spans="8:9">
      <c r="H11624" s="1358"/>
      <c r="I11624" s="1358"/>
    </row>
    <row r="11625" spans="8:9">
      <c r="H11625" s="1358"/>
      <c r="I11625" s="1358"/>
    </row>
    <row r="11626" spans="8:9">
      <c r="H11626" s="1358"/>
      <c r="I11626" s="1358"/>
    </row>
    <row r="11627" spans="8:9">
      <c r="H11627" s="1358"/>
      <c r="I11627" s="1358"/>
    </row>
    <row r="11628" spans="8:9">
      <c r="H11628" s="1358"/>
      <c r="I11628" s="1358"/>
    </row>
    <row r="11629" spans="8:9">
      <c r="H11629" s="1358"/>
      <c r="I11629" s="1358"/>
    </row>
    <row r="11630" spans="8:9">
      <c r="H11630" s="1358"/>
      <c r="I11630" s="1358"/>
    </row>
    <row r="11631" spans="8:9">
      <c r="H11631" s="1358"/>
      <c r="I11631" s="1358"/>
    </row>
    <row r="11632" spans="8:9">
      <c r="H11632" s="1358"/>
      <c r="I11632" s="1358"/>
    </row>
    <row r="11633" spans="8:9">
      <c r="H11633" s="1358"/>
      <c r="I11633" s="1358"/>
    </row>
    <row r="11634" spans="8:9">
      <c r="H11634" s="1358"/>
      <c r="I11634" s="1358"/>
    </row>
    <row r="11635" spans="8:9">
      <c r="H11635" s="1358"/>
      <c r="I11635" s="1358"/>
    </row>
    <row r="11636" spans="8:9">
      <c r="H11636" s="1358"/>
      <c r="I11636" s="1358"/>
    </row>
    <row r="11637" spans="8:9">
      <c r="H11637" s="1358"/>
      <c r="I11637" s="1358"/>
    </row>
    <row r="11638" spans="8:9">
      <c r="H11638" s="1358"/>
      <c r="I11638" s="1358"/>
    </row>
    <row r="11639" spans="8:9">
      <c r="H11639" s="1358"/>
      <c r="I11639" s="1358"/>
    </row>
    <row r="11640" spans="8:9">
      <c r="H11640" s="1358"/>
      <c r="I11640" s="1358"/>
    </row>
    <row r="11641" spans="8:9">
      <c r="H11641" s="1358"/>
      <c r="I11641" s="1358"/>
    </row>
    <row r="11642" spans="8:9">
      <c r="H11642" s="1358"/>
      <c r="I11642" s="1358"/>
    </row>
    <row r="11643" spans="8:9">
      <c r="H11643" s="1358"/>
      <c r="I11643" s="1358"/>
    </row>
    <row r="11644" spans="8:9">
      <c r="H11644" s="1358"/>
      <c r="I11644" s="1358"/>
    </row>
    <row r="11645" spans="8:9">
      <c r="H11645" s="1358"/>
      <c r="I11645" s="1358"/>
    </row>
    <row r="11646" spans="8:9">
      <c r="H11646" s="1358"/>
      <c r="I11646" s="1358"/>
    </row>
    <row r="11647" spans="8:9">
      <c r="H11647" s="1358"/>
      <c r="I11647" s="1358"/>
    </row>
    <row r="11648" spans="8:9">
      <c r="H11648" s="1358"/>
      <c r="I11648" s="1358"/>
    </row>
    <row r="11649" spans="8:9">
      <c r="H11649" s="1358"/>
      <c r="I11649" s="1358"/>
    </row>
    <row r="11650" spans="8:9">
      <c r="H11650" s="1358"/>
      <c r="I11650" s="1358"/>
    </row>
    <row r="11651" spans="8:9">
      <c r="H11651" s="1358"/>
      <c r="I11651" s="1358"/>
    </row>
    <row r="11652" spans="8:9">
      <c r="H11652" s="1358"/>
      <c r="I11652" s="1358"/>
    </row>
    <row r="11653" spans="8:9">
      <c r="H11653" s="1358"/>
      <c r="I11653" s="1358"/>
    </row>
    <row r="11654" spans="8:9">
      <c r="H11654" s="1358"/>
      <c r="I11654" s="1358"/>
    </row>
    <row r="11655" spans="8:9">
      <c r="H11655" s="1358"/>
      <c r="I11655" s="1358"/>
    </row>
    <row r="11656" spans="8:9">
      <c r="H11656" s="1358"/>
      <c r="I11656" s="1358"/>
    </row>
    <row r="11657" spans="8:9">
      <c r="H11657" s="1358"/>
      <c r="I11657" s="1358"/>
    </row>
    <row r="11658" spans="8:9">
      <c r="H11658" s="1358"/>
      <c r="I11658" s="1358"/>
    </row>
    <row r="11659" spans="8:9">
      <c r="H11659" s="1358"/>
      <c r="I11659" s="1358"/>
    </row>
    <row r="11660" spans="8:9">
      <c r="H11660" s="1358"/>
      <c r="I11660" s="1358"/>
    </row>
    <row r="11661" spans="8:9">
      <c r="H11661" s="1358"/>
      <c r="I11661" s="1358"/>
    </row>
    <row r="11662" spans="8:9">
      <c r="H11662" s="1358"/>
      <c r="I11662" s="1358"/>
    </row>
    <row r="11663" spans="8:9">
      <c r="H11663" s="1358"/>
      <c r="I11663" s="1358"/>
    </row>
    <row r="11664" spans="8:9">
      <c r="H11664" s="1358"/>
      <c r="I11664" s="1358"/>
    </row>
    <row r="11665" spans="8:9">
      <c r="H11665" s="1358"/>
      <c r="I11665" s="1358"/>
    </row>
    <row r="11666" spans="8:9">
      <c r="H11666" s="1358"/>
      <c r="I11666" s="1358"/>
    </row>
    <row r="11667" spans="8:9">
      <c r="H11667" s="1358"/>
      <c r="I11667" s="1358"/>
    </row>
    <row r="11668" spans="8:9">
      <c r="H11668" s="1358"/>
      <c r="I11668" s="1358"/>
    </row>
    <row r="11669" spans="8:9">
      <c r="H11669" s="1358"/>
      <c r="I11669" s="1358"/>
    </row>
    <row r="11670" spans="8:9">
      <c r="H11670" s="1358"/>
      <c r="I11670" s="1358"/>
    </row>
    <row r="11671" spans="8:9">
      <c r="H11671" s="1358"/>
      <c r="I11671" s="1358"/>
    </row>
    <row r="11672" spans="8:9">
      <c r="H11672" s="1358"/>
      <c r="I11672" s="1358"/>
    </row>
    <row r="11673" spans="8:9">
      <c r="H11673" s="1358"/>
      <c r="I11673" s="1358"/>
    </row>
    <row r="11674" spans="8:9">
      <c r="H11674" s="1358"/>
      <c r="I11674" s="1358"/>
    </row>
    <row r="11675" spans="8:9">
      <c r="H11675" s="1358"/>
      <c r="I11675" s="1358"/>
    </row>
    <row r="11676" spans="8:9">
      <c r="H11676" s="1358"/>
      <c r="I11676" s="1358"/>
    </row>
    <row r="11677" spans="8:9">
      <c r="H11677" s="1358"/>
      <c r="I11677" s="1358"/>
    </row>
    <row r="11678" spans="8:9">
      <c r="H11678" s="1358"/>
      <c r="I11678" s="1358"/>
    </row>
    <row r="11679" spans="8:9">
      <c r="H11679" s="1358"/>
      <c r="I11679" s="1358"/>
    </row>
    <row r="11680" spans="8:9">
      <c r="H11680" s="1358"/>
      <c r="I11680" s="1358"/>
    </row>
    <row r="11681" spans="8:9">
      <c r="H11681" s="1358"/>
      <c r="I11681" s="1358"/>
    </row>
    <row r="11682" spans="8:9">
      <c r="H11682" s="1358"/>
      <c r="I11682" s="1358"/>
    </row>
    <row r="11683" spans="8:9">
      <c r="H11683" s="1358"/>
      <c r="I11683" s="1358"/>
    </row>
    <row r="11684" spans="8:9">
      <c r="H11684" s="1358"/>
      <c r="I11684" s="1358"/>
    </row>
    <row r="11685" spans="8:9">
      <c r="H11685" s="1358"/>
      <c r="I11685" s="1358"/>
    </row>
    <row r="11686" spans="8:9">
      <c r="H11686" s="1358"/>
      <c r="I11686" s="1358"/>
    </row>
    <row r="11687" spans="8:9">
      <c r="H11687" s="1358"/>
      <c r="I11687" s="1358"/>
    </row>
    <row r="11688" spans="8:9">
      <c r="H11688" s="1358"/>
      <c r="I11688" s="1358"/>
    </row>
    <row r="11689" spans="8:9">
      <c r="H11689" s="1358"/>
      <c r="I11689" s="1358"/>
    </row>
    <row r="11690" spans="8:9">
      <c r="H11690" s="1358"/>
      <c r="I11690" s="1358"/>
    </row>
    <row r="11691" spans="8:9">
      <c r="H11691" s="1358"/>
      <c r="I11691" s="1358"/>
    </row>
    <row r="11692" spans="8:9">
      <c r="H11692" s="1358"/>
      <c r="I11692" s="1358"/>
    </row>
    <row r="11693" spans="8:9">
      <c r="H11693" s="1358"/>
      <c r="I11693" s="1358"/>
    </row>
    <row r="11694" spans="8:9">
      <c r="H11694" s="1358"/>
      <c r="I11694" s="1358"/>
    </row>
    <row r="11695" spans="8:9">
      <c r="H11695" s="1358"/>
      <c r="I11695" s="1358"/>
    </row>
    <row r="11696" spans="8:9">
      <c r="H11696" s="1358"/>
      <c r="I11696" s="1358"/>
    </row>
    <row r="11697" spans="8:9">
      <c r="H11697" s="1358"/>
      <c r="I11697" s="1358"/>
    </row>
    <row r="11698" spans="8:9">
      <c r="H11698" s="1358"/>
      <c r="I11698" s="1358"/>
    </row>
    <row r="11699" spans="8:9">
      <c r="H11699" s="1358"/>
      <c r="I11699" s="1358"/>
    </row>
    <row r="11700" spans="8:9">
      <c r="H11700" s="1358"/>
      <c r="I11700" s="1358"/>
    </row>
    <row r="11701" spans="8:9">
      <c r="H11701" s="1358"/>
      <c r="I11701" s="1358"/>
    </row>
    <row r="11702" spans="8:9">
      <c r="H11702" s="1358"/>
      <c r="I11702" s="1358"/>
    </row>
    <row r="11703" spans="8:9">
      <c r="H11703" s="1358"/>
      <c r="I11703" s="1358"/>
    </row>
    <row r="11704" spans="8:9">
      <c r="H11704" s="1358"/>
      <c r="I11704" s="1358"/>
    </row>
    <row r="11705" spans="8:9">
      <c r="H11705" s="1358"/>
      <c r="I11705" s="1358"/>
    </row>
    <row r="11706" spans="8:9">
      <c r="H11706" s="1358"/>
      <c r="I11706" s="1358"/>
    </row>
    <row r="11707" spans="8:9">
      <c r="H11707" s="1358"/>
      <c r="I11707" s="1358"/>
    </row>
    <row r="11708" spans="8:9">
      <c r="H11708" s="1358"/>
      <c r="I11708" s="1358"/>
    </row>
    <row r="11709" spans="8:9">
      <c r="H11709" s="1358"/>
      <c r="I11709" s="1358"/>
    </row>
    <row r="11710" spans="8:9">
      <c r="H11710" s="1358"/>
      <c r="I11710" s="1358"/>
    </row>
    <row r="11711" spans="8:9">
      <c r="H11711" s="1358"/>
      <c r="I11711" s="1358"/>
    </row>
    <row r="11712" spans="8:9">
      <c r="H11712" s="1358"/>
      <c r="I11712" s="1358"/>
    </row>
    <row r="11713" spans="8:9">
      <c r="H11713" s="1358"/>
      <c r="I11713" s="1358"/>
    </row>
    <row r="11714" spans="8:9">
      <c r="H11714" s="1358"/>
      <c r="I11714" s="1358"/>
    </row>
    <row r="11715" spans="8:9">
      <c r="H11715" s="1358"/>
      <c r="I11715" s="1358"/>
    </row>
    <row r="11716" spans="8:9">
      <c r="H11716" s="1358"/>
      <c r="I11716" s="1358"/>
    </row>
    <row r="11717" spans="8:9">
      <c r="H11717" s="1358"/>
      <c r="I11717" s="1358"/>
    </row>
    <row r="11718" spans="8:9">
      <c r="H11718" s="1358"/>
      <c r="I11718" s="1358"/>
    </row>
    <row r="11719" spans="8:9">
      <c r="H11719" s="1358"/>
      <c r="I11719" s="1358"/>
    </row>
    <row r="11720" spans="8:9">
      <c r="H11720" s="1358"/>
      <c r="I11720" s="1358"/>
    </row>
    <row r="11721" spans="8:9">
      <c r="H11721" s="1358"/>
      <c r="I11721" s="1358"/>
    </row>
    <row r="11722" spans="8:9">
      <c r="H11722" s="1358"/>
      <c r="I11722" s="1358"/>
    </row>
    <row r="11723" spans="8:9">
      <c r="H11723" s="1358"/>
      <c r="I11723" s="1358"/>
    </row>
    <row r="11724" spans="8:9">
      <c r="H11724" s="1358"/>
      <c r="I11724" s="1358"/>
    </row>
    <row r="11725" spans="8:9">
      <c r="H11725" s="1358"/>
      <c r="I11725" s="1358"/>
    </row>
    <row r="11726" spans="8:9">
      <c r="H11726" s="1358"/>
      <c r="I11726" s="1358"/>
    </row>
    <row r="11727" spans="8:9">
      <c r="H11727" s="1358"/>
      <c r="I11727" s="1358"/>
    </row>
    <row r="11728" spans="8:9">
      <c r="H11728" s="1358"/>
      <c r="I11728" s="1358"/>
    </row>
    <row r="11729" spans="8:9">
      <c r="H11729" s="1358"/>
      <c r="I11729" s="1358"/>
    </row>
    <row r="11730" spans="8:9">
      <c r="H11730" s="1358"/>
      <c r="I11730" s="1358"/>
    </row>
    <row r="11731" spans="8:9">
      <c r="H11731" s="1358"/>
      <c r="I11731" s="1358"/>
    </row>
    <row r="11732" spans="8:9">
      <c r="H11732" s="1358"/>
      <c r="I11732" s="1358"/>
    </row>
    <row r="11733" spans="8:9">
      <c r="H11733" s="1358"/>
      <c r="I11733" s="1358"/>
    </row>
    <row r="11734" spans="8:9">
      <c r="H11734" s="1358"/>
      <c r="I11734" s="1358"/>
    </row>
    <row r="11735" spans="8:9">
      <c r="H11735" s="1358"/>
      <c r="I11735" s="1358"/>
    </row>
    <row r="11736" spans="8:9">
      <c r="H11736" s="1358"/>
      <c r="I11736" s="1358"/>
    </row>
    <row r="11737" spans="8:9">
      <c r="H11737" s="1358"/>
      <c r="I11737" s="1358"/>
    </row>
    <row r="11738" spans="8:9">
      <c r="H11738" s="1358"/>
      <c r="I11738" s="1358"/>
    </row>
    <row r="11739" spans="8:9">
      <c r="H11739" s="1358"/>
      <c r="I11739" s="1358"/>
    </row>
    <row r="11740" spans="8:9">
      <c r="H11740" s="1358"/>
      <c r="I11740" s="1358"/>
    </row>
    <row r="11741" spans="8:9">
      <c r="H11741" s="1358"/>
      <c r="I11741" s="1358"/>
    </row>
    <row r="11742" spans="8:9">
      <c r="H11742" s="1358"/>
      <c r="I11742" s="1358"/>
    </row>
    <row r="11743" spans="8:9">
      <c r="H11743" s="1358"/>
      <c r="I11743" s="1358"/>
    </row>
    <row r="11744" spans="8:9">
      <c r="H11744" s="1358"/>
      <c r="I11744" s="1358"/>
    </row>
    <row r="11745" spans="8:9">
      <c r="H11745" s="1358"/>
      <c r="I11745" s="1358"/>
    </row>
    <row r="11746" spans="8:9">
      <c r="H11746" s="1358"/>
      <c r="I11746" s="1358"/>
    </row>
    <row r="11747" spans="8:9">
      <c r="H11747" s="1358"/>
      <c r="I11747" s="1358"/>
    </row>
    <row r="11748" spans="8:9">
      <c r="H11748" s="1358"/>
      <c r="I11748" s="1358"/>
    </row>
    <row r="11749" spans="8:9">
      <c r="H11749" s="1358"/>
      <c r="I11749" s="1358"/>
    </row>
    <row r="11750" spans="8:9">
      <c r="H11750" s="1358"/>
      <c r="I11750" s="1358"/>
    </row>
    <row r="11751" spans="8:9">
      <c r="H11751" s="1358"/>
      <c r="I11751" s="1358"/>
    </row>
    <row r="11752" spans="8:9">
      <c r="H11752" s="1358"/>
      <c r="I11752" s="1358"/>
    </row>
    <row r="11753" spans="8:9">
      <c r="H11753" s="1358"/>
      <c r="I11753" s="1358"/>
    </row>
    <row r="11754" spans="8:9">
      <c r="H11754" s="1358"/>
      <c r="I11754" s="1358"/>
    </row>
    <row r="11755" spans="8:9">
      <c r="H11755" s="1358"/>
      <c r="I11755" s="1358"/>
    </row>
    <row r="11756" spans="8:9">
      <c r="H11756" s="1358"/>
      <c r="I11756" s="1358"/>
    </row>
    <row r="11757" spans="8:9">
      <c r="H11757" s="1358"/>
      <c r="I11757" s="1358"/>
    </row>
    <row r="11758" spans="8:9">
      <c r="H11758" s="1358"/>
      <c r="I11758" s="1358"/>
    </row>
    <row r="11759" spans="8:9">
      <c r="H11759" s="1358"/>
      <c r="I11759" s="1358"/>
    </row>
    <row r="11760" spans="8:9">
      <c r="H11760" s="1358"/>
      <c r="I11760" s="1358"/>
    </row>
    <row r="11761" spans="8:9">
      <c r="H11761" s="1358"/>
      <c r="I11761" s="1358"/>
    </row>
    <row r="11762" spans="8:9">
      <c r="H11762" s="1358"/>
      <c r="I11762" s="1358"/>
    </row>
    <row r="11763" spans="8:9">
      <c r="H11763" s="1358"/>
      <c r="I11763" s="1358"/>
    </row>
    <row r="11764" spans="8:9">
      <c r="H11764" s="1358"/>
      <c r="I11764" s="1358"/>
    </row>
    <row r="11765" spans="8:9">
      <c r="H11765" s="1358"/>
      <c r="I11765" s="1358"/>
    </row>
    <row r="11766" spans="8:9">
      <c r="H11766" s="1358"/>
      <c r="I11766" s="1358"/>
    </row>
    <row r="11767" spans="8:9">
      <c r="H11767" s="1358"/>
      <c r="I11767" s="1358"/>
    </row>
    <row r="11768" spans="8:9">
      <c r="H11768" s="1358"/>
      <c r="I11768" s="1358"/>
    </row>
    <row r="11769" spans="8:9">
      <c r="H11769" s="1358"/>
      <c r="I11769" s="1358"/>
    </row>
    <row r="11770" spans="8:9">
      <c r="H11770" s="1358"/>
      <c r="I11770" s="1358"/>
    </row>
    <row r="11771" spans="8:9">
      <c r="H11771" s="1358"/>
      <c r="I11771" s="1358"/>
    </row>
    <row r="11772" spans="8:9">
      <c r="H11772" s="1358"/>
      <c r="I11772" s="1358"/>
    </row>
    <row r="11773" spans="8:9">
      <c r="H11773" s="1358"/>
      <c r="I11773" s="1358"/>
    </row>
    <row r="11774" spans="8:9">
      <c r="H11774" s="1358"/>
      <c r="I11774" s="1358"/>
    </row>
    <row r="11775" spans="8:9">
      <c r="H11775" s="1358"/>
      <c r="I11775" s="1358"/>
    </row>
    <row r="11776" spans="8:9">
      <c r="H11776" s="1358"/>
      <c r="I11776" s="1358"/>
    </row>
    <row r="11777" spans="8:9">
      <c r="H11777" s="1358"/>
      <c r="I11777" s="1358"/>
    </row>
    <row r="11778" spans="8:9">
      <c r="H11778" s="1358"/>
      <c r="I11778" s="1358"/>
    </row>
    <row r="11779" spans="8:9">
      <c r="H11779" s="1358"/>
      <c r="I11779" s="1358"/>
    </row>
    <row r="11780" spans="8:9">
      <c r="H11780" s="1358"/>
      <c r="I11780" s="1358"/>
    </row>
    <row r="11781" spans="8:9">
      <c r="H11781" s="1358"/>
      <c r="I11781" s="1358"/>
    </row>
    <row r="11782" spans="8:9">
      <c r="H11782" s="1358"/>
      <c r="I11782" s="1358"/>
    </row>
    <row r="11783" spans="8:9">
      <c r="H11783" s="1358"/>
      <c r="I11783" s="1358"/>
    </row>
    <row r="11784" spans="8:9">
      <c r="H11784" s="1358"/>
      <c r="I11784" s="1358"/>
    </row>
    <row r="11785" spans="8:9">
      <c r="H11785" s="1358"/>
      <c r="I11785" s="1358"/>
    </row>
    <row r="11786" spans="8:9">
      <c r="H11786" s="1358"/>
      <c r="I11786" s="1358"/>
    </row>
    <row r="11787" spans="8:9">
      <c r="H11787" s="1358"/>
      <c r="I11787" s="1358"/>
    </row>
    <row r="11788" spans="8:9">
      <c r="H11788" s="1358"/>
      <c r="I11788" s="1358"/>
    </row>
    <row r="11789" spans="8:9">
      <c r="H11789" s="1358"/>
      <c r="I11789" s="1358"/>
    </row>
    <row r="11790" spans="8:9">
      <c r="H11790" s="1358"/>
      <c r="I11790" s="1358"/>
    </row>
    <row r="11791" spans="8:9">
      <c r="H11791" s="1358"/>
      <c r="I11791" s="1358"/>
    </row>
    <row r="11792" spans="8:9">
      <c r="H11792" s="1358"/>
      <c r="I11792" s="1358"/>
    </row>
    <row r="11793" spans="8:9">
      <c r="H11793" s="1358"/>
      <c r="I11793" s="1358"/>
    </row>
    <row r="11794" spans="8:9">
      <c r="H11794" s="1358"/>
      <c r="I11794" s="1358"/>
    </row>
    <row r="11795" spans="8:9">
      <c r="H11795" s="1358"/>
      <c r="I11795" s="1358"/>
    </row>
    <row r="11796" spans="8:9">
      <c r="H11796" s="1358"/>
      <c r="I11796" s="1358"/>
    </row>
    <row r="11797" spans="8:9">
      <c r="H11797" s="1358"/>
      <c r="I11797" s="1358"/>
    </row>
    <row r="11798" spans="8:9">
      <c r="H11798" s="1358"/>
      <c r="I11798" s="1358"/>
    </row>
    <row r="11799" spans="8:9">
      <c r="H11799" s="1358"/>
      <c r="I11799" s="1358"/>
    </row>
    <row r="11800" spans="8:9">
      <c r="H11800" s="1358"/>
      <c r="I11800" s="1358"/>
    </row>
    <row r="11801" spans="8:9">
      <c r="H11801" s="1358"/>
      <c r="I11801" s="1358"/>
    </row>
    <row r="11802" spans="8:9">
      <c r="H11802" s="1358"/>
      <c r="I11802" s="1358"/>
    </row>
    <row r="11803" spans="8:9">
      <c r="H11803" s="1358"/>
      <c r="I11803" s="1358"/>
    </row>
    <row r="11804" spans="8:9">
      <c r="H11804" s="1358"/>
      <c r="I11804" s="1358"/>
    </row>
    <row r="11805" spans="8:9">
      <c r="H11805" s="1358"/>
      <c r="I11805" s="1358"/>
    </row>
    <row r="11806" spans="8:9">
      <c r="H11806" s="1358"/>
      <c r="I11806" s="1358"/>
    </row>
    <row r="11807" spans="8:9">
      <c r="H11807" s="1358"/>
      <c r="I11807" s="1358"/>
    </row>
    <row r="11808" spans="8:9">
      <c r="H11808" s="1358"/>
      <c r="I11808" s="1358"/>
    </row>
    <row r="11809" spans="8:9">
      <c r="H11809" s="1358"/>
      <c r="I11809" s="1358"/>
    </row>
    <row r="11810" spans="8:9">
      <c r="H11810" s="1358"/>
      <c r="I11810" s="1358"/>
    </row>
    <row r="11811" spans="8:9">
      <c r="H11811" s="1358"/>
      <c r="I11811" s="1358"/>
    </row>
    <row r="11812" spans="8:9">
      <c r="H11812" s="1358"/>
      <c r="I11812" s="1358"/>
    </row>
    <row r="11813" spans="8:9">
      <c r="H11813" s="1358"/>
      <c r="I11813" s="1358"/>
    </row>
    <row r="11814" spans="8:9">
      <c r="H11814" s="1358"/>
      <c r="I11814" s="1358"/>
    </row>
    <row r="11815" spans="8:9">
      <c r="H11815" s="1358"/>
      <c r="I11815" s="1358"/>
    </row>
    <row r="11816" spans="8:9">
      <c r="H11816" s="1358"/>
      <c r="I11816" s="1358"/>
    </row>
    <row r="11817" spans="8:9">
      <c r="H11817" s="1358"/>
      <c r="I11817" s="1358"/>
    </row>
    <row r="11818" spans="8:9">
      <c r="H11818" s="1358"/>
      <c r="I11818" s="1358"/>
    </row>
    <row r="11819" spans="8:9">
      <c r="H11819" s="1358"/>
      <c r="I11819" s="1358"/>
    </row>
    <row r="11820" spans="8:9">
      <c r="H11820" s="1358"/>
      <c r="I11820" s="1358"/>
    </row>
    <row r="11821" spans="8:9">
      <c r="H11821" s="1358"/>
      <c r="I11821" s="1358"/>
    </row>
    <row r="11822" spans="8:9">
      <c r="H11822" s="1358"/>
      <c r="I11822" s="1358"/>
    </row>
    <row r="11823" spans="8:9">
      <c r="H11823" s="1358"/>
      <c r="I11823" s="1358"/>
    </row>
    <row r="11824" spans="8:9">
      <c r="H11824" s="1358"/>
      <c r="I11824" s="1358"/>
    </row>
    <row r="11825" spans="8:9">
      <c r="H11825" s="1358"/>
      <c r="I11825" s="1358"/>
    </row>
    <row r="11826" spans="8:9">
      <c r="H11826" s="1358"/>
      <c r="I11826" s="1358"/>
    </row>
    <row r="11827" spans="8:9">
      <c r="H11827" s="1358"/>
      <c r="I11827" s="1358"/>
    </row>
    <row r="11828" spans="8:9">
      <c r="H11828" s="1358"/>
      <c r="I11828" s="1358"/>
    </row>
    <row r="11829" spans="8:9">
      <c r="H11829" s="1358"/>
      <c r="I11829" s="1358"/>
    </row>
    <row r="11830" spans="8:9">
      <c r="H11830" s="1358"/>
      <c r="I11830" s="1358"/>
    </row>
    <row r="11831" spans="8:9">
      <c r="H11831" s="1358"/>
      <c r="I11831" s="1358"/>
    </row>
    <row r="11832" spans="8:9">
      <c r="H11832" s="1358"/>
      <c r="I11832" s="1358"/>
    </row>
    <row r="11833" spans="8:9">
      <c r="H11833" s="1358"/>
      <c r="I11833" s="1358"/>
    </row>
    <row r="11834" spans="8:9">
      <c r="H11834" s="1358"/>
      <c r="I11834" s="1358"/>
    </row>
    <row r="11835" spans="8:9">
      <c r="H11835" s="1358"/>
      <c r="I11835" s="1358"/>
    </row>
    <row r="11836" spans="8:9">
      <c r="H11836" s="1358"/>
      <c r="I11836" s="1358"/>
    </row>
    <row r="11837" spans="8:9">
      <c r="H11837" s="1358"/>
      <c r="I11837" s="1358"/>
    </row>
    <row r="11838" spans="8:9">
      <c r="H11838" s="1358"/>
      <c r="I11838" s="1358"/>
    </row>
    <row r="11839" spans="8:9">
      <c r="H11839" s="1358"/>
      <c r="I11839" s="1358"/>
    </row>
    <row r="11840" spans="8:9">
      <c r="H11840" s="1358"/>
      <c r="I11840" s="1358"/>
    </row>
    <row r="11841" spans="8:9">
      <c r="H11841" s="1358"/>
      <c r="I11841" s="1358"/>
    </row>
    <row r="11842" spans="8:9">
      <c r="H11842" s="1358"/>
      <c r="I11842" s="1358"/>
    </row>
    <row r="11843" spans="8:9">
      <c r="H11843" s="1358"/>
      <c r="I11843" s="1358"/>
    </row>
    <row r="11844" spans="8:9">
      <c r="H11844" s="1358"/>
      <c r="I11844" s="1358"/>
    </row>
    <row r="11845" spans="8:9">
      <c r="H11845" s="1358"/>
      <c r="I11845" s="1358"/>
    </row>
    <row r="11846" spans="8:9">
      <c r="H11846" s="1358"/>
      <c r="I11846" s="1358"/>
    </row>
    <row r="11847" spans="8:9">
      <c r="H11847" s="1358"/>
      <c r="I11847" s="1358"/>
    </row>
    <row r="11848" spans="8:9">
      <c r="H11848" s="1358"/>
      <c r="I11848" s="1358"/>
    </row>
    <row r="11849" spans="8:9">
      <c r="H11849" s="1358"/>
      <c r="I11849" s="1358"/>
    </row>
    <row r="11850" spans="8:9">
      <c r="H11850" s="1358"/>
      <c r="I11850" s="1358"/>
    </row>
    <row r="11851" spans="8:9">
      <c r="H11851" s="1358"/>
      <c r="I11851" s="1358"/>
    </row>
    <row r="11852" spans="8:9">
      <c r="H11852" s="1358"/>
      <c r="I11852" s="1358"/>
    </row>
    <row r="11853" spans="8:9">
      <c r="H11853" s="1358"/>
      <c r="I11853" s="1358"/>
    </row>
    <row r="11854" spans="8:9">
      <c r="H11854" s="1358"/>
      <c r="I11854" s="1358"/>
    </row>
    <row r="11855" spans="8:9">
      <c r="H11855" s="1358"/>
      <c r="I11855" s="1358"/>
    </row>
    <row r="11856" spans="8:9">
      <c r="H11856" s="1358"/>
      <c r="I11856" s="1358"/>
    </row>
    <row r="11857" spans="8:9">
      <c r="H11857" s="1358"/>
      <c r="I11857" s="1358"/>
    </row>
    <row r="11858" spans="8:9">
      <c r="H11858" s="1358"/>
      <c r="I11858" s="1358"/>
    </row>
    <row r="11859" spans="8:9">
      <c r="H11859" s="1358"/>
      <c r="I11859" s="1358"/>
    </row>
    <row r="11860" spans="8:9">
      <c r="H11860" s="1358"/>
      <c r="I11860" s="1358"/>
    </row>
    <row r="11861" spans="8:9">
      <c r="H11861" s="1358"/>
      <c r="I11861" s="1358"/>
    </row>
    <row r="11862" spans="8:9">
      <c r="H11862" s="1358"/>
      <c r="I11862" s="1358"/>
    </row>
    <row r="11863" spans="8:9">
      <c r="H11863" s="1358"/>
      <c r="I11863" s="1358"/>
    </row>
    <row r="11864" spans="8:9">
      <c r="H11864" s="1358"/>
      <c r="I11864" s="1358"/>
    </row>
    <row r="11865" spans="8:9">
      <c r="H11865" s="1358"/>
      <c r="I11865" s="1358"/>
    </row>
    <row r="11866" spans="8:9">
      <c r="H11866" s="1358"/>
      <c r="I11866" s="1358"/>
    </row>
    <row r="11867" spans="8:9">
      <c r="H11867" s="1358"/>
      <c r="I11867" s="1358"/>
    </row>
    <row r="11868" spans="8:9">
      <c r="H11868" s="1358"/>
      <c r="I11868" s="1358"/>
    </row>
    <row r="11869" spans="8:9">
      <c r="H11869" s="1358"/>
      <c r="I11869" s="1358"/>
    </row>
    <row r="11870" spans="8:9">
      <c r="H11870" s="1358"/>
      <c r="I11870" s="1358"/>
    </row>
    <row r="11871" spans="8:9">
      <c r="H11871" s="1358"/>
      <c r="I11871" s="1358"/>
    </row>
    <row r="11872" spans="8:9">
      <c r="H11872" s="1358"/>
      <c r="I11872" s="1358"/>
    </row>
    <row r="11873" spans="8:9">
      <c r="H11873" s="1358"/>
      <c r="I11873" s="1358"/>
    </row>
    <row r="11874" spans="8:9">
      <c r="H11874" s="1358"/>
      <c r="I11874" s="1358"/>
    </row>
    <row r="11875" spans="8:9">
      <c r="H11875" s="1358"/>
      <c r="I11875" s="1358"/>
    </row>
    <row r="11876" spans="8:9">
      <c r="H11876" s="1358"/>
      <c r="I11876" s="1358"/>
    </row>
    <row r="11877" spans="8:9">
      <c r="H11877" s="1358"/>
      <c r="I11877" s="1358"/>
    </row>
    <row r="11878" spans="8:9">
      <c r="H11878" s="1358"/>
      <c r="I11878" s="1358"/>
    </row>
    <row r="11879" spans="8:9">
      <c r="H11879" s="1358"/>
      <c r="I11879" s="1358"/>
    </row>
    <row r="11880" spans="8:9">
      <c r="H11880" s="1358"/>
      <c r="I11880" s="1358"/>
    </row>
    <row r="11881" spans="8:9">
      <c r="H11881" s="1358"/>
      <c r="I11881" s="1358"/>
    </row>
    <row r="11882" spans="8:9">
      <c r="H11882" s="1358"/>
      <c r="I11882" s="1358"/>
    </row>
    <row r="11883" spans="8:9">
      <c r="H11883" s="1358"/>
      <c r="I11883" s="1358"/>
    </row>
    <row r="11884" spans="8:9">
      <c r="H11884" s="1358"/>
      <c r="I11884" s="1358"/>
    </row>
    <row r="11885" spans="8:9">
      <c r="H11885" s="1358"/>
      <c r="I11885" s="1358"/>
    </row>
    <row r="11886" spans="8:9">
      <c r="H11886" s="1358"/>
      <c r="I11886" s="1358"/>
    </row>
    <row r="11887" spans="8:9">
      <c r="H11887" s="1358"/>
      <c r="I11887" s="1358"/>
    </row>
    <row r="11888" spans="8:9">
      <c r="H11888" s="1358"/>
      <c r="I11888" s="1358"/>
    </row>
    <row r="11889" spans="8:9">
      <c r="H11889" s="1358"/>
      <c r="I11889" s="1358"/>
    </row>
    <row r="11890" spans="8:9">
      <c r="H11890" s="1358"/>
      <c r="I11890" s="1358"/>
    </row>
    <row r="11891" spans="8:9">
      <c r="H11891" s="1358"/>
      <c r="I11891" s="1358"/>
    </row>
    <row r="11892" spans="8:9">
      <c r="H11892" s="1358"/>
      <c r="I11892" s="1358"/>
    </row>
    <row r="11893" spans="8:9">
      <c r="H11893" s="1358"/>
      <c r="I11893" s="1358"/>
    </row>
    <row r="11894" spans="8:9">
      <c r="H11894" s="1358"/>
      <c r="I11894" s="1358"/>
    </row>
    <row r="11895" spans="8:9">
      <c r="H11895" s="1358"/>
      <c r="I11895" s="1358"/>
    </row>
    <row r="11896" spans="8:9">
      <c r="H11896" s="1358"/>
      <c r="I11896" s="1358"/>
    </row>
    <row r="11897" spans="8:9">
      <c r="H11897" s="1358"/>
      <c r="I11897" s="1358"/>
    </row>
    <row r="11898" spans="8:9">
      <c r="H11898" s="1358"/>
      <c r="I11898" s="1358"/>
    </row>
    <row r="11899" spans="8:9">
      <c r="H11899" s="1358"/>
      <c r="I11899" s="1358"/>
    </row>
    <row r="11900" spans="8:9">
      <c r="H11900" s="1358"/>
      <c r="I11900" s="1358"/>
    </row>
    <row r="11901" spans="8:9">
      <c r="H11901" s="1358"/>
      <c r="I11901" s="1358"/>
    </row>
    <row r="11902" spans="8:9">
      <c r="H11902" s="1358"/>
      <c r="I11902" s="1358"/>
    </row>
    <row r="11903" spans="8:9">
      <c r="H11903" s="1358"/>
      <c r="I11903" s="1358"/>
    </row>
    <row r="11904" spans="8:9">
      <c r="H11904" s="1358"/>
      <c r="I11904" s="1358"/>
    </row>
    <row r="11905" spans="8:9">
      <c r="H11905" s="1358"/>
      <c r="I11905" s="1358"/>
    </row>
    <row r="11906" spans="8:9">
      <c r="H11906" s="1358"/>
      <c r="I11906" s="1358"/>
    </row>
    <row r="11907" spans="8:9">
      <c r="H11907" s="1358"/>
      <c r="I11907" s="1358"/>
    </row>
    <row r="11908" spans="8:9">
      <c r="H11908" s="1358"/>
      <c r="I11908" s="1358"/>
    </row>
    <row r="11909" spans="8:9">
      <c r="H11909" s="1358"/>
      <c r="I11909" s="1358"/>
    </row>
    <row r="11910" spans="8:9">
      <c r="H11910" s="1358"/>
      <c r="I11910" s="1358"/>
    </row>
    <row r="11911" spans="8:9">
      <c r="H11911" s="1358"/>
      <c r="I11911" s="1358"/>
    </row>
    <row r="11912" spans="8:9">
      <c r="H11912" s="1358"/>
      <c r="I11912" s="1358"/>
    </row>
    <row r="11913" spans="8:9">
      <c r="H11913" s="1358"/>
      <c r="I11913" s="1358"/>
    </row>
    <row r="11914" spans="8:9">
      <c r="H11914" s="1358"/>
      <c r="I11914" s="1358"/>
    </row>
    <row r="11915" spans="8:9">
      <c r="H11915" s="1358"/>
      <c r="I11915" s="1358"/>
    </row>
    <row r="11916" spans="8:9">
      <c r="H11916" s="1358"/>
      <c r="I11916" s="1358"/>
    </row>
    <row r="11917" spans="8:9">
      <c r="H11917" s="1358"/>
      <c r="I11917" s="1358"/>
    </row>
    <row r="11918" spans="8:9">
      <c r="H11918" s="1358"/>
      <c r="I11918" s="1358"/>
    </row>
    <row r="11919" spans="8:9">
      <c r="H11919" s="1358"/>
      <c r="I11919" s="1358"/>
    </row>
    <row r="11920" spans="8:9">
      <c r="H11920" s="1358"/>
      <c r="I11920" s="1358"/>
    </row>
    <row r="11921" spans="8:9">
      <c r="H11921" s="1358"/>
      <c r="I11921" s="1358"/>
    </row>
    <row r="11922" spans="8:9">
      <c r="H11922" s="1358"/>
      <c r="I11922" s="1358"/>
    </row>
    <row r="11923" spans="8:9">
      <c r="H11923" s="1358"/>
      <c r="I11923" s="1358"/>
    </row>
    <row r="11924" spans="8:9">
      <c r="H11924" s="1358"/>
      <c r="I11924" s="1358"/>
    </row>
    <row r="11925" spans="8:9">
      <c r="H11925" s="1358"/>
      <c r="I11925" s="1358"/>
    </row>
    <row r="11926" spans="8:9">
      <c r="H11926" s="1358"/>
      <c r="I11926" s="1358"/>
    </row>
    <row r="11927" spans="8:9">
      <c r="H11927" s="1358"/>
      <c r="I11927" s="1358"/>
    </row>
    <row r="11928" spans="8:9">
      <c r="H11928" s="1358"/>
      <c r="I11928" s="1358"/>
    </row>
    <row r="11929" spans="8:9">
      <c r="H11929" s="1358"/>
      <c r="I11929" s="1358"/>
    </row>
    <row r="11930" spans="8:9">
      <c r="H11930" s="1358"/>
      <c r="I11930" s="1358"/>
    </row>
    <row r="11931" spans="8:9">
      <c r="H11931" s="1358"/>
      <c r="I11931" s="1358"/>
    </row>
    <row r="11932" spans="8:9">
      <c r="H11932" s="1358"/>
      <c r="I11932" s="1358"/>
    </row>
    <row r="11933" spans="8:9">
      <c r="H11933" s="1358"/>
      <c r="I11933" s="1358"/>
    </row>
    <row r="11934" spans="8:9">
      <c r="H11934" s="1358"/>
      <c r="I11934" s="1358"/>
    </row>
    <row r="11935" spans="8:9">
      <c r="H11935" s="1358"/>
      <c r="I11935" s="1358"/>
    </row>
    <row r="11936" spans="8:9">
      <c r="H11936" s="1358"/>
      <c r="I11936" s="1358"/>
    </row>
    <row r="11937" spans="8:9">
      <c r="H11937" s="1358"/>
      <c r="I11937" s="1358"/>
    </row>
    <row r="11938" spans="8:9">
      <c r="H11938" s="1358"/>
      <c r="I11938" s="1358"/>
    </row>
    <row r="11939" spans="8:9">
      <c r="H11939" s="1358"/>
      <c r="I11939" s="1358"/>
    </row>
    <row r="11940" spans="8:9">
      <c r="H11940" s="1358"/>
      <c r="I11940" s="1358"/>
    </row>
    <row r="11941" spans="8:9">
      <c r="H11941" s="1358"/>
      <c r="I11941" s="1358"/>
    </row>
    <row r="11942" spans="8:9">
      <c r="H11942" s="1358"/>
      <c r="I11942" s="1358"/>
    </row>
    <row r="11943" spans="8:9">
      <c r="H11943" s="1358"/>
      <c r="I11943" s="1358"/>
    </row>
    <row r="11944" spans="8:9">
      <c r="H11944" s="1358"/>
      <c r="I11944" s="1358"/>
    </row>
    <row r="11945" spans="8:9">
      <c r="H11945" s="1358"/>
      <c r="I11945" s="1358"/>
    </row>
    <row r="11946" spans="8:9">
      <c r="H11946" s="1358"/>
      <c r="I11946" s="1358"/>
    </row>
    <row r="11947" spans="8:9">
      <c r="H11947" s="1358"/>
      <c r="I11947" s="1358"/>
    </row>
    <row r="11948" spans="8:9">
      <c r="H11948" s="1358"/>
      <c r="I11948" s="1358"/>
    </row>
    <row r="11949" spans="8:9">
      <c r="H11949" s="1358"/>
      <c r="I11949" s="1358"/>
    </row>
    <row r="11950" spans="8:9">
      <c r="H11950" s="1358"/>
      <c r="I11950" s="1358"/>
    </row>
    <row r="11951" spans="8:9">
      <c r="H11951" s="1358"/>
      <c r="I11951" s="1358"/>
    </row>
    <row r="11952" spans="8:9">
      <c r="H11952" s="1358"/>
      <c r="I11952" s="1358"/>
    </row>
    <row r="11953" spans="8:9">
      <c r="H11953" s="1358"/>
      <c r="I11953" s="1358"/>
    </row>
    <row r="11954" spans="8:9">
      <c r="H11954" s="1358"/>
      <c r="I11954" s="1358"/>
    </row>
    <row r="11955" spans="8:9">
      <c r="H11955" s="1358"/>
      <c r="I11955" s="1358"/>
    </row>
    <row r="11956" spans="8:9">
      <c r="H11956" s="1358"/>
      <c r="I11956" s="1358"/>
    </row>
    <row r="11957" spans="8:9">
      <c r="H11957" s="1358"/>
      <c r="I11957" s="1358"/>
    </row>
    <row r="11958" spans="8:9">
      <c r="H11958" s="1358"/>
      <c r="I11958" s="1358"/>
    </row>
    <row r="11959" spans="8:9">
      <c r="H11959" s="1358"/>
      <c r="I11959" s="1358"/>
    </row>
    <row r="11960" spans="8:9">
      <c r="H11960" s="1358"/>
      <c r="I11960" s="1358"/>
    </row>
    <row r="11961" spans="8:9">
      <c r="H11961" s="1358"/>
      <c r="I11961" s="1358"/>
    </row>
    <row r="11962" spans="8:9">
      <c r="H11962" s="1358"/>
      <c r="I11962" s="1358"/>
    </row>
    <row r="11963" spans="8:9">
      <c r="H11963" s="1358"/>
      <c r="I11963" s="1358"/>
    </row>
    <row r="11964" spans="8:9">
      <c r="H11964" s="1358"/>
      <c r="I11964" s="1358"/>
    </row>
    <row r="11965" spans="8:9">
      <c r="H11965" s="1358"/>
      <c r="I11965" s="1358"/>
    </row>
    <row r="11966" spans="8:9">
      <c r="H11966" s="1358"/>
      <c r="I11966" s="1358"/>
    </row>
    <row r="11967" spans="8:9">
      <c r="H11967" s="1358"/>
      <c r="I11967" s="1358"/>
    </row>
    <row r="11968" spans="8:9">
      <c r="H11968" s="1358"/>
      <c r="I11968" s="1358"/>
    </row>
    <row r="11969" spans="8:9">
      <c r="H11969" s="1358"/>
      <c r="I11969" s="1358"/>
    </row>
    <row r="11970" spans="8:9">
      <c r="H11970" s="1358"/>
      <c r="I11970" s="1358"/>
    </row>
    <row r="11971" spans="8:9">
      <c r="H11971" s="1358"/>
      <c r="I11971" s="1358"/>
    </row>
    <row r="11972" spans="8:9">
      <c r="H11972" s="1358"/>
      <c r="I11972" s="1358"/>
    </row>
    <row r="11973" spans="8:9">
      <c r="H11973" s="1358"/>
      <c r="I11973" s="1358"/>
    </row>
    <row r="11974" spans="8:9">
      <c r="H11974" s="1358"/>
      <c r="I11974" s="1358"/>
    </row>
    <row r="11975" spans="8:9">
      <c r="H11975" s="1358"/>
      <c r="I11975" s="1358"/>
    </row>
    <row r="11976" spans="8:9">
      <c r="H11976" s="1358"/>
      <c r="I11976" s="1358"/>
    </row>
    <row r="11977" spans="8:9">
      <c r="H11977" s="1358"/>
      <c r="I11977" s="1358"/>
    </row>
    <row r="11978" spans="8:9">
      <c r="H11978" s="1358"/>
      <c r="I11978" s="1358"/>
    </row>
    <row r="11979" spans="8:9">
      <c r="H11979" s="1358"/>
      <c r="I11979" s="1358"/>
    </row>
    <row r="11980" spans="8:9">
      <c r="H11980" s="1358"/>
      <c r="I11980" s="1358"/>
    </row>
    <row r="11981" spans="8:9">
      <c r="H11981" s="1358"/>
      <c r="I11981" s="1358"/>
    </row>
    <row r="11982" spans="8:9">
      <c r="H11982" s="1358"/>
      <c r="I11982" s="1358"/>
    </row>
    <row r="11983" spans="8:9">
      <c r="H11983" s="1358"/>
      <c r="I11983" s="1358"/>
    </row>
    <row r="11984" spans="8:9">
      <c r="H11984" s="1358"/>
      <c r="I11984" s="1358"/>
    </row>
    <row r="11985" spans="8:9">
      <c r="H11985" s="1358"/>
      <c r="I11985" s="1358"/>
    </row>
    <row r="11986" spans="8:9">
      <c r="H11986" s="1358"/>
      <c r="I11986" s="1358"/>
    </row>
    <row r="11987" spans="8:9">
      <c r="H11987" s="1358"/>
      <c r="I11987" s="1358"/>
    </row>
    <row r="11988" spans="8:9">
      <c r="H11988" s="1358"/>
      <c r="I11988" s="1358"/>
    </row>
    <row r="11989" spans="8:9">
      <c r="H11989" s="1358"/>
      <c r="I11989" s="1358"/>
    </row>
    <row r="11990" spans="8:9">
      <c r="H11990" s="1358"/>
      <c r="I11990" s="1358"/>
    </row>
    <row r="11991" spans="8:9">
      <c r="H11991" s="1358"/>
      <c r="I11991" s="1358"/>
    </row>
    <row r="11992" spans="8:9">
      <c r="H11992" s="1358"/>
      <c r="I11992" s="1358"/>
    </row>
    <row r="11993" spans="8:9">
      <c r="H11993" s="1358"/>
      <c r="I11993" s="1358"/>
    </row>
    <row r="11994" spans="8:9">
      <c r="H11994" s="1358"/>
      <c r="I11994" s="1358"/>
    </row>
    <row r="11995" spans="8:9">
      <c r="H11995" s="1358"/>
      <c r="I11995" s="1358"/>
    </row>
    <row r="11996" spans="8:9">
      <c r="H11996" s="1358"/>
      <c r="I11996" s="1358"/>
    </row>
    <row r="11997" spans="8:9">
      <c r="H11997" s="1358"/>
      <c r="I11997" s="1358"/>
    </row>
    <row r="11998" spans="8:9">
      <c r="H11998" s="1358"/>
      <c r="I11998" s="1358"/>
    </row>
    <row r="11999" spans="8:9">
      <c r="H11999" s="1358"/>
      <c r="I11999" s="1358"/>
    </row>
    <row r="12000" spans="8:9">
      <c r="H12000" s="1358"/>
      <c r="I12000" s="1358"/>
    </row>
    <row r="12001" spans="8:9">
      <c r="H12001" s="1358"/>
      <c r="I12001" s="1358"/>
    </row>
    <row r="12002" spans="8:9">
      <c r="H12002" s="1358"/>
      <c r="I12002" s="1358"/>
    </row>
    <row r="12003" spans="8:9">
      <c r="H12003" s="1358"/>
      <c r="I12003" s="1358"/>
    </row>
    <row r="12004" spans="8:9">
      <c r="H12004" s="1358"/>
      <c r="I12004" s="1358"/>
    </row>
    <row r="12005" spans="8:9">
      <c r="H12005" s="1358"/>
      <c r="I12005" s="1358"/>
    </row>
    <row r="12006" spans="8:9">
      <c r="H12006" s="1358"/>
      <c r="I12006" s="1358"/>
    </row>
    <row r="12007" spans="8:9">
      <c r="H12007" s="1358"/>
      <c r="I12007" s="1358"/>
    </row>
    <row r="12008" spans="8:9">
      <c r="H12008" s="1358"/>
      <c r="I12008" s="1358"/>
    </row>
    <row r="12009" spans="8:9">
      <c r="H12009" s="1358"/>
      <c r="I12009" s="1358"/>
    </row>
    <row r="12010" spans="8:9">
      <c r="H12010" s="1358"/>
      <c r="I12010" s="1358"/>
    </row>
    <row r="12011" spans="8:9">
      <c r="H12011" s="1358"/>
      <c r="I12011" s="1358"/>
    </row>
    <row r="12012" spans="8:9">
      <c r="H12012" s="1358"/>
      <c r="I12012" s="1358"/>
    </row>
    <row r="12013" spans="8:9">
      <c r="H12013" s="1358"/>
      <c r="I12013" s="1358"/>
    </row>
    <row r="12014" spans="8:9">
      <c r="H12014" s="1358"/>
      <c r="I12014" s="1358"/>
    </row>
    <row r="12015" spans="8:9">
      <c r="H12015" s="1358"/>
      <c r="I12015" s="1358"/>
    </row>
    <row r="12016" spans="8:9">
      <c r="H12016" s="1358"/>
      <c r="I12016" s="1358"/>
    </row>
    <row r="12017" spans="8:9">
      <c r="H12017" s="1358"/>
      <c r="I12017" s="1358"/>
    </row>
    <row r="12018" spans="8:9">
      <c r="H12018" s="1358"/>
      <c r="I12018" s="1358"/>
    </row>
    <row r="12019" spans="8:9">
      <c r="H12019" s="1358"/>
      <c r="I12019" s="1358"/>
    </row>
    <row r="12020" spans="8:9">
      <c r="H12020" s="1358"/>
      <c r="I12020" s="1358"/>
    </row>
    <row r="12021" spans="8:9">
      <c r="H12021" s="1358"/>
      <c r="I12021" s="1358"/>
    </row>
    <row r="12022" spans="8:9">
      <c r="H12022" s="1358"/>
      <c r="I12022" s="1358"/>
    </row>
    <row r="12023" spans="8:9">
      <c r="H12023" s="1358"/>
      <c r="I12023" s="1358"/>
    </row>
    <row r="12024" spans="8:9">
      <c r="H12024" s="1358"/>
      <c r="I12024" s="1358"/>
    </row>
    <row r="12025" spans="8:9">
      <c r="H12025" s="1358"/>
      <c r="I12025" s="1358"/>
    </row>
    <row r="12026" spans="8:9">
      <c r="H12026" s="1358"/>
      <c r="I12026" s="1358"/>
    </row>
    <row r="12027" spans="8:9">
      <c r="H12027" s="1358"/>
      <c r="I12027" s="1358"/>
    </row>
    <row r="12028" spans="8:9">
      <c r="H12028" s="1358"/>
      <c r="I12028" s="1358"/>
    </row>
    <row r="12029" spans="8:9">
      <c r="H12029" s="1358"/>
      <c r="I12029" s="1358"/>
    </row>
    <row r="12030" spans="8:9">
      <c r="H12030" s="1358"/>
      <c r="I12030" s="1358"/>
    </row>
    <row r="12031" spans="8:9">
      <c r="H12031" s="1358"/>
      <c r="I12031" s="1358"/>
    </row>
    <row r="12032" spans="8:9">
      <c r="H12032" s="1358"/>
      <c r="I12032" s="1358"/>
    </row>
    <row r="12033" spans="8:9">
      <c r="H12033" s="1358"/>
      <c r="I12033" s="1358"/>
    </row>
    <row r="12034" spans="8:9">
      <c r="H12034" s="1358"/>
      <c r="I12034" s="1358"/>
    </row>
    <row r="12035" spans="8:9">
      <c r="H12035" s="1358"/>
      <c r="I12035" s="1358"/>
    </row>
    <row r="12036" spans="8:9">
      <c r="H12036" s="1358"/>
      <c r="I12036" s="1358"/>
    </row>
    <row r="12037" spans="8:9">
      <c r="H12037" s="1358"/>
      <c r="I12037" s="1358"/>
    </row>
    <row r="12038" spans="8:9">
      <c r="H12038" s="1358"/>
      <c r="I12038" s="1358"/>
    </row>
    <row r="12039" spans="8:9">
      <c r="H12039" s="1358"/>
      <c r="I12039" s="1358"/>
    </row>
    <row r="12040" spans="8:9">
      <c r="H12040" s="1358"/>
      <c r="I12040" s="1358"/>
    </row>
    <row r="12041" spans="8:9">
      <c r="H12041" s="1358"/>
      <c r="I12041" s="1358"/>
    </row>
    <row r="12042" spans="8:9">
      <c r="H12042" s="1358"/>
      <c r="I12042" s="1358"/>
    </row>
    <row r="12043" spans="8:9">
      <c r="H12043" s="1358"/>
      <c r="I12043" s="1358"/>
    </row>
    <row r="12044" spans="8:9">
      <c r="H12044" s="1358"/>
      <c r="I12044" s="1358"/>
    </row>
    <row r="12045" spans="8:9">
      <c r="H12045" s="1358"/>
      <c r="I12045" s="1358"/>
    </row>
    <row r="12046" spans="8:9">
      <c r="H12046" s="1358"/>
      <c r="I12046" s="1358"/>
    </row>
    <row r="12047" spans="8:9">
      <c r="H12047" s="1358"/>
      <c r="I12047" s="1358"/>
    </row>
    <row r="12048" spans="8:9">
      <c r="H12048" s="1358"/>
      <c r="I12048" s="1358"/>
    </row>
    <row r="12049" spans="8:9">
      <c r="H12049" s="1358"/>
      <c r="I12049" s="1358"/>
    </row>
    <row r="12050" spans="8:9">
      <c r="H12050" s="1358"/>
      <c r="I12050" s="1358"/>
    </row>
    <row r="12051" spans="8:9">
      <c r="H12051" s="1358"/>
      <c r="I12051" s="1358"/>
    </row>
    <row r="12052" spans="8:9">
      <c r="H12052" s="1358"/>
      <c r="I12052" s="1358"/>
    </row>
    <row r="12053" spans="8:9">
      <c r="H12053" s="1358"/>
      <c r="I12053" s="1358"/>
    </row>
    <row r="12054" spans="8:9">
      <c r="H12054" s="1358"/>
      <c r="I12054" s="1358"/>
    </row>
    <row r="12055" spans="8:9">
      <c r="H12055" s="1358"/>
      <c r="I12055" s="1358"/>
    </row>
    <row r="12056" spans="8:9">
      <c r="H12056" s="1358"/>
      <c r="I12056" s="1358"/>
    </row>
    <row r="12057" spans="8:9">
      <c r="H12057" s="1358"/>
      <c r="I12057" s="1358"/>
    </row>
    <row r="12058" spans="8:9">
      <c r="H12058" s="1358"/>
      <c r="I12058" s="1358"/>
    </row>
    <row r="12059" spans="8:9">
      <c r="H12059" s="1358"/>
      <c r="I12059" s="1358"/>
    </row>
    <row r="12060" spans="8:9">
      <c r="H12060" s="1358"/>
      <c r="I12060" s="1358"/>
    </row>
    <row r="12061" spans="8:9">
      <c r="H12061" s="1358"/>
      <c r="I12061" s="1358"/>
    </row>
    <row r="12062" spans="8:9">
      <c r="H12062" s="1358"/>
      <c r="I12062" s="1358"/>
    </row>
    <row r="12063" spans="8:9">
      <c r="H12063" s="1358"/>
      <c r="I12063" s="1358"/>
    </row>
    <row r="12064" spans="8:9">
      <c r="H12064" s="1358"/>
      <c r="I12064" s="1358"/>
    </row>
    <row r="12065" spans="8:9">
      <c r="H12065" s="1358"/>
      <c r="I12065" s="1358"/>
    </row>
    <row r="12066" spans="8:9">
      <c r="H12066" s="1358"/>
      <c r="I12066" s="1358"/>
    </row>
    <row r="12067" spans="8:9">
      <c r="H12067" s="1358"/>
      <c r="I12067" s="1358"/>
    </row>
    <row r="12068" spans="8:9">
      <c r="H12068" s="1358"/>
      <c r="I12068" s="1358"/>
    </row>
    <row r="12069" spans="8:9">
      <c r="H12069" s="1358"/>
      <c r="I12069" s="1358"/>
    </row>
    <row r="12070" spans="8:9">
      <c r="H12070" s="1358"/>
      <c r="I12070" s="1358"/>
    </row>
    <row r="12071" spans="8:9">
      <c r="H12071" s="1358"/>
      <c r="I12071" s="1358"/>
    </row>
    <row r="12072" spans="8:9">
      <c r="H12072" s="1358"/>
      <c r="I12072" s="1358"/>
    </row>
    <row r="12073" spans="8:9">
      <c r="H12073" s="1358"/>
      <c r="I12073" s="1358"/>
    </row>
    <row r="12074" spans="8:9">
      <c r="H12074" s="1358"/>
      <c r="I12074" s="1358"/>
    </row>
    <row r="12075" spans="8:9">
      <c r="H12075" s="1358"/>
      <c r="I12075" s="1358"/>
    </row>
    <row r="12076" spans="8:9">
      <c r="H12076" s="1358"/>
      <c r="I12076" s="1358"/>
    </row>
    <row r="12077" spans="8:9">
      <c r="H12077" s="1358"/>
      <c r="I12077" s="1358"/>
    </row>
    <row r="12078" spans="8:9">
      <c r="H12078" s="1358"/>
      <c r="I12078" s="1358"/>
    </row>
    <row r="12079" spans="8:9">
      <c r="H12079" s="1358"/>
      <c r="I12079" s="1358"/>
    </row>
    <row r="12080" spans="8:9">
      <c r="H12080" s="1358"/>
      <c r="I12080" s="1358"/>
    </row>
    <row r="12081" spans="8:9">
      <c r="H12081" s="1358"/>
      <c r="I12081" s="1358"/>
    </row>
    <row r="12082" spans="8:9">
      <c r="H12082" s="1358"/>
      <c r="I12082" s="1358"/>
    </row>
    <row r="12083" spans="8:9">
      <c r="H12083" s="1358"/>
      <c r="I12083" s="1358"/>
    </row>
    <row r="12084" spans="8:9">
      <c r="H12084" s="1358"/>
      <c r="I12084" s="1358"/>
    </row>
    <row r="12085" spans="8:9">
      <c r="H12085" s="1358"/>
      <c r="I12085" s="1358"/>
    </row>
    <row r="12086" spans="8:9">
      <c r="H12086" s="1358"/>
      <c r="I12086" s="1358"/>
    </row>
    <row r="12087" spans="8:9">
      <c r="H12087" s="1358"/>
      <c r="I12087" s="1358"/>
    </row>
    <row r="12088" spans="8:9">
      <c r="H12088" s="1358"/>
      <c r="I12088" s="1358"/>
    </row>
    <row r="12089" spans="8:9">
      <c r="H12089" s="1358"/>
      <c r="I12089" s="1358"/>
    </row>
    <row r="12090" spans="8:9">
      <c r="H12090" s="1358"/>
      <c r="I12090" s="1358"/>
    </row>
    <row r="12091" spans="8:9">
      <c r="H12091" s="1358"/>
      <c r="I12091" s="1358"/>
    </row>
    <row r="12092" spans="8:9">
      <c r="H12092" s="1358"/>
      <c r="I12092" s="1358"/>
    </row>
    <row r="12093" spans="8:9">
      <c r="H12093" s="1358"/>
      <c r="I12093" s="1358"/>
    </row>
    <row r="12094" spans="8:9">
      <c r="H12094" s="1358"/>
      <c r="I12094" s="1358"/>
    </row>
    <row r="12095" spans="8:9">
      <c r="H12095" s="1358"/>
      <c r="I12095" s="1358"/>
    </row>
    <row r="12096" spans="8:9">
      <c r="H12096" s="1358"/>
      <c r="I12096" s="1358"/>
    </row>
    <row r="12097" spans="8:9">
      <c r="H12097" s="1358"/>
      <c r="I12097" s="1358"/>
    </row>
    <row r="12098" spans="8:9">
      <c r="H12098" s="1358"/>
      <c r="I12098" s="1358"/>
    </row>
    <row r="12099" spans="8:9">
      <c r="H12099" s="1358"/>
      <c r="I12099" s="1358"/>
    </row>
    <row r="12100" spans="8:9">
      <c r="H12100" s="1358"/>
      <c r="I12100" s="1358"/>
    </row>
    <row r="12101" spans="8:9">
      <c r="H12101" s="1358"/>
      <c r="I12101" s="1358"/>
    </row>
    <row r="12102" spans="8:9">
      <c r="H12102" s="1358"/>
      <c r="I12102" s="1358"/>
    </row>
    <row r="12103" spans="8:9">
      <c r="H12103" s="1358"/>
      <c r="I12103" s="1358"/>
    </row>
    <row r="12104" spans="8:9">
      <c r="H12104" s="1358"/>
      <c r="I12104" s="1358"/>
    </row>
    <row r="12105" spans="8:9">
      <c r="H12105" s="1358"/>
      <c r="I12105" s="1358"/>
    </row>
    <row r="12106" spans="8:9">
      <c r="H12106" s="1358"/>
      <c r="I12106" s="1358"/>
    </row>
    <row r="12107" spans="8:9">
      <c r="H12107" s="1358"/>
      <c r="I12107" s="1358"/>
    </row>
    <row r="12108" spans="8:9">
      <c r="H12108" s="1358"/>
      <c r="I12108" s="1358"/>
    </row>
    <row r="12109" spans="8:9">
      <c r="H12109" s="1358"/>
      <c r="I12109" s="1358"/>
    </row>
    <row r="12110" spans="8:9">
      <c r="H12110" s="1358"/>
      <c r="I12110" s="1358"/>
    </row>
    <row r="12111" spans="8:9">
      <c r="H12111" s="1358"/>
      <c r="I12111" s="1358"/>
    </row>
    <row r="12112" spans="8:9">
      <c r="H12112" s="1358"/>
      <c r="I12112" s="1358"/>
    </row>
    <row r="12113" spans="8:9">
      <c r="H12113" s="1358"/>
      <c r="I12113" s="1358"/>
    </row>
    <row r="12114" spans="8:9">
      <c r="H12114" s="1358"/>
      <c r="I12114" s="1358"/>
    </row>
    <row r="12115" spans="8:9">
      <c r="H12115" s="1358"/>
      <c r="I12115" s="1358"/>
    </row>
    <row r="12116" spans="8:9">
      <c r="H12116" s="1358"/>
      <c r="I12116" s="1358"/>
    </row>
    <row r="12117" spans="8:9">
      <c r="H12117" s="1358"/>
      <c r="I12117" s="1358"/>
    </row>
    <row r="12118" spans="8:9">
      <c r="H12118" s="1358"/>
      <c r="I12118" s="1358"/>
    </row>
    <row r="12119" spans="8:9">
      <c r="H12119" s="1358"/>
      <c r="I12119" s="1358"/>
    </row>
    <row r="12120" spans="8:9">
      <c r="H12120" s="1358"/>
      <c r="I12120" s="1358"/>
    </row>
    <row r="12121" spans="8:9">
      <c r="H12121" s="1358"/>
      <c r="I12121" s="1358"/>
    </row>
    <row r="12122" spans="8:9">
      <c r="H12122" s="1358"/>
      <c r="I12122" s="1358"/>
    </row>
    <row r="12123" spans="8:9">
      <c r="H12123" s="1358"/>
      <c r="I12123" s="1358"/>
    </row>
    <row r="12124" spans="8:9">
      <c r="H12124" s="1358"/>
      <c r="I12124" s="1358"/>
    </row>
    <row r="12125" spans="8:9">
      <c r="H12125" s="1358"/>
      <c r="I12125" s="1358"/>
    </row>
    <row r="12126" spans="8:9">
      <c r="H12126" s="1358"/>
      <c r="I12126" s="1358"/>
    </row>
    <row r="12127" spans="8:9">
      <c r="H12127" s="1358"/>
      <c r="I12127" s="1358"/>
    </row>
    <row r="12128" spans="8:9">
      <c r="H12128" s="1358"/>
      <c r="I12128" s="1358"/>
    </row>
    <row r="12129" spans="8:9">
      <c r="H12129" s="1358"/>
      <c r="I12129" s="1358"/>
    </row>
    <row r="12130" spans="8:9">
      <c r="H12130" s="1358"/>
      <c r="I12130" s="1358"/>
    </row>
    <row r="12131" spans="8:9">
      <c r="H12131" s="1358"/>
      <c r="I12131" s="1358"/>
    </row>
    <row r="12132" spans="8:9">
      <c r="H12132" s="1358"/>
      <c r="I12132" s="1358"/>
    </row>
    <row r="12133" spans="8:9">
      <c r="H12133" s="1358"/>
      <c r="I12133" s="1358"/>
    </row>
    <row r="12134" spans="8:9">
      <c r="H12134" s="1358"/>
      <c r="I12134" s="1358"/>
    </row>
    <row r="12135" spans="8:9">
      <c r="H12135" s="1358"/>
      <c r="I12135" s="1358"/>
    </row>
    <row r="12136" spans="8:9">
      <c r="H12136" s="1358"/>
      <c r="I12136" s="1358"/>
    </row>
    <row r="12137" spans="8:9">
      <c r="H12137" s="1358"/>
      <c r="I12137" s="1358"/>
    </row>
    <row r="12138" spans="8:9">
      <c r="H12138" s="1358"/>
      <c r="I12138" s="1358"/>
    </row>
    <row r="12139" spans="8:9">
      <c r="H12139" s="1358"/>
      <c r="I12139" s="1358"/>
    </row>
    <row r="12140" spans="8:9">
      <c r="H12140" s="1358"/>
      <c r="I12140" s="1358"/>
    </row>
    <row r="12141" spans="8:9">
      <c r="H12141" s="1358"/>
      <c r="I12141" s="1358"/>
    </row>
    <row r="12142" spans="8:9">
      <c r="H12142" s="1358"/>
      <c r="I12142" s="1358"/>
    </row>
    <row r="12143" spans="8:9">
      <c r="H12143" s="1358"/>
      <c r="I12143" s="1358"/>
    </row>
    <row r="12144" spans="8:9">
      <c r="H12144" s="1358"/>
      <c r="I12144" s="1358"/>
    </row>
    <row r="12145" spans="8:9">
      <c r="H12145" s="1358"/>
      <c r="I12145" s="1358"/>
    </row>
    <row r="12146" spans="8:9">
      <c r="H12146" s="1358"/>
      <c r="I12146" s="1358"/>
    </row>
    <row r="12147" spans="8:9">
      <c r="H12147" s="1358"/>
      <c r="I12147" s="1358"/>
    </row>
    <row r="12148" spans="8:9">
      <c r="H12148" s="1358"/>
      <c r="I12148" s="1358"/>
    </row>
    <row r="12149" spans="8:9">
      <c r="H12149" s="1358"/>
      <c r="I12149" s="1358"/>
    </row>
    <row r="12150" spans="8:9">
      <c r="H12150" s="1358"/>
      <c r="I12150" s="1358"/>
    </row>
    <row r="12151" spans="8:9">
      <c r="H12151" s="1358"/>
      <c r="I12151" s="1358"/>
    </row>
    <row r="12152" spans="8:9">
      <c r="H12152" s="1358"/>
      <c r="I12152" s="1358"/>
    </row>
    <row r="12153" spans="8:9">
      <c r="H12153" s="1358"/>
      <c r="I12153" s="1358"/>
    </row>
    <row r="12154" spans="8:9">
      <c r="H12154" s="1358"/>
      <c r="I12154" s="1358"/>
    </row>
    <row r="12155" spans="8:9">
      <c r="H12155" s="1358"/>
      <c r="I12155" s="1358"/>
    </row>
    <row r="12156" spans="8:9">
      <c r="H12156" s="1358"/>
      <c r="I12156" s="1358"/>
    </row>
    <row r="12157" spans="8:9">
      <c r="H12157" s="1358"/>
      <c r="I12157" s="1358"/>
    </row>
    <row r="12158" spans="8:9">
      <c r="H12158" s="1358"/>
      <c r="I12158" s="1358"/>
    </row>
    <row r="12159" spans="8:9">
      <c r="H12159" s="1358"/>
      <c r="I12159" s="1358"/>
    </row>
    <row r="12160" spans="8:9">
      <c r="H12160" s="1358"/>
      <c r="I12160" s="1358"/>
    </row>
    <row r="12161" spans="8:9">
      <c r="H12161" s="1358"/>
      <c r="I12161" s="1358"/>
    </row>
    <row r="12162" spans="8:9">
      <c r="H12162" s="1358"/>
      <c r="I12162" s="1358"/>
    </row>
    <row r="12163" spans="8:9">
      <c r="H12163" s="1358"/>
      <c r="I12163" s="1358"/>
    </row>
    <row r="12164" spans="8:9">
      <c r="H12164" s="1358"/>
      <c r="I12164" s="1358"/>
    </row>
    <row r="12165" spans="8:9">
      <c r="H12165" s="1358"/>
      <c r="I12165" s="1358"/>
    </row>
    <row r="12166" spans="8:9">
      <c r="H12166" s="1358"/>
      <c r="I12166" s="1358"/>
    </row>
    <row r="12167" spans="8:9">
      <c r="H12167" s="1358"/>
      <c r="I12167" s="1358"/>
    </row>
    <row r="12168" spans="8:9">
      <c r="H12168" s="1358"/>
      <c r="I12168" s="1358"/>
    </row>
    <row r="12169" spans="8:9">
      <c r="H12169" s="1358"/>
      <c r="I12169" s="1358"/>
    </row>
    <row r="12170" spans="8:9">
      <c r="H12170" s="1358"/>
      <c r="I12170" s="1358"/>
    </row>
    <row r="12171" spans="8:9">
      <c r="H12171" s="1358"/>
      <c r="I12171" s="1358"/>
    </row>
    <row r="12172" spans="8:9">
      <c r="H12172" s="1358"/>
      <c r="I12172" s="1358"/>
    </row>
    <row r="12173" spans="8:9">
      <c r="H12173" s="1358"/>
      <c r="I12173" s="1358"/>
    </row>
    <row r="12174" spans="8:9">
      <c r="H12174" s="1358"/>
      <c r="I12174" s="1358"/>
    </row>
    <row r="12175" spans="8:9">
      <c r="H12175" s="1358"/>
      <c r="I12175" s="1358"/>
    </row>
    <row r="12176" spans="8:9">
      <c r="H12176" s="1358"/>
      <c r="I12176" s="1358"/>
    </row>
    <row r="12177" spans="8:9">
      <c r="H12177" s="1358"/>
      <c r="I12177" s="1358"/>
    </row>
    <row r="12178" spans="8:9">
      <c r="H12178" s="1358"/>
      <c r="I12178" s="1358"/>
    </row>
    <row r="12179" spans="8:9">
      <c r="H12179" s="1358"/>
      <c r="I12179" s="1358"/>
    </row>
    <row r="12180" spans="8:9">
      <c r="H12180" s="1358"/>
      <c r="I12180" s="1358"/>
    </row>
    <row r="12181" spans="8:9">
      <c r="H12181" s="1358"/>
      <c r="I12181" s="1358"/>
    </row>
    <row r="12182" spans="8:9">
      <c r="H12182" s="1358"/>
      <c r="I12182" s="1358"/>
    </row>
    <row r="12183" spans="8:9">
      <c r="H12183" s="1358"/>
      <c r="I12183" s="1358"/>
    </row>
    <row r="12184" spans="8:9">
      <c r="H12184" s="1358"/>
      <c r="I12184" s="1358"/>
    </row>
    <row r="12185" spans="8:9">
      <c r="H12185" s="1358"/>
      <c r="I12185" s="1358"/>
    </row>
    <row r="12186" spans="8:9">
      <c r="H12186" s="1358"/>
      <c r="I12186" s="1358"/>
    </row>
    <row r="12187" spans="8:9">
      <c r="H12187" s="1358"/>
      <c r="I12187" s="1358"/>
    </row>
    <row r="12188" spans="8:9">
      <c r="H12188" s="1358"/>
      <c r="I12188" s="1358"/>
    </row>
    <row r="12189" spans="8:9">
      <c r="H12189" s="1358"/>
      <c r="I12189" s="1358"/>
    </row>
    <row r="12190" spans="8:9">
      <c r="H12190" s="1358"/>
      <c r="I12190" s="1358"/>
    </row>
    <row r="12191" spans="8:9">
      <c r="H12191" s="1358"/>
      <c r="I12191" s="1358"/>
    </row>
    <row r="12192" spans="8:9">
      <c r="H12192" s="1358"/>
      <c r="I12192" s="1358"/>
    </row>
    <row r="12193" spans="8:9">
      <c r="H12193" s="1358"/>
      <c r="I12193" s="1358"/>
    </row>
    <row r="12194" spans="8:9">
      <c r="H12194" s="1358"/>
      <c r="I12194" s="1358"/>
    </row>
    <row r="12195" spans="8:9">
      <c r="H12195" s="1358"/>
      <c r="I12195" s="1358"/>
    </row>
    <row r="12196" spans="8:9">
      <c r="H12196" s="1358"/>
      <c r="I12196" s="1358"/>
    </row>
    <row r="12197" spans="8:9">
      <c r="H12197" s="1358"/>
      <c r="I12197" s="1358"/>
    </row>
    <row r="12198" spans="8:9">
      <c r="H12198" s="1358"/>
      <c r="I12198" s="1358"/>
    </row>
    <row r="12199" spans="8:9">
      <c r="H12199" s="1358"/>
      <c r="I12199" s="1358"/>
    </row>
    <row r="12200" spans="8:9">
      <c r="H12200" s="1358"/>
      <c r="I12200" s="1358"/>
    </row>
    <row r="12201" spans="8:9">
      <c r="H12201" s="1358"/>
      <c r="I12201" s="1358"/>
    </row>
    <row r="12202" spans="8:9">
      <c r="H12202" s="1358"/>
      <c r="I12202" s="1358"/>
    </row>
    <row r="12203" spans="8:9">
      <c r="H12203" s="1358"/>
      <c r="I12203" s="1358"/>
    </row>
    <row r="12204" spans="8:9">
      <c r="H12204" s="1358"/>
      <c r="I12204" s="1358"/>
    </row>
    <row r="12205" spans="8:9">
      <c r="H12205" s="1358"/>
      <c r="I12205" s="1358"/>
    </row>
    <row r="12206" spans="8:9">
      <c r="H12206" s="1358"/>
      <c r="I12206" s="1358"/>
    </row>
    <row r="12207" spans="8:9">
      <c r="H12207" s="1358"/>
      <c r="I12207" s="1358"/>
    </row>
    <row r="12208" spans="8:9">
      <c r="H12208" s="1358"/>
      <c r="I12208" s="1358"/>
    </row>
    <row r="12209" spans="8:9">
      <c r="H12209" s="1358"/>
      <c r="I12209" s="1358"/>
    </row>
    <row r="12210" spans="8:9">
      <c r="H12210" s="1358"/>
      <c r="I12210" s="1358"/>
    </row>
    <row r="12211" spans="8:9">
      <c r="H12211" s="1358"/>
      <c r="I12211" s="1358"/>
    </row>
    <row r="12212" spans="8:9">
      <c r="H12212" s="1358"/>
      <c r="I12212" s="1358"/>
    </row>
    <row r="12213" spans="8:9">
      <c r="H12213" s="1358"/>
      <c r="I12213" s="1358"/>
    </row>
    <row r="12214" spans="8:9">
      <c r="H12214" s="1358"/>
      <c r="I12214" s="1358"/>
    </row>
    <row r="12215" spans="8:9">
      <c r="H12215" s="1358"/>
      <c r="I12215" s="1358"/>
    </row>
    <row r="12216" spans="8:9">
      <c r="H12216" s="1358"/>
      <c r="I12216" s="1358"/>
    </row>
    <row r="12217" spans="8:9">
      <c r="H12217" s="1358"/>
      <c r="I12217" s="1358"/>
    </row>
    <row r="12218" spans="8:9">
      <c r="H12218" s="1358"/>
      <c r="I12218" s="1358"/>
    </row>
    <row r="12219" spans="8:9">
      <c r="H12219" s="1358"/>
      <c r="I12219" s="1358"/>
    </row>
    <row r="12220" spans="8:9">
      <c r="H12220" s="1358"/>
      <c r="I12220" s="1358"/>
    </row>
    <row r="12221" spans="8:9">
      <c r="H12221" s="1358"/>
      <c r="I12221" s="1358"/>
    </row>
    <row r="12222" spans="8:9">
      <c r="H12222" s="1358"/>
      <c r="I12222" s="1358"/>
    </row>
    <row r="12223" spans="8:9">
      <c r="H12223" s="1358"/>
      <c r="I12223" s="1358"/>
    </row>
    <row r="12224" spans="8:9">
      <c r="H12224" s="1358"/>
      <c r="I12224" s="1358"/>
    </row>
    <row r="12225" spans="8:9">
      <c r="H12225" s="1358"/>
      <c r="I12225" s="1358"/>
    </row>
    <row r="12226" spans="8:9">
      <c r="H12226" s="1358"/>
      <c r="I12226" s="1358"/>
    </row>
    <row r="12227" spans="8:9">
      <c r="H12227" s="1358"/>
      <c r="I12227" s="1358"/>
    </row>
    <row r="12228" spans="8:9">
      <c r="H12228" s="1358"/>
      <c r="I12228" s="1358"/>
    </row>
    <row r="12229" spans="8:9">
      <c r="H12229" s="1358"/>
      <c r="I12229" s="1358"/>
    </row>
    <row r="12230" spans="8:9">
      <c r="H12230" s="1358"/>
      <c r="I12230" s="1358"/>
    </row>
    <row r="12231" spans="8:9">
      <c r="H12231" s="1358"/>
      <c r="I12231" s="1358"/>
    </row>
    <row r="12232" spans="8:9">
      <c r="H12232" s="1358"/>
      <c r="I12232" s="1358"/>
    </row>
    <row r="12233" spans="8:9">
      <c r="H12233" s="1358"/>
      <c r="I12233" s="1358"/>
    </row>
    <row r="12234" spans="8:9">
      <c r="H12234" s="1358"/>
      <c r="I12234" s="1358"/>
    </row>
    <row r="12235" spans="8:9">
      <c r="H12235" s="1358"/>
      <c r="I12235" s="1358"/>
    </row>
    <row r="12236" spans="8:9">
      <c r="H12236" s="1358"/>
      <c r="I12236" s="1358"/>
    </row>
    <row r="12237" spans="8:9">
      <c r="H12237" s="1358"/>
      <c r="I12237" s="1358"/>
    </row>
    <row r="12238" spans="8:9">
      <c r="H12238" s="1358"/>
      <c r="I12238" s="1358"/>
    </row>
    <row r="12239" spans="8:9">
      <c r="H12239" s="1358"/>
      <c r="I12239" s="1358"/>
    </row>
    <row r="12240" spans="8:9">
      <c r="H12240" s="1358"/>
      <c r="I12240" s="1358"/>
    </row>
    <row r="12241" spans="8:9">
      <c r="H12241" s="1358"/>
      <c r="I12241" s="1358"/>
    </row>
    <row r="12242" spans="8:9">
      <c r="H12242" s="1358"/>
      <c r="I12242" s="1358"/>
    </row>
    <row r="12243" spans="8:9">
      <c r="H12243" s="1358"/>
      <c r="I12243" s="1358"/>
    </row>
    <row r="12244" spans="8:9">
      <c r="H12244" s="1358"/>
      <c r="I12244" s="1358"/>
    </row>
    <row r="12245" spans="8:9">
      <c r="H12245" s="1358"/>
      <c r="I12245" s="1358"/>
    </row>
    <row r="12246" spans="8:9">
      <c r="H12246" s="1358"/>
      <c r="I12246" s="1358"/>
    </row>
    <row r="12247" spans="8:9">
      <c r="H12247" s="1358"/>
      <c r="I12247" s="1358"/>
    </row>
    <row r="12248" spans="8:9">
      <c r="H12248" s="1358"/>
      <c r="I12248" s="1358"/>
    </row>
    <row r="12249" spans="8:9">
      <c r="H12249" s="1358"/>
      <c r="I12249" s="1358"/>
    </row>
    <row r="12250" spans="8:9">
      <c r="H12250" s="1358"/>
      <c r="I12250" s="1358"/>
    </row>
    <row r="12251" spans="8:9">
      <c r="H12251" s="1358"/>
      <c r="I12251" s="1358"/>
    </row>
    <row r="12252" spans="8:9">
      <c r="H12252" s="1358"/>
      <c r="I12252" s="1358"/>
    </row>
    <row r="12253" spans="8:9">
      <c r="H12253" s="1358"/>
      <c r="I12253" s="1358"/>
    </row>
    <row r="12254" spans="8:9">
      <c r="H12254" s="1358"/>
      <c r="I12254" s="1358"/>
    </row>
    <row r="12255" spans="8:9">
      <c r="H12255" s="1358"/>
      <c r="I12255" s="1358"/>
    </row>
    <row r="12256" spans="8:9">
      <c r="H12256" s="1358"/>
      <c r="I12256" s="1358"/>
    </row>
    <row r="12257" spans="8:9">
      <c r="H12257" s="1358"/>
      <c r="I12257" s="1358"/>
    </row>
    <row r="12258" spans="8:9">
      <c r="H12258" s="1358"/>
      <c r="I12258" s="1358"/>
    </row>
    <row r="12259" spans="8:9">
      <c r="H12259" s="1358"/>
      <c r="I12259" s="1358"/>
    </row>
    <row r="12260" spans="8:9">
      <c r="H12260" s="1358"/>
      <c r="I12260" s="1358"/>
    </row>
    <row r="12261" spans="8:9">
      <c r="H12261" s="1358"/>
      <c r="I12261" s="1358"/>
    </row>
    <row r="12262" spans="8:9">
      <c r="H12262" s="1358"/>
      <c r="I12262" s="1358"/>
    </row>
    <row r="12263" spans="8:9">
      <c r="H12263" s="1358"/>
      <c r="I12263" s="1358"/>
    </row>
    <row r="12264" spans="8:9">
      <c r="H12264" s="1358"/>
      <c r="I12264" s="1358"/>
    </row>
    <row r="12265" spans="8:9">
      <c r="H12265" s="1358"/>
      <c r="I12265" s="1358"/>
    </row>
    <row r="12266" spans="8:9">
      <c r="H12266" s="1358"/>
      <c r="I12266" s="1358"/>
    </row>
    <row r="12267" spans="8:9">
      <c r="H12267" s="1358"/>
      <c r="I12267" s="1358"/>
    </row>
    <row r="12268" spans="8:9">
      <c r="H12268" s="1358"/>
      <c r="I12268" s="1358"/>
    </row>
    <row r="12269" spans="8:9">
      <c r="H12269" s="1358"/>
      <c r="I12269" s="1358"/>
    </row>
    <row r="12270" spans="8:9">
      <c r="H12270" s="1358"/>
      <c r="I12270" s="1358"/>
    </row>
    <row r="12271" spans="8:9">
      <c r="H12271" s="1358"/>
      <c r="I12271" s="1358"/>
    </row>
    <row r="12272" spans="8:9">
      <c r="H12272" s="1358"/>
      <c r="I12272" s="1358"/>
    </row>
    <row r="12273" spans="8:9">
      <c r="H12273" s="1358"/>
      <c r="I12273" s="1358"/>
    </row>
    <row r="12274" spans="8:9">
      <c r="H12274" s="1358"/>
      <c r="I12274" s="1358"/>
    </row>
    <row r="12275" spans="8:9">
      <c r="H12275" s="1358"/>
      <c r="I12275" s="1358"/>
    </row>
    <row r="12276" spans="8:9">
      <c r="H12276" s="1358"/>
      <c r="I12276" s="1358"/>
    </row>
    <row r="12277" spans="8:9">
      <c r="H12277" s="1358"/>
      <c r="I12277" s="1358"/>
    </row>
    <row r="12278" spans="8:9">
      <c r="H12278" s="1358"/>
      <c r="I12278" s="1358"/>
    </row>
    <row r="12279" spans="8:9">
      <c r="H12279" s="1358"/>
      <c r="I12279" s="1358"/>
    </row>
    <row r="12280" spans="8:9">
      <c r="H12280" s="1358"/>
      <c r="I12280" s="1358"/>
    </row>
    <row r="12281" spans="8:9">
      <c r="H12281" s="1358"/>
      <c r="I12281" s="1358"/>
    </row>
    <row r="12282" spans="8:9">
      <c r="H12282" s="1358"/>
      <c r="I12282" s="1358"/>
    </row>
    <row r="12283" spans="8:9">
      <c r="H12283" s="1358"/>
      <c r="I12283" s="1358"/>
    </row>
    <row r="12284" spans="8:9">
      <c r="H12284" s="1358"/>
      <c r="I12284" s="1358"/>
    </row>
    <row r="12285" spans="8:9">
      <c r="H12285" s="1358"/>
      <c r="I12285" s="1358"/>
    </row>
    <row r="12286" spans="8:9">
      <c r="H12286" s="1358"/>
      <c r="I12286" s="1358"/>
    </row>
    <row r="12287" spans="8:9">
      <c r="H12287" s="1358"/>
      <c r="I12287" s="1358"/>
    </row>
    <row r="12288" spans="8:9">
      <c r="H12288" s="1358"/>
      <c r="I12288" s="1358"/>
    </row>
    <row r="12289" spans="8:9">
      <c r="H12289" s="1358"/>
      <c r="I12289" s="1358"/>
    </row>
    <row r="12290" spans="8:9">
      <c r="H12290" s="1358"/>
      <c r="I12290" s="1358"/>
    </row>
    <row r="12291" spans="8:9">
      <c r="H12291" s="1358"/>
      <c r="I12291" s="1358"/>
    </row>
    <row r="12292" spans="8:9">
      <c r="H12292" s="1358"/>
      <c r="I12292" s="1358"/>
    </row>
    <row r="12293" spans="8:9">
      <c r="H12293" s="1358"/>
      <c r="I12293" s="1358"/>
    </row>
    <row r="12294" spans="8:9">
      <c r="H12294" s="1358"/>
      <c r="I12294" s="1358"/>
    </row>
    <row r="12295" spans="8:9">
      <c r="H12295" s="1358"/>
      <c r="I12295" s="1358"/>
    </row>
    <row r="12296" spans="8:9">
      <c r="H12296" s="1358"/>
      <c r="I12296" s="1358"/>
    </row>
    <row r="12297" spans="8:9">
      <c r="H12297" s="1358"/>
      <c r="I12297" s="1358"/>
    </row>
    <row r="12298" spans="8:9">
      <c r="H12298" s="1358"/>
      <c r="I12298" s="1358"/>
    </row>
    <row r="12299" spans="8:9">
      <c r="H12299" s="1358"/>
      <c r="I12299" s="1358"/>
    </row>
    <row r="12300" spans="8:9">
      <c r="H12300" s="1358"/>
      <c r="I12300" s="1358"/>
    </row>
    <row r="12301" spans="8:9">
      <c r="H12301" s="1358"/>
      <c r="I12301" s="1358"/>
    </row>
    <row r="12302" spans="8:9">
      <c r="H12302" s="1358"/>
      <c r="I12302" s="1358"/>
    </row>
    <row r="12303" spans="8:9">
      <c r="H12303" s="1358"/>
      <c r="I12303" s="1358"/>
    </row>
    <row r="12304" spans="8:9">
      <c r="H12304" s="1358"/>
      <c r="I12304" s="1358"/>
    </row>
    <row r="12305" spans="8:9">
      <c r="H12305" s="1358"/>
      <c r="I12305" s="1358"/>
    </row>
    <row r="12306" spans="8:9">
      <c r="H12306" s="1358"/>
      <c r="I12306" s="1358"/>
    </row>
    <row r="12307" spans="8:9">
      <c r="H12307" s="1358"/>
      <c r="I12307" s="1358"/>
    </row>
    <row r="12308" spans="8:9">
      <c r="H12308" s="1358"/>
      <c r="I12308" s="1358"/>
    </row>
    <row r="12309" spans="8:9">
      <c r="H12309" s="1358"/>
      <c r="I12309" s="1358"/>
    </row>
    <row r="12310" spans="8:9">
      <c r="H12310" s="1358"/>
      <c r="I12310" s="1358"/>
    </row>
    <row r="12311" spans="8:9">
      <c r="H12311" s="1358"/>
      <c r="I12311" s="1358"/>
    </row>
    <row r="12312" spans="8:9">
      <c r="H12312" s="1358"/>
      <c r="I12312" s="1358"/>
    </row>
    <row r="12313" spans="8:9">
      <c r="H12313" s="1358"/>
      <c r="I12313" s="1358"/>
    </row>
    <row r="12314" spans="8:9">
      <c r="H12314" s="1358"/>
      <c r="I12314" s="1358"/>
    </row>
    <row r="12315" spans="8:9">
      <c r="H12315" s="1358"/>
      <c r="I12315" s="1358"/>
    </row>
    <row r="12316" spans="8:9">
      <c r="H12316" s="1358"/>
      <c r="I12316" s="1358"/>
    </row>
    <row r="12317" spans="8:9">
      <c r="H12317" s="1358"/>
      <c r="I12317" s="1358"/>
    </row>
    <row r="12318" spans="8:9">
      <c r="H12318" s="1358"/>
      <c r="I12318" s="1358"/>
    </row>
    <row r="12319" spans="8:9">
      <c r="H12319" s="1358"/>
      <c r="I12319" s="1358"/>
    </row>
    <row r="12320" spans="8:9">
      <c r="H12320" s="1358"/>
      <c r="I12320" s="1358"/>
    </row>
    <row r="12321" spans="8:9">
      <c r="H12321" s="1358"/>
      <c r="I12321" s="1358"/>
    </row>
    <row r="12322" spans="8:9">
      <c r="H12322" s="1358"/>
      <c r="I12322" s="1358"/>
    </row>
    <row r="12323" spans="8:9">
      <c r="H12323" s="1358"/>
      <c r="I12323" s="1358"/>
    </row>
    <row r="12324" spans="8:9">
      <c r="H12324" s="1358"/>
      <c r="I12324" s="1358"/>
    </row>
    <row r="12325" spans="8:9">
      <c r="H12325" s="1358"/>
      <c r="I12325" s="1358"/>
    </row>
    <row r="12326" spans="8:9">
      <c r="H12326" s="1358"/>
      <c r="I12326" s="1358"/>
    </row>
    <row r="12327" spans="8:9">
      <c r="H12327" s="1358"/>
      <c r="I12327" s="1358"/>
    </row>
    <row r="12328" spans="8:9">
      <c r="H12328" s="1358"/>
      <c r="I12328" s="1358"/>
    </row>
    <row r="12329" spans="8:9">
      <c r="H12329" s="1358"/>
      <c r="I12329" s="1358"/>
    </row>
    <row r="12330" spans="8:9">
      <c r="H12330" s="1358"/>
      <c r="I12330" s="1358"/>
    </row>
    <row r="12331" spans="8:9">
      <c r="H12331" s="1358"/>
      <c r="I12331" s="1358"/>
    </row>
    <row r="12332" spans="8:9">
      <c r="H12332" s="1358"/>
      <c r="I12332" s="1358"/>
    </row>
    <row r="12333" spans="8:9">
      <c r="H12333" s="1358"/>
      <c r="I12333" s="1358"/>
    </row>
    <row r="12334" spans="8:9">
      <c r="H12334" s="1358"/>
      <c r="I12334" s="1358"/>
    </row>
    <row r="12335" spans="8:9">
      <c r="H12335" s="1358"/>
      <c r="I12335" s="1358"/>
    </row>
    <row r="12336" spans="8:9">
      <c r="H12336" s="1358"/>
      <c r="I12336" s="1358"/>
    </row>
    <row r="12337" spans="8:9">
      <c r="H12337" s="1358"/>
      <c r="I12337" s="1358"/>
    </row>
    <row r="12338" spans="8:9">
      <c r="H12338" s="1358"/>
      <c r="I12338" s="1358"/>
    </row>
    <row r="12339" spans="8:9">
      <c r="H12339" s="1358"/>
      <c r="I12339" s="1358"/>
    </row>
    <row r="12340" spans="8:9">
      <c r="H12340" s="1358"/>
      <c r="I12340" s="1358"/>
    </row>
    <row r="12341" spans="8:9">
      <c r="H12341" s="1358"/>
      <c r="I12341" s="1358"/>
    </row>
    <row r="12342" spans="8:9">
      <c r="H12342" s="1358"/>
      <c r="I12342" s="1358"/>
    </row>
    <row r="12343" spans="8:9">
      <c r="H12343" s="1358"/>
      <c r="I12343" s="1358"/>
    </row>
    <row r="12344" spans="8:9">
      <c r="H12344" s="1358"/>
      <c r="I12344" s="1358"/>
    </row>
    <row r="12345" spans="8:9">
      <c r="H12345" s="1358"/>
      <c r="I12345" s="1358"/>
    </row>
    <row r="12346" spans="8:9">
      <c r="H12346" s="1358"/>
      <c r="I12346" s="1358"/>
    </row>
    <row r="12347" spans="8:9">
      <c r="H12347" s="1358"/>
      <c r="I12347" s="1358"/>
    </row>
    <row r="12348" spans="8:9">
      <c r="H12348" s="1358"/>
      <c r="I12348" s="1358"/>
    </row>
    <row r="12349" spans="8:9">
      <c r="H12349" s="1358"/>
      <c r="I12349" s="1358"/>
    </row>
    <row r="12350" spans="8:9">
      <c r="H12350" s="1358"/>
      <c r="I12350" s="1358"/>
    </row>
    <row r="12351" spans="8:9">
      <c r="H12351" s="1358"/>
      <c r="I12351" s="1358"/>
    </row>
    <row r="12352" spans="8:9">
      <c r="H12352" s="1358"/>
      <c r="I12352" s="1358"/>
    </row>
    <row r="12353" spans="8:9">
      <c r="H12353" s="1358"/>
      <c r="I12353" s="1358"/>
    </row>
    <row r="12354" spans="8:9">
      <c r="H12354" s="1358"/>
      <c r="I12354" s="1358"/>
    </row>
    <row r="12355" spans="8:9">
      <c r="H12355" s="1358"/>
      <c r="I12355" s="1358"/>
    </row>
    <row r="12356" spans="8:9">
      <c r="H12356" s="1358"/>
      <c r="I12356" s="1358"/>
    </row>
    <row r="12357" spans="8:9">
      <c r="H12357" s="1358"/>
      <c r="I12357" s="1358"/>
    </row>
    <row r="12358" spans="8:9">
      <c r="H12358" s="1358"/>
      <c r="I12358" s="1358"/>
    </row>
    <row r="12359" spans="8:9">
      <c r="H12359" s="1358"/>
      <c r="I12359" s="1358"/>
    </row>
    <row r="12360" spans="8:9">
      <c r="H12360" s="1358"/>
      <c r="I12360" s="1358"/>
    </row>
    <row r="12361" spans="8:9">
      <c r="H12361" s="1358"/>
      <c r="I12361" s="1358"/>
    </row>
    <row r="12362" spans="8:9">
      <c r="H12362" s="1358"/>
      <c r="I12362" s="1358"/>
    </row>
    <row r="12363" spans="8:9">
      <c r="H12363" s="1358"/>
      <c r="I12363" s="1358"/>
    </row>
    <row r="12364" spans="8:9">
      <c r="H12364" s="1358"/>
      <c r="I12364" s="1358"/>
    </row>
    <row r="12365" spans="8:9">
      <c r="H12365" s="1358"/>
      <c r="I12365" s="1358"/>
    </row>
    <row r="12366" spans="8:9">
      <c r="H12366" s="1358"/>
      <c r="I12366" s="1358"/>
    </row>
    <row r="12367" spans="8:9">
      <c r="H12367" s="1358"/>
      <c r="I12367" s="1358"/>
    </row>
    <row r="12368" spans="8:9">
      <c r="H12368" s="1358"/>
      <c r="I12368" s="1358"/>
    </row>
    <row r="12369" spans="8:9">
      <c r="H12369" s="1358"/>
      <c r="I12369" s="1358"/>
    </row>
    <row r="12370" spans="8:9">
      <c r="H12370" s="1358"/>
      <c r="I12370" s="1358"/>
    </row>
    <row r="12371" spans="8:9">
      <c r="H12371" s="1358"/>
      <c r="I12371" s="1358"/>
    </row>
    <row r="12372" spans="8:9">
      <c r="H12372" s="1358"/>
      <c r="I12372" s="1358"/>
    </row>
    <row r="12373" spans="8:9">
      <c r="H12373" s="1358"/>
      <c r="I12373" s="1358"/>
    </row>
    <row r="12374" spans="8:9">
      <c r="H12374" s="1358"/>
      <c r="I12374" s="1358"/>
    </row>
    <row r="12375" spans="8:9">
      <c r="H12375" s="1358"/>
      <c r="I12375" s="1358"/>
    </row>
    <row r="12376" spans="8:9">
      <c r="H12376" s="1358"/>
      <c r="I12376" s="1358"/>
    </row>
    <row r="12377" spans="8:9">
      <c r="H12377" s="1358"/>
      <c r="I12377" s="1358"/>
    </row>
    <row r="12378" spans="8:9">
      <c r="H12378" s="1358"/>
      <c r="I12378" s="1358"/>
    </row>
    <row r="12379" spans="8:9">
      <c r="H12379" s="1358"/>
      <c r="I12379" s="1358"/>
    </row>
    <row r="12380" spans="8:9">
      <c r="H12380" s="1358"/>
      <c r="I12380" s="1358"/>
    </row>
    <row r="12381" spans="8:9">
      <c r="H12381" s="1358"/>
      <c r="I12381" s="1358"/>
    </row>
    <row r="12382" spans="8:9">
      <c r="H12382" s="1358"/>
      <c r="I12382" s="1358"/>
    </row>
    <row r="12383" spans="8:9">
      <c r="H12383" s="1358"/>
      <c r="I12383" s="1358"/>
    </row>
    <row r="12384" spans="8:9">
      <c r="H12384" s="1358"/>
      <c r="I12384" s="1358"/>
    </row>
    <row r="12385" spans="8:9">
      <c r="H12385" s="1358"/>
      <c r="I12385" s="1358"/>
    </row>
    <row r="12386" spans="8:9">
      <c r="H12386" s="1358"/>
      <c r="I12386" s="1358"/>
    </row>
    <row r="12387" spans="8:9">
      <c r="H12387" s="1358"/>
      <c r="I12387" s="1358"/>
    </row>
    <row r="12388" spans="8:9">
      <c r="H12388" s="1358"/>
      <c r="I12388" s="1358"/>
    </row>
    <row r="12389" spans="8:9">
      <c r="H12389" s="1358"/>
      <c r="I12389" s="1358"/>
    </row>
    <row r="12390" spans="8:9">
      <c r="H12390" s="1358"/>
      <c r="I12390" s="1358"/>
    </row>
    <row r="12391" spans="8:9">
      <c r="H12391" s="1358"/>
      <c r="I12391" s="1358"/>
    </row>
    <row r="12392" spans="8:9">
      <c r="H12392" s="1358"/>
      <c r="I12392" s="1358"/>
    </row>
    <row r="12393" spans="8:9">
      <c r="H12393" s="1358"/>
      <c r="I12393" s="1358"/>
    </row>
    <row r="12394" spans="8:9">
      <c r="H12394" s="1358"/>
      <c r="I12394" s="1358"/>
    </row>
    <row r="12395" spans="8:9">
      <c r="H12395" s="1358"/>
      <c r="I12395" s="1358"/>
    </row>
    <row r="12396" spans="8:9">
      <c r="H12396" s="1358"/>
      <c r="I12396" s="1358"/>
    </row>
    <row r="12397" spans="8:9">
      <c r="H12397" s="1358"/>
      <c r="I12397" s="1358"/>
    </row>
    <row r="12398" spans="8:9">
      <c r="H12398" s="1358"/>
      <c r="I12398" s="1358"/>
    </row>
    <row r="12399" spans="8:9">
      <c r="H12399" s="1358"/>
      <c r="I12399" s="1358"/>
    </row>
    <row r="12400" spans="8:9">
      <c r="H12400" s="1358"/>
      <c r="I12400" s="1358"/>
    </row>
    <row r="12401" spans="8:9">
      <c r="H12401" s="1358"/>
      <c r="I12401" s="1358"/>
    </row>
    <row r="12402" spans="8:9">
      <c r="H12402" s="1358"/>
      <c r="I12402" s="1358"/>
    </row>
    <row r="12403" spans="8:9">
      <c r="H12403" s="1358"/>
      <c r="I12403" s="1358"/>
    </row>
    <row r="12404" spans="8:9">
      <c r="H12404" s="1358"/>
      <c r="I12404" s="1358"/>
    </row>
    <row r="12405" spans="8:9">
      <c r="H12405" s="1358"/>
      <c r="I12405" s="1358"/>
    </row>
    <row r="12406" spans="8:9">
      <c r="H12406" s="1358"/>
      <c r="I12406" s="1358"/>
    </row>
    <row r="12407" spans="8:9">
      <c r="H12407" s="1358"/>
      <c r="I12407" s="1358"/>
    </row>
    <row r="12408" spans="8:9">
      <c r="H12408" s="1358"/>
      <c r="I12408" s="1358"/>
    </row>
    <row r="12409" spans="8:9">
      <c r="H12409" s="1358"/>
      <c r="I12409" s="1358"/>
    </row>
    <row r="12410" spans="8:9">
      <c r="H12410" s="1358"/>
      <c r="I12410" s="1358"/>
    </row>
    <row r="12411" spans="8:9">
      <c r="H12411" s="1358"/>
      <c r="I12411" s="1358"/>
    </row>
    <row r="12412" spans="8:9">
      <c r="H12412" s="1358"/>
      <c r="I12412" s="1358"/>
    </row>
    <row r="12413" spans="8:9">
      <c r="H12413" s="1358"/>
      <c r="I12413" s="1358"/>
    </row>
    <row r="12414" spans="8:9">
      <c r="H12414" s="1358"/>
      <c r="I12414" s="1358"/>
    </row>
    <row r="12415" spans="8:9">
      <c r="H12415" s="1358"/>
      <c r="I12415" s="1358"/>
    </row>
    <row r="12416" spans="8:9">
      <c r="H12416" s="1358"/>
      <c r="I12416" s="1358"/>
    </row>
    <row r="12417" spans="8:9">
      <c r="H12417" s="1358"/>
      <c r="I12417" s="1358"/>
    </row>
    <row r="12418" spans="8:9">
      <c r="H12418" s="1358"/>
      <c r="I12418" s="1358"/>
    </row>
    <row r="12419" spans="8:9">
      <c r="H12419" s="1358"/>
      <c r="I12419" s="1358"/>
    </row>
    <row r="12420" spans="8:9">
      <c r="H12420" s="1358"/>
      <c r="I12420" s="1358"/>
    </row>
    <row r="12421" spans="8:9">
      <c r="H12421" s="1358"/>
      <c r="I12421" s="1358"/>
    </row>
    <row r="12422" spans="8:9">
      <c r="H12422" s="1358"/>
      <c r="I12422" s="1358"/>
    </row>
    <row r="12423" spans="8:9">
      <c r="H12423" s="1358"/>
      <c r="I12423" s="1358"/>
    </row>
    <row r="12424" spans="8:9">
      <c r="H12424" s="1358"/>
      <c r="I12424" s="1358"/>
    </row>
    <row r="12425" spans="8:9">
      <c r="H12425" s="1358"/>
      <c r="I12425" s="1358"/>
    </row>
    <row r="12426" spans="8:9">
      <c r="H12426" s="1358"/>
      <c r="I12426" s="1358"/>
    </row>
    <row r="12427" spans="8:9">
      <c r="H12427" s="1358"/>
      <c r="I12427" s="1358"/>
    </row>
    <row r="12428" spans="8:9">
      <c r="H12428" s="1358"/>
      <c r="I12428" s="1358"/>
    </row>
    <row r="12429" spans="8:9">
      <c r="H12429" s="1358"/>
      <c r="I12429" s="1358"/>
    </row>
    <row r="12430" spans="8:9">
      <c r="H12430" s="1358"/>
      <c r="I12430" s="1358"/>
    </row>
    <row r="12431" spans="8:9">
      <c r="H12431" s="1358"/>
      <c r="I12431" s="1358"/>
    </row>
    <row r="12432" spans="8:9">
      <c r="H12432" s="1358"/>
      <c r="I12432" s="1358"/>
    </row>
    <row r="12433" spans="8:9">
      <c r="H12433" s="1358"/>
      <c r="I12433" s="1358"/>
    </row>
    <row r="12434" spans="8:9">
      <c r="H12434" s="1358"/>
      <c r="I12434" s="1358"/>
    </row>
    <row r="12435" spans="8:9">
      <c r="H12435" s="1358"/>
      <c r="I12435" s="1358"/>
    </row>
    <row r="12436" spans="8:9">
      <c r="H12436" s="1358"/>
      <c r="I12436" s="1358"/>
    </row>
    <row r="12437" spans="8:9">
      <c r="H12437" s="1358"/>
      <c r="I12437" s="1358"/>
    </row>
    <row r="12438" spans="8:9">
      <c r="H12438" s="1358"/>
      <c r="I12438" s="1358"/>
    </row>
    <row r="12439" spans="8:9">
      <c r="H12439" s="1358"/>
      <c r="I12439" s="1358"/>
    </row>
    <row r="12440" spans="8:9">
      <c r="H12440" s="1358"/>
      <c r="I12440" s="1358"/>
    </row>
    <row r="12441" spans="8:9">
      <c r="H12441" s="1358"/>
      <c r="I12441" s="1358"/>
    </row>
    <row r="12442" spans="8:9">
      <c r="H12442" s="1358"/>
      <c r="I12442" s="1358"/>
    </row>
    <row r="12443" spans="8:9">
      <c r="H12443" s="1358"/>
      <c r="I12443" s="1358"/>
    </row>
    <row r="12444" spans="8:9">
      <c r="H12444" s="1358"/>
      <c r="I12444" s="1358"/>
    </row>
    <row r="12445" spans="8:9">
      <c r="H12445" s="1358"/>
      <c r="I12445" s="1358"/>
    </row>
    <row r="12446" spans="8:9">
      <c r="H12446" s="1358"/>
      <c r="I12446" s="1358"/>
    </row>
    <row r="12447" spans="8:9">
      <c r="H12447" s="1358"/>
      <c r="I12447" s="1358"/>
    </row>
    <row r="12448" spans="8:9">
      <c r="H12448" s="1358"/>
      <c r="I12448" s="1358"/>
    </row>
    <row r="12449" spans="8:9">
      <c r="H12449" s="1358"/>
      <c r="I12449" s="1358"/>
    </row>
    <row r="12450" spans="8:9">
      <c r="H12450" s="1358"/>
      <c r="I12450" s="1358"/>
    </row>
    <row r="12451" spans="8:9">
      <c r="H12451" s="1358"/>
      <c r="I12451" s="1358"/>
    </row>
    <row r="12452" spans="8:9">
      <c r="H12452" s="1358"/>
      <c r="I12452" s="1358"/>
    </row>
    <row r="12453" spans="8:9">
      <c r="H12453" s="1358"/>
      <c r="I12453" s="1358"/>
    </row>
    <row r="12454" spans="8:9">
      <c r="H12454" s="1358"/>
      <c r="I12454" s="1358"/>
    </row>
    <row r="12455" spans="8:9">
      <c r="H12455" s="1358"/>
      <c r="I12455" s="1358"/>
    </row>
    <row r="12456" spans="8:9">
      <c r="H12456" s="1358"/>
      <c r="I12456" s="1358"/>
    </row>
    <row r="12457" spans="8:9">
      <c r="H12457" s="1358"/>
      <c r="I12457" s="1358"/>
    </row>
    <row r="12458" spans="8:9">
      <c r="H12458" s="1358"/>
      <c r="I12458" s="1358"/>
    </row>
    <row r="12459" spans="8:9">
      <c r="H12459" s="1358"/>
      <c r="I12459" s="1358"/>
    </row>
    <row r="12460" spans="8:9">
      <c r="H12460" s="1358"/>
      <c r="I12460" s="1358"/>
    </row>
    <row r="12461" spans="8:9">
      <c r="H12461" s="1358"/>
      <c r="I12461" s="1358"/>
    </row>
    <row r="12462" spans="8:9">
      <c r="H12462" s="1358"/>
      <c r="I12462" s="1358"/>
    </row>
    <row r="12463" spans="8:9">
      <c r="H12463" s="1358"/>
      <c r="I12463" s="1358"/>
    </row>
    <row r="12464" spans="8:9">
      <c r="H12464" s="1358"/>
      <c r="I12464" s="1358"/>
    </row>
    <row r="12465" spans="8:9">
      <c r="H12465" s="1358"/>
      <c r="I12465" s="1358"/>
    </row>
    <row r="12466" spans="8:9">
      <c r="H12466" s="1358"/>
      <c r="I12466" s="1358"/>
    </row>
    <row r="12467" spans="8:9">
      <c r="H12467" s="1358"/>
      <c r="I12467" s="1358"/>
    </row>
    <row r="12468" spans="8:9">
      <c r="H12468" s="1358"/>
      <c r="I12468" s="1358"/>
    </row>
    <row r="12469" spans="8:9">
      <c r="H12469" s="1358"/>
      <c r="I12469" s="1358"/>
    </row>
    <row r="12470" spans="8:9">
      <c r="H12470" s="1358"/>
      <c r="I12470" s="1358"/>
    </row>
    <row r="12471" spans="8:9">
      <c r="H12471" s="1358"/>
      <c r="I12471" s="1358"/>
    </row>
    <row r="12472" spans="8:9">
      <c r="H12472" s="1358"/>
      <c r="I12472" s="1358"/>
    </row>
    <row r="12473" spans="8:9">
      <c r="H12473" s="1358"/>
      <c r="I12473" s="1358"/>
    </row>
    <row r="12474" spans="8:9">
      <c r="H12474" s="1358"/>
      <c r="I12474" s="1358"/>
    </row>
    <row r="12475" spans="8:9">
      <c r="H12475" s="1358"/>
      <c r="I12475" s="1358"/>
    </row>
    <row r="12476" spans="8:9">
      <c r="H12476" s="1358"/>
      <c r="I12476" s="1358"/>
    </row>
    <row r="12477" spans="8:9">
      <c r="H12477" s="1358"/>
      <c r="I12477" s="1358"/>
    </row>
    <row r="12478" spans="8:9">
      <c r="H12478" s="1358"/>
      <c r="I12478" s="1358"/>
    </row>
    <row r="12479" spans="8:9">
      <c r="H12479" s="1358"/>
      <c r="I12479" s="1358"/>
    </row>
    <row r="12480" spans="8:9">
      <c r="H12480" s="1358"/>
      <c r="I12480" s="1358"/>
    </row>
    <row r="12481" spans="8:9">
      <c r="H12481" s="1358"/>
      <c r="I12481" s="1358"/>
    </row>
    <row r="12482" spans="8:9">
      <c r="H12482" s="1358"/>
      <c r="I12482" s="1358"/>
    </row>
    <row r="12483" spans="8:9">
      <c r="H12483" s="1358"/>
      <c r="I12483" s="1358"/>
    </row>
    <row r="12484" spans="8:9">
      <c r="H12484" s="1358"/>
      <c r="I12484" s="1358"/>
    </row>
    <row r="12485" spans="8:9">
      <c r="H12485" s="1358"/>
      <c r="I12485" s="1358"/>
    </row>
    <row r="12486" spans="8:9">
      <c r="H12486" s="1358"/>
      <c r="I12486" s="1358"/>
    </row>
    <row r="12487" spans="8:9">
      <c r="H12487" s="1358"/>
      <c r="I12487" s="1358"/>
    </row>
    <row r="12488" spans="8:9">
      <c r="H12488" s="1358"/>
      <c r="I12488" s="1358"/>
    </row>
    <row r="12489" spans="8:9">
      <c r="H12489" s="1358"/>
      <c r="I12489" s="1358"/>
    </row>
    <row r="12490" spans="8:9">
      <c r="H12490" s="1358"/>
      <c r="I12490" s="1358"/>
    </row>
    <row r="12491" spans="8:9">
      <c r="H12491" s="1358"/>
      <c r="I12491" s="1358"/>
    </row>
    <row r="12492" spans="8:9">
      <c r="H12492" s="1358"/>
      <c r="I12492" s="1358"/>
    </row>
    <row r="12493" spans="8:9">
      <c r="H12493" s="1358"/>
      <c r="I12493" s="1358"/>
    </row>
    <row r="12494" spans="8:9">
      <c r="H12494" s="1358"/>
      <c r="I12494" s="1358"/>
    </row>
    <row r="12495" spans="8:9">
      <c r="H12495" s="1358"/>
      <c r="I12495" s="1358"/>
    </row>
    <row r="12496" spans="8:9">
      <c r="H12496" s="1358"/>
      <c r="I12496" s="1358"/>
    </row>
    <row r="12497" spans="8:9">
      <c r="H12497" s="1358"/>
      <c r="I12497" s="1358"/>
    </row>
    <row r="12498" spans="8:9">
      <c r="H12498" s="1358"/>
      <c r="I12498" s="1358"/>
    </row>
    <row r="12499" spans="8:9">
      <c r="H12499" s="1358"/>
      <c r="I12499" s="1358"/>
    </row>
    <row r="12500" spans="8:9">
      <c r="H12500" s="1358"/>
      <c r="I12500" s="1358"/>
    </row>
    <row r="12501" spans="8:9">
      <c r="H12501" s="1358"/>
      <c r="I12501" s="1358"/>
    </row>
    <row r="12502" spans="8:9">
      <c r="H12502" s="1358"/>
      <c r="I12502" s="1358"/>
    </row>
    <row r="12503" spans="8:9">
      <c r="H12503" s="1358"/>
      <c r="I12503" s="1358"/>
    </row>
    <row r="12504" spans="8:9">
      <c r="H12504" s="1358"/>
      <c r="I12504" s="1358"/>
    </row>
    <row r="12505" spans="8:9">
      <c r="H12505" s="1358"/>
      <c r="I12505" s="1358"/>
    </row>
    <row r="12506" spans="8:9">
      <c r="H12506" s="1358"/>
      <c r="I12506" s="1358"/>
    </row>
    <row r="12507" spans="8:9">
      <c r="H12507" s="1358"/>
      <c r="I12507" s="1358"/>
    </row>
    <row r="12508" spans="8:9">
      <c r="H12508" s="1358"/>
      <c r="I12508" s="1358"/>
    </row>
    <row r="12509" spans="8:9">
      <c r="H12509" s="1358"/>
      <c r="I12509" s="1358"/>
    </row>
    <row r="12510" spans="8:9">
      <c r="H12510" s="1358"/>
      <c r="I12510" s="1358"/>
    </row>
    <row r="12511" spans="8:9">
      <c r="H12511" s="1358"/>
      <c r="I12511" s="1358"/>
    </row>
    <row r="12512" spans="8:9">
      <c r="H12512" s="1358"/>
      <c r="I12512" s="1358"/>
    </row>
    <row r="12513" spans="8:9">
      <c r="H12513" s="1358"/>
      <c r="I12513" s="1358"/>
    </row>
    <row r="12514" spans="8:9">
      <c r="H12514" s="1358"/>
      <c r="I12514" s="1358"/>
    </row>
    <row r="12515" spans="8:9">
      <c r="H12515" s="1358"/>
      <c r="I12515" s="1358"/>
    </row>
    <row r="12516" spans="8:9">
      <c r="H12516" s="1358"/>
      <c r="I12516" s="1358"/>
    </row>
    <row r="12517" spans="8:9">
      <c r="H12517" s="1358"/>
      <c r="I12517" s="1358"/>
    </row>
    <row r="12518" spans="8:9">
      <c r="H12518" s="1358"/>
      <c r="I12518" s="1358"/>
    </row>
    <row r="12519" spans="8:9">
      <c r="H12519" s="1358"/>
      <c r="I12519" s="1358"/>
    </row>
    <row r="12520" spans="8:9">
      <c r="H12520" s="1358"/>
      <c r="I12520" s="1358"/>
    </row>
    <row r="12521" spans="8:9">
      <c r="H12521" s="1358"/>
      <c r="I12521" s="1358"/>
    </row>
    <row r="12522" spans="8:9">
      <c r="H12522" s="1358"/>
      <c r="I12522" s="1358"/>
    </row>
    <row r="12523" spans="8:9">
      <c r="H12523" s="1358"/>
      <c r="I12523" s="1358"/>
    </row>
    <row r="12524" spans="8:9">
      <c r="H12524" s="1358"/>
      <c r="I12524" s="1358"/>
    </row>
    <row r="12525" spans="8:9">
      <c r="H12525" s="1358"/>
      <c r="I12525" s="1358"/>
    </row>
    <row r="12526" spans="8:9">
      <c r="H12526" s="1358"/>
      <c r="I12526" s="1358"/>
    </row>
    <row r="12527" spans="8:9">
      <c r="H12527" s="1358"/>
      <c r="I12527" s="1358"/>
    </row>
    <row r="12528" spans="8:9">
      <c r="H12528" s="1358"/>
      <c r="I12528" s="1358"/>
    </row>
    <row r="12529" spans="8:9">
      <c r="H12529" s="1358"/>
      <c r="I12529" s="1358"/>
    </row>
    <row r="12530" spans="8:9">
      <c r="H12530" s="1358"/>
      <c r="I12530" s="1358"/>
    </row>
    <row r="12531" spans="8:9">
      <c r="H12531" s="1358"/>
      <c r="I12531" s="1358"/>
    </row>
    <row r="12532" spans="8:9">
      <c r="H12532" s="1358"/>
      <c r="I12532" s="1358"/>
    </row>
    <row r="12533" spans="8:9">
      <c r="H12533" s="1358"/>
      <c r="I12533" s="1358"/>
    </row>
    <row r="12534" spans="8:9">
      <c r="H12534" s="1358"/>
      <c r="I12534" s="1358"/>
    </row>
    <row r="12535" spans="8:9">
      <c r="H12535" s="1358"/>
      <c r="I12535" s="1358"/>
    </row>
    <row r="12536" spans="8:9">
      <c r="H12536" s="1358"/>
      <c r="I12536" s="1358"/>
    </row>
    <row r="12537" spans="8:9">
      <c r="H12537" s="1358"/>
      <c r="I12537" s="1358"/>
    </row>
    <row r="12538" spans="8:9">
      <c r="H12538" s="1358"/>
      <c r="I12538" s="1358"/>
    </row>
    <row r="12539" spans="8:9">
      <c r="H12539" s="1358"/>
      <c r="I12539" s="1358"/>
    </row>
    <row r="12540" spans="8:9">
      <c r="H12540" s="1358"/>
      <c r="I12540" s="1358"/>
    </row>
    <row r="12541" spans="8:9">
      <c r="H12541" s="1358"/>
      <c r="I12541" s="1358"/>
    </row>
    <row r="12542" spans="8:9">
      <c r="H12542" s="1358"/>
      <c r="I12542" s="1358"/>
    </row>
    <row r="12543" spans="8:9">
      <c r="H12543" s="1358"/>
      <c r="I12543" s="1358"/>
    </row>
    <row r="12544" spans="8:9">
      <c r="H12544" s="1358"/>
      <c r="I12544" s="1358"/>
    </row>
    <row r="12545" spans="8:9">
      <c r="H12545" s="1358"/>
      <c r="I12545" s="1358"/>
    </row>
    <row r="12546" spans="8:9">
      <c r="H12546" s="1358"/>
      <c r="I12546" s="1358"/>
    </row>
    <row r="12547" spans="8:9">
      <c r="H12547" s="1358"/>
      <c r="I12547" s="1358"/>
    </row>
    <row r="12548" spans="8:9">
      <c r="H12548" s="1358"/>
      <c r="I12548" s="1358"/>
    </row>
    <row r="12549" spans="8:9">
      <c r="H12549" s="1358"/>
      <c r="I12549" s="1358"/>
    </row>
    <row r="12550" spans="8:9">
      <c r="H12550" s="1358"/>
      <c r="I12550" s="1358"/>
    </row>
    <row r="12551" spans="8:9">
      <c r="H12551" s="1358"/>
      <c r="I12551" s="1358"/>
    </row>
    <row r="12552" spans="8:9">
      <c r="H12552" s="1358"/>
      <c r="I12552" s="1358"/>
    </row>
    <row r="12553" spans="8:9">
      <c r="H12553" s="1358"/>
      <c r="I12553" s="1358"/>
    </row>
    <row r="12554" spans="8:9">
      <c r="H12554" s="1358"/>
      <c r="I12554" s="1358"/>
    </row>
    <row r="12555" spans="8:9">
      <c r="H12555" s="1358"/>
      <c r="I12555" s="1358"/>
    </row>
    <row r="12556" spans="8:9">
      <c r="H12556" s="1358"/>
      <c r="I12556" s="1358"/>
    </row>
    <row r="12557" spans="8:9">
      <c r="H12557" s="1358"/>
      <c r="I12557" s="1358"/>
    </row>
    <row r="12558" spans="8:9">
      <c r="H12558" s="1358"/>
      <c r="I12558" s="1358"/>
    </row>
    <row r="12559" spans="8:9">
      <c r="H12559" s="1358"/>
      <c r="I12559" s="1358"/>
    </row>
    <row r="12560" spans="8:9">
      <c r="H12560" s="1358"/>
      <c r="I12560" s="1358"/>
    </row>
    <row r="12561" spans="8:9">
      <c r="H12561" s="1358"/>
      <c r="I12561" s="1358"/>
    </row>
    <row r="12562" spans="8:9">
      <c r="H12562" s="1358"/>
      <c r="I12562" s="1358"/>
    </row>
    <row r="12563" spans="8:9">
      <c r="H12563" s="1358"/>
      <c r="I12563" s="1358"/>
    </row>
    <row r="12564" spans="8:9">
      <c r="H12564" s="1358"/>
      <c r="I12564" s="1358"/>
    </row>
    <row r="12565" spans="8:9">
      <c r="H12565" s="1358"/>
      <c r="I12565" s="1358"/>
    </row>
    <row r="12566" spans="8:9">
      <c r="H12566" s="1358"/>
      <c r="I12566" s="1358"/>
    </row>
    <row r="12567" spans="8:9">
      <c r="H12567" s="1358"/>
      <c r="I12567" s="1358"/>
    </row>
    <row r="12568" spans="8:9">
      <c r="H12568" s="1358"/>
      <c r="I12568" s="1358"/>
    </row>
    <row r="12569" spans="8:9">
      <c r="H12569" s="1358"/>
      <c r="I12569" s="1358"/>
    </row>
    <row r="12570" spans="8:9">
      <c r="H12570" s="1358"/>
      <c r="I12570" s="1358"/>
    </row>
    <row r="12571" spans="8:9">
      <c r="H12571" s="1358"/>
      <c r="I12571" s="1358"/>
    </row>
    <row r="12572" spans="8:9">
      <c r="H12572" s="1358"/>
      <c r="I12572" s="1358"/>
    </row>
    <row r="12573" spans="8:9">
      <c r="H12573" s="1358"/>
      <c r="I12573" s="1358"/>
    </row>
    <row r="12574" spans="8:9">
      <c r="H12574" s="1358"/>
      <c r="I12574" s="1358"/>
    </row>
    <row r="12575" spans="8:9">
      <c r="H12575" s="1358"/>
      <c r="I12575" s="1358"/>
    </row>
    <row r="12576" spans="8:9">
      <c r="H12576" s="1358"/>
      <c r="I12576" s="1358"/>
    </row>
    <row r="12577" spans="8:9">
      <c r="H12577" s="1358"/>
      <c r="I12577" s="1358"/>
    </row>
    <row r="12578" spans="8:9">
      <c r="H12578" s="1358"/>
      <c r="I12578" s="1358"/>
    </row>
    <row r="12579" spans="8:9">
      <c r="H12579" s="1358"/>
      <c r="I12579" s="1358"/>
    </row>
    <row r="12580" spans="8:9">
      <c r="H12580" s="1358"/>
      <c r="I12580" s="1358"/>
    </row>
    <row r="12581" spans="8:9">
      <c r="H12581" s="1358"/>
      <c r="I12581" s="1358"/>
    </row>
    <row r="12582" spans="8:9">
      <c r="H12582" s="1358"/>
      <c r="I12582" s="1358"/>
    </row>
    <row r="12583" spans="8:9">
      <c r="H12583" s="1358"/>
      <c r="I12583" s="1358"/>
    </row>
    <row r="12584" spans="8:9">
      <c r="H12584" s="1358"/>
      <c r="I12584" s="1358"/>
    </row>
    <row r="12585" spans="8:9">
      <c r="H12585" s="1358"/>
      <c r="I12585" s="1358"/>
    </row>
    <row r="12586" spans="8:9">
      <c r="H12586" s="1358"/>
      <c r="I12586" s="1358"/>
    </row>
    <row r="12587" spans="8:9">
      <c r="H12587" s="1358"/>
      <c r="I12587" s="1358"/>
    </row>
    <row r="12588" spans="8:9">
      <c r="H12588" s="1358"/>
      <c r="I12588" s="1358"/>
    </row>
    <row r="12589" spans="8:9">
      <c r="H12589" s="1358"/>
      <c r="I12589" s="1358"/>
    </row>
    <row r="12590" spans="8:9">
      <c r="H12590" s="1358"/>
      <c r="I12590" s="1358"/>
    </row>
    <row r="12591" spans="8:9">
      <c r="H12591" s="1358"/>
      <c r="I12591" s="1358"/>
    </row>
    <row r="12592" spans="8:9">
      <c r="H12592" s="1358"/>
      <c r="I12592" s="1358"/>
    </row>
    <row r="12593" spans="8:9">
      <c r="H12593" s="1358"/>
      <c r="I12593" s="1358"/>
    </row>
    <row r="12594" spans="8:9">
      <c r="H12594" s="1358"/>
      <c r="I12594" s="1358"/>
    </row>
    <row r="12595" spans="8:9">
      <c r="H12595" s="1358"/>
      <c r="I12595" s="1358"/>
    </row>
    <row r="12596" spans="8:9">
      <c r="H12596" s="1358"/>
      <c r="I12596" s="1358"/>
    </row>
    <row r="12597" spans="8:9">
      <c r="H12597" s="1358"/>
      <c r="I12597" s="1358"/>
    </row>
    <row r="12598" spans="8:9">
      <c r="H12598" s="1358"/>
      <c r="I12598" s="1358"/>
    </row>
    <row r="12599" spans="8:9">
      <c r="H12599" s="1358"/>
      <c r="I12599" s="1358"/>
    </row>
    <row r="12600" spans="8:9">
      <c r="H12600" s="1358"/>
      <c r="I12600" s="1358"/>
    </row>
    <row r="12601" spans="8:9">
      <c r="H12601" s="1358"/>
      <c r="I12601" s="1358"/>
    </row>
    <row r="12602" spans="8:9">
      <c r="H12602" s="1358"/>
      <c r="I12602" s="1358"/>
    </row>
    <row r="12603" spans="8:9">
      <c r="H12603" s="1358"/>
      <c r="I12603" s="1358"/>
    </row>
    <row r="12604" spans="8:9">
      <c r="H12604" s="1358"/>
      <c r="I12604" s="1358"/>
    </row>
    <row r="12605" spans="8:9">
      <c r="H12605" s="1358"/>
      <c r="I12605" s="1358"/>
    </row>
    <row r="12606" spans="8:9">
      <c r="H12606" s="1358"/>
      <c r="I12606" s="1358"/>
    </row>
    <row r="12607" spans="8:9">
      <c r="H12607" s="1358"/>
      <c r="I12607" s="1358"/>
    </row>
    <row r="12608" spans="8:9">
      <c r="H12608" s="1358"/>
      <c r="I12608" s="1358"/>
    </row>
    <row r="12609" spans="8:9">
      <c r="H12609" s="1358"/>
      <c r="I12609" s="1358"/>
    </row>
    <row r="12610" spans="8:9">
      <c r="H12610" s="1358"/>
      <c r="I12610" s="1358"/>
    </row>
    <row r="12611" spans="8:9">
      <c r="H12611" s="1358"/>
      <c r="I12611" s="1358"/>
    </row>
    <row r="12612" spans="8:9">
      <c r="H12612" s="1358"/>
      <c r="I12612" s="1358"/>
    </row>
    <row r="12613" spans="8:9">
      <c r="H12613" s="1358"/>
      <c r="I12613" s="1358"/>
    </row>
    <row r="12614" spans="8:9">
      <c r="H12614" s="1358"/>
      <c r="I12614" s="1358"/>
    </row>
    <row r="12615" spans="8:9">
      <c r="H12615" s="1358"/>
      <c r="I12615" s="1358"/>
    </row>
    <row r="12616" spans="8:9">
      <c r="H12616" s="1358"/>
      <c r="I12616" s="1358"/>
    </row>
    <row r="12617" spans="8:9">
      <c r="H12617" s="1358"/>
      <c r="I12617" s="1358"/>
    </row>
    <row r="12618" spans="8:9">
      <c r="H12618" s="1358"/>
      <c r="I12618" s="1358"/>
    </row>
    <row r="12619" spans="8:9">
      <c r="H12619" s="1358"/>
      <c r="I12619" s="1358"/>
    </row>
    <row r="12620" spans="8:9">
      <c r="H12620" s="1358"/>
      <c r="I12620" s="1358"/>
    </row>
    <row r="12621" spans="8:9">
      <c r="H12621" s="1358"/>
      <c r="I12621" s="1358"/>
    </row>
    <row r="12622" spans="8:9">
      <c r="H12622" s="1358"/>
      <c r="I12622" s="1358"/>
    </row>
    <row r="12623" spans="8:9">
      <c r="H12623" s="1358"/>
      <c r="I12623" s="1358"/>
    </row>
    <row r="12624" spans="8:9">
      <c r="H12624" s="1358"/>
      <c r="I12624" s="1358"/>
    </row>
    <row r="12625" spans="8:9">
      <c r="H12625" s="1358"/>
      <c r="I12625" s="1358"/>
    </row>
    <row r="12626" spans="8:9">
      <c r="H12626" s="1358"/>
      <c r="I12626" s="1358"/>
    </row>
    <row r="12627" spans="8:9">
      <c r="H12627" s="1358"/>
      <c r="I12627" s="1358"/>
    </row>
    <row r="12628" spans="8:9">
      <c r="H12628" s="1358"/>
      <c r="I12628" s="1358"/>
    </row>
    <row r="12629" spans="8:9">
      <c r="H12629" s="1358"/>
      <c r="I12629" s="1358"/>
    </row>
    <row r="12630" spans="8:9">
      <c r="H12630" s="1358"/>
      <c r="I12630" s="1358"/>
    </row>
    <row r="12631" spans="8:9">
      <c r="H12631" s="1358"/>
      <c r="I12631" s="1358"/>
    </row>
    <row r="12632" spans="8:9">
      <c r="H12632" s="1358"/>
      <c r="I12632" s="1358"/>
    </row>
    <row r="12633" spans="8:9">
      <c r="H12633" s="1358"/>
      <c r="I12633" s="1358"/>
    </row>
    <row r="12634" spans="8:9">
      <c r="H12634" s="1358"/>
      <c r="I12634" s="1358"/>
    </row>
    <row r="12635" spans="8:9">
      <c r="H12635" s="1358"/>
      <c r="I12635" s="1358"/>
    </row>
    <row r="12636" spans="8:9">
      <c r="H12636" s="1358"/>
      <c r="I12636" s="1358"/>
    </row>
    <row r="12637" spans="8:9">
      <c r="H12637" s="1358"/>
      <c r="I12637" s="1358"/>
    </row>
    <row r="12638" spans="8:9">
      <c r="H12638" s="1358"/>
      <c r="I12638" s="1358"/>
    </row>
    <row r="12639" spans="8:9">
      <c r="H12639" s="1358"/>
      <c r="I12639" s="1358"/>
    </row>
    <row r="12640" spans="8:9">
      <c r="H12640" s="1358"/>
      <c r="I12640" s="1358"/>
    </row>
    <row r="12641" spans="8:9">
      <c r="H12641" s="1358"/>
      <c r="I12641" s="1358"/>
    </row>
    <row r="12642" spans="8:9">
      <c r="H12642" s="1358"/>
      <c r="I12642" s="1358"/>
    </row>
    <row r="12643" spans="8:9">
      <c r="H12643" s="1358"/>
      <c r="I12643" s="1358"/>
    </row>
    <row r="12644" spans="8:9">
      <c r="H12644" s="1358"/>
      <c r="I12644" s="1358"/>
    </row>
    <row r="12645" spans="8:9">
      <c r="H12645" s="1358"/>
      <c r="I12645" s="1358"/>
    </row>
    <row r="12646" spans="8:9">
      <c r="H12646" s="1358"/>
      <c r="I12646" s="1358"/>
    </row>
    <row r="12647" spans="8:9">
      <c r="H12647" s="1358"/>
      <c r="I12647" s="1358"/>
    </row>
    <row r="12648" spans="8:9">
      <c r="H12648" s="1358"/>
      <c r="I12648" s="1358"/>
    </row>
    <row r="12649" spans="8:9">
      <c r="H12649" s="1358"/>
      <c r="I12649" s="1358"/>
    </row>
    <row r="12650" spans="8:9">
      <c r="H12650" s="1358"/>
      <c r="I12650" s="1358"/>
    </row>
    <row r="12651" spans="8:9">
      <c r="H12651" s="1358"/>
      <c r="I12651" s="1358"/>
    </row>
    <row r="12652" spans="8:9">
      <c r="H12652" s="1358"/>
      <c r="I12652" s="1358"/>
    </row>
    <row r="12653" spans="8:9">
      <c r="H12653" s="1358"/>
      <c r="I12653" s="1358"/>
    </row>
    <row r="12654" spans="8:9">
      <c r="H12654" s="1358"/>
      <c r="I12654" s="1358"/>
    </row>
    <row r="12655" spans="8:9">
      <c r="H12655" s="1358"/>
      <c r="I12655" s="1358"/>
    </row>
    <row r="12656" spans="8:9">
      <c r="H12656" s="1358"/>
      <c r="I12656" s="1358"/>
    </row>
    <row r="12657" spans="8:9">
      <c r="H12657" s="1358"/>
      <c r="I12657" s="1358"/>
    </row>
    <row r="12658" spans="8:9">
      <c r="H12658" s="1358"/>
      <c r="I12658" s="1358"/>
    </row>
    <row r="12659" spans="8:9">
      <c r="H12659" s="1358"/>
      <c r="I12659" s="1358"/>
    </row>
    <row r="12660" spans="8:9">
      <c r="H12660" s="1358"/>
      <c r="I12660" s="1358"/>
    </row>
    <row r="12661" spans="8:9">
      <c r="H12661" s="1358"/>
      <c r="I12661" s="1358"/>
    </row>
    <row r="12662" spans="8:9">
      <c r="H12662" s="1358"/>
      <c r="I12662" s="1358"/>
    </row>
    <row r="12663" spans="8:9">
      <c r="H12663" s="1358"/>
      <c r="I12663" s="1358"/>
    </row>
    <row r="12664" spans="8:9">
      <c r="H12664" s="1358"/>
      <c r="I12664" s="1358"/>
    </row>
    <row r="12665" spans="8:9">
      <c r="H12665" s="1358"/>
      <c r="I12665" s="1358"/>
    </row>
    <row r="12666" spans="8:9">
      <c r="H12666" s="1358"/>
      <c r="I12666" s="1358"/>
    </row>
    <row r="12667" spans="8:9">
      <c r="H12667" s="1358"/>
      <c r="I12667" s="1358"/>
    </row>
    <row r="12668" spans="8:9">
      <c r="H12668" s="1358"/>
      <c r="I12668" s="1358"/>
    </row>
    <row r="12669" spans="8:9">
      <c r="H12669" s="1358"/>
      <c r="I12669" s="1358"/>
    </row>
    <row r="12670" spans="8:9">
      <c r="H12670" s="1358"/>
      <c r="I12670" s="1358"/>
    </row>
    <row r="12671" spans="8:9">
      <c r="H12671" s="1358"/>
      <c r="I12671" s="1358"/>
    </row>
    <row r="12672" spans="8:9">
      <c r="H12672" s="1358"/>
      <c r="I12672" s="1358"/>
    </row>
    <row r="12673" spans="8:9">
      <c r="H12673" s="1358"/>
      <c r="I12673" s="1358"/>
    </row>
    <row r="12674" spans="8:9">
      <c r="H12674" s="1358"/>
      <c r="I12674" s="1358"/>
    </row>
    <row r="12675" spans="8:9">
      <c r="H12675" s="1358"/>
      <c r="I12675" s="1358"/>
    </row>
    <row r="12676" spans="8:9">
      <c r="H12676" s="1358"/>
      <c r="I12676" s="1358"/>
    </row>
    <row r="12677" spans="8:9">
      <c r="H12677" s="1358"/>
      <c r="I12677" s="1358"/>
    </row>
    <row r="12678" spans="8:9">
      <c r="H12678" s="1358"/>
      <c r="I12678" s="1358"/>
    </row>
    <row r="12679" spans="8:9">
      <c r="H12679" s="1358"/>
      <c r="I12679" s="1358"/>
    </row>
    <row r="12680" spans="8:9">
      <c r="H12680" s="1358"/>
      <c r="I12680" s="1358"/>
    </row>
    <row r="12681" spans="8:9">
      <c r="H12681" s="1358"/>
      <c r="I12681" s="1358"/>
    </row>
    <row r="12682" spans="8:9">
      <c r="H12682" s="1358"/>
      <c r="I12682" s="1358"/>
    </row>
    <row r="12683" spans="8:9">
      <c r="H12683" s="1358"/>
      <c r="I12683" s="1358"/>
    </row>
    <row r="12684" spans="8:9">
      <c r="H12684" s="1358"/>
      <c r="I12684" s="1358"/>
    </row>
    <row r="12685" spans="8:9">
      <c r="H12685" s="1358"/>
      <c r="I12685" s="1358"/>
    </row>
    <row r="12686" spans="8:9">
      <c r="H12686" s="1358"/>
      <c r="I12686" s="1358"/>
    </row>
    <row r="12687" spans="8:9">
      <c r="H12687" s="1358"/>
      <c r="I12687" s="1358"/>
    </row>
    <row r="12688" spans="8:9">
      <c r="H12688" s="1358"/>
      <c r="I12688" s="1358"/>
    </row>
    <row r="12689" spans="8:9">
      <c r="H12689" s="1358"/>
      <c r="I12689" s="1358"/>
    </row>
    <row r="12690" spans="8:9">
      <c r="H12690" s="1358"/>
      <c r="I12690" s="1358"/>
    </row>
    <row r="12691" spans="8:9">
      <c r="H12691" s="1358"/>
      <c r="I12691" s="1358"/>
    </row>
    <row r="12692" spans="8:9">
      <c r="H12692" s="1358"/>
      <c r="I12692" s="1358"/>
    </row>
    <row r="12693" spans="8:9">
      <c r="H12693" s="1358"/>
      <c r="I12693" s="1358"/>
    </row>
    <row r="12694" spans="8:9">
      <c r="H12694" s="1358"/>
      <c r="I12694" s="1358"/>
    </row>
    <row r="12695" spans="8:9">
      <c r="H12695" s="1358"/>
      <c r="I12695" s="1358"/>
    </row>
    <row r="12696" spans="8:9">
      <c r="H12696" s="1358"/>
      <c r="I12696" s="1358"/>
    </row>
    <row r="12697" spans="8:9">
      <c r="H12697" s="1358"/>
      <c r="I12697" s="1358"/>
    </row>
    <row r="12698" spans="8:9">
      <c r="H12698" s="1358"/>
      <c r="I12698" s="1358"/>
    </row>
    <row r="12699" spans="8:9">
      <c r="H12699" s="1358"/>
      <c r="I12699" s="1358"/>
    </row>
    <row r="12700" spans="8:9">
      <c r="H12700" s="1358"/>
      <c r="I12700" s="1358"/>
    </row>
    <row r="12701" spans="8:9">
      <c r="H12701" s="1358"/>
      <c r="I12701" s="1358"/>
    </row>
    <row r="12702" spans="8:9">
      <c r="H12702" s="1358"/>
      <c r="I12702" s="1358"/>
    </row>
    <row r="12703" spans="8:9">
      <c r="H12703" s="1358"/>
      <c r="I12703" s="1358"/>
    </row>
    <row r="12704" spans="8:9">
      <c r="H12704" s="1358"/>
      <c r="I12704" s="1358"/>
    </row>
    <row r="12705" spans="8:9">
      <c r="H12705" s="1358"/>
      <c r="I12705" s="1358"/>
    </row>
    <row r="12706" spans="8:9">
      <c r="H12706" s="1358"/>
      <c r="I12706" s="1358"/>
    </row>
    <row r="12707" spans="8:9">
      <c r="H12707" s="1358"/>
      <c r="I12707" s="1358"/>
    </row>
    <row r="12708" spans="8:9">
      <c r="H12708" s="1358"/>
      <c r="I12708" s="1358"/>
    </row>
    <row r="12709" spans="8:9">
      <c r="H12709" s="1358"/>
      <c r="I12709" s="1358"/>
    </row>
    <row r="12710" spans="8:9">
      <c r="H12710" s="1358"/>
      <c r="I12710" s="1358"/>
    </row>
    <row r="12711" spans="8:9">
      <c r="H12711" s="1358"/>
      <c r="I12711" s="1358"/>
    </row>
    <row r="12712" spans="8:9">
      <c r="H12712" s="1358"/>
      <c r="I12712" s="1358"/>
    </row>
    <row r="12713" spans="8:9">
      <c r="H12713" s="1358"/>
      <c r="I12713" s="1358"/>
    </row>
    <row r="12714" spans="8:9">
      <c r="H12714" s="1358"/>
      <c r="I12714" s="1358"/>
    </row>
    <row r="12715" spans="8:9">
      <c r="H12715" s="1358"/>
      <c r="I12715" s="1358"/>
    </row>
    <row r="12716" spans="8:9">
      <c r="H12716" s="1358"/>
      <c r="I12716" s="1358"/>
    </row>
    <row r="12717" spans="8:9">
      <c r="H12717" s="1358"/>
      <c r="I12717" s="1358"/>
    </row>
    <row r="12718" spans="8:9">
      <c r="H12718" s="1358"/>
      <c r="I12718" s="1358"/>
    </row>
    <row r="12719" spans="8:9">
      <c r="H12719" s="1358"/>
      <c r="I12719" s="1358"/>
    </row>
    <row r="12720" spans="8:9">
      <c r="H12720" s="1358"/>
      <c r="I12720" s="1358"/>
    </row>
    <row r="12721" spans="8:9">
      <c r="H12721" s="1358"/>
      <c r="I12721" s="1358"/>
    </row>
    <row r="12722" spans="8:9">
      <c r="H12722" s="1358"/>
      <c r="I12722" s="1358"/>
    </row>
    <row r="12723" spans="8:9">
      <c r="H12723" s="1358"/>
      <c r="I12723" s="1358"/>
    </row>
    <row r="12724" spans="8:9">
      <c r="H12724" s="1358"/>
      <c r="I12724" s="1358"/>
    </row>
    <row r="12725" spans="8:9">
      <c r="H12725" s="1358"/>
      <c r="I12725" s="1358"/>
    </row>
    <row r="12726" spans="8:9">
      <c r="H12726" s="1358"/>
      <c r="I12726" s="1358"/>
    </row>
    <row r="12727" spans="8:9">
      <c r="H12727" s="1358"/>
      <c r="I12727" s="1358"/>
    </row>
    <row r="12728" spans="8:9">
      <c r="H12728" s="1358"/>
      <c r="I12728" s="1358"/>
    </row>
    <row r="12729" spans="8:9">
      <c r="H12729" s="1358"/>
      <c r="I12729" s="1358"/>
    </row>
    <row r="12730" spans="8:9">
      <c r="H12730" s="1358"/>
      <c r="I12730" s="1358"/>
    </row>
    <row r="12731" spans="8:9">
      <c r="H12731" s="1358"/>
      <c r="I12731" s="1358"/>
    </row>
    <row r="12732" spans="8:9">
      <c r="H12732" s="1358"/>
      <c r="I12732" s="1358"/>
    </row>
    <row r="12733" spans="8:9">
      <c r="H12733" s="1358"/>
      <c r="I12733" s="1358"/>
    </row>
    <row r="12734" spans="8:9">
      <c r="H12734" s="1358"/>
      <c r="I12734" s="1358"/>
    </row>
    <row r="12735" spans="8:9">
      <c r="H12735" s="1358"/>
      <c r="I12735" s="1358"/>
    </row>
    <row r="12736" spans="8:9">
      <c r="H12736" s="1358"/>
      <c r="I12736" s="1358"/>
    </row>
    <row r="12737" spans="8:9">
      <c r="H12737" s="1358"/>
      <c r="I12737" s="1358"/>
    </row>
    <row r="12738" spans="8:9">
      <c r="H12738" s="1358"/>
      <c r="I12738" s="1358"/>
    </row>
    <row r="12739" spans="8:9">
      <c r="H12739" s="1358"/>
      <c r="I12739" s="1358"/>
    </row>
    <row r="12740" spans="8:9">
      <c r="H12740" s="1358"/>
      <c r="I12740" s="1358"/>
    </row>
    <row r="12741" spans="8:9">
      <c r="H12741" s="1358"/>
      <c r="I12741" s="1358"/>
    </row>
    <row r="12742" spans="8:9">
      <c r="H12742" s="1358"/>
      <c r="I12742" s="1358"/>
    </row>
    <row r="12743" spans="8:9">
      <c r="H12743" s="1358"/>
      <c r="I12743" s="1358"/>
    </row>
    <row r="12744" spans="8:9">
      <c r="H12744" s="1358"/>
      <c r="I12744" s="1358"/>
    </row>
    <row r="12745" spans="8:9">
      <c r="H12745" s="1358"/>
      <c r="I12745" s="1358"/>
    </row>
    <row r="12746" spans="8:9">
      <c r="H12746" s="1358"/>
      <c r="I12746" s="1358"/>
    </row>
    <row r="12747" spans="8:9">
      <c r="H12747" s="1358"/>
      <c r="I12747" s="1358"/>
    </row>
    <row r="12748" spans="8:9">
      <c r="H12748" s="1358"/>
      <c r="I12748" s="1358"/>
    </row>
    <row r="12749" spans="8:9">
      <c r="H12749" s="1358"/>
      <c r="I12749" s="1358"/>
    </row>
    <row r="12750" spans="8:9">
      <c r="H12750" s="1358"/>
      <c r="I12750" s="1358"/>
    </row>
    <row r="12751" spans="8:9">
      <c r="H12751" s="1358"/>
      <c r="I12751" s="1358"/>
    </row>
    <row r="12752" spans="8:9">
      <c r="H12752" s="1358"/>
      <c r="I12752" s="1358"/>
    </row>
    <row r="12753" spans="8:9">
      <c r="H12753" s="1358"/>
      <c r="I12753" s="1358"/>
    </row>
    <row r="12754" spans="8:9">
      <c r="H12754" s="1358"/>
      <c r="I12754" s="1358"/>
    </row>
    <row r="12755" spans="8:9">
      <c r="H12755" s="1358"/>
      <c r="I12755" s="1358"/>
    </row>
    <row r="12756" spans="8:9">
      <c r="H12756" s="1358"/>
      <c r="I12756" s="1358"/>
    </row>
    <row r="12757" spans="8:9">
      <c r="H12757" s="1358"/>
      <c r="I12757" s="1358"/>
    </row>
    <row r="12758" spans="8:9">
      <c r="H12758" s="1358"/>
      <c r="I12758" s="1358"/>
    </row>
    <row r="12759" spans="8:9">
      <c r="H12759" s="1358"/>
      <c r="I12759" s="1358"/>
    </row>
    <row r="12760" spans="8:9">
      <c r="H12760" s="1358"/>
      <c r="I12760" s="1358"/>
    </row>
    <row r="12761" spans="8:9">
      <c r="H12761" s="1358"/>
      <c r="I12761" s="1358"/>
    </row>
    <row r="12762" spans="8:9">
      <c r="H12762" s="1358"/>
      <c r="I12762" s="1358"/>
    </row>
    <row r="12763" spans="8:9">
      <c r="H12763" s="1358"/>
      <c r="I12763" s="1358"/>
    </row>
    <row r="12764" spans="8:9">
      <c r="H12764" s="1358"/>
      <c r="I12764" s="1358"/>
    </row>
    <row r="12765" spans="8:9">
      <c r="H12765" s="1358"/>
      <c r="I12765" s="1358"/>
    </row>
    <row r="12766" spans="8:9">
      <c r="H12766" s="1358"/>
      <c r="I12766" s="1358"/>
    </row>
    <row r="12767" spans="8:9">
      <c r="H12767" s="1358"/>
      <c r="I12767" s="1358"/>
    </row>
    <row r="12768" spans="8:9">
      <c r="H12768" s="1358"/>
      <c r="I12768" s="1358"/>
    </row>
    <row r="12769" spans="8:9">
      <c r="H12769" s="1358"/>
      <c r="I12769" s="1358"/>
    </row>
    <row r="12770" spans="8:9">
      <c r="H12770" s="1358"/>
      <c r="I12770" s="1358"/>
    </row>
    <row r="12771" spans="8:9">
      <c r="H12771" s="1358"/>
      <c r="I12771" s="1358"/>
    </row>
    <row r="12772" spans="8:9">
      <c r="H12772" s="1358"/>
      <c r="I12772" s="1358"/>
    </row>
    <row r="12773" spans="8:9">
      <c r="H12773" s="1358"/>
      <c r="I12773" s="1358"/>
    </row>
    <row r="12774" spans="8:9">
      <c r="H12774" s="1358"/>
      <c r="I12774" s="1358"/>
    </row>
    <row r="12775" spans="8:9">
      <c r="H12775" s="1358"/>
      <c r="I12775" s="1358"/>
    </row>
    <row r="12776" spans="8:9">
      <c r="H12776" s="1358"/>
      <c r="I12776" s="1358"/>
    </row>
    <row r="12777" spans="8:9">
      <c r="H12777" s="1358"/>
      <c r="I12777" s="1358"/>
    </row>
    <row r="12778" spans="8:9">
      <c r="H12778" s="1358"/>
      <c r="I12778" s="1358"/>
    </row>
    <row r="12779" spans="8:9">
      <c r="H12779" s="1358"/>
      <c r="I12779" s="1358"/>
    </row>
    <row r="12780" spans="8:9">
      <c r="H12780" s="1358"/>
      <c r="I12780" s="1358"/>
    </row>
    <row r="12781" spans="8:9">
      <c r="H12781" s="1358"/>
      <c r="I12781" s="1358"/>
    </row>
    <row r="12782" spans="8:9">
      <c r="H12782" s="1358"/>
      <c r="I12782" s="1358"/>
    </row>
    <row r="12783" spans="8:9">
      <c r="H12783" s="1358"/>
      <c r="I12783" s="1358"/>
    </row>
    <row r="12784" spans="8:9">
      <c r="H12784" s="1358"/>
      <c r="I12784" s="1358"/>
    </row>
    <row r="12785" spans="8:9">
      <c r="H12785" s="1358"/>
      <c r="I12785" s="1358"/>
    </row>
    <row r="12786" spans="8:9">
      <c r="H12786" s="1358"/>
      <c r="I12786" s="1358"/>
    </row>
    <row r="12787" spans="8:9">
      <c r="H12787" s="1358"/>
      <c r="I12787" s="1358"/>
    </row>
    <row r="12788" spans="8:9">
      <c r="H12788" s="1358"/>
      <c r="I12788" s="1358"/>
    </row>
    <row r="12789" spans="8:9">
      <c r="H12789" s="1358"/>
      <c r="I12789" s="1358"/>
    </row>
    <row r="12790" spans="8:9">
      <c r="H12790" s="1358"/>
      <c r="I12790" s="1358"/>
    </row>
    <row r="12791" spans="8:9">
      <c r="H12791" s="1358"/>
      <c r="I12791" s="1358"/>
    </row>
    <row r="12792" spans="8:9">
      <c r="H12792" s="1358"/>
      <c r="I12792" s="1358"/>
    </row>
    <row r="12793" spans="8:9">
      <c r="H12793" s="1358"/>
      <c r="I12793" s="1358"/>
    </row>
    <row r="12794" spans="8:9">
      <c r="H12794" s="1358"/>
      <c r="I12794" s="1358"/>
    </row>
    <row r="12795" spans="8:9">
      <c r="H12795" s="1358"/>
      <c r="I12795" s="1358"/>
    </row>
    <row r="12796" spans="8:9">
      <c r="H12796" s="1358"/>
      <c r="I12796" s="1358"/>
    </row>
    <row r="12797" spans="8:9">
      <c r="H12797" s="1358"/>
      <c r="I12797" s="1358"/>
    </row>
    <row r="12798" spans="8:9">
      <c r="H12798" s="1358"/>
      <c r="I12798" s="1358"/>
    </row>
    <row r="12799" spans="8:9">
      <c r="H12799" s="1358"/>
      <c r="I12799" s="1358"/>
    </row>
    <row r="12800" spans="8:9">
      <c r="H12800" s="1358"/>
      <c r="I12800" s="1358"/>
    </row>
    <row r="12801" spans="8:9">
      <c r="H12801" s="1358"/>
      <c r="I12801" s="1358"/>
    </row>
    <row r="12802" spans="8:9">
      <c r="H12802" s="1358"/>
      <c r="I12802" s="1358"/>
    </row>
    <row r="12803" spans="8:9">
      <c r="H12803" s="1358"/>
      <c r="I12803" s="1358"/>
    </row>
    <row r="12804" spans="8:9">
      <c r="H12804" s="1358"/>
      <c r="I12804" s="1358"/>
    </row>
    <row r="12805" spans="8:9">
      <c r="H12805" s="1358"/>
      <c r="I12805" s="1358"/>
    </row>
    <row r="12806" spans="8:9">
      <c r="H12806" s="1358"/>
      <c r="I12806" s="1358"/>
    </row>
    <row r="12807" spans="8:9">
      <c r="H12807" s="1358"/>
      <c r="I12807" s="1358"/>
    </row>
    <row r="12808" spans="8:9">
      <c r="H12808" s="1358"/>
      <c r="I12808" s="1358"/>
    </row>
    <row r="12809" spans="8:9">
      <c r="H12809" s="1358"/>
      <c r="I12809" s="1358"/>
    </row>
    <row r="12810" spans="8:9">
      <c r="H12810" s="1358"/>
      <c r="I12810" s="1358"/>
    </row>
    <row r="12811" spans="8:9">
      <c r="H12811" s="1358"/>
      <c r="I12811" s="1358"/>
    </row>
    <row r="12812" spans="8:9">
      <c r="H12812" s="1358"/>
      <c r="I12812" s="1358"/>
    </row>
    <row r="12813" spans="8:9">
      <c r="H12813" s="1358"/>
      <c r="I12813" s="1358"/>
    </row>
    <row r="12814" spans="8:9">
      <c r="H12814" s="1358"/>
      <c r="I12814" s="1358"/>
    </row>
    <row r="12815" spans="8:9">
      <c r="H12815" s="1358"/>
      <c r="I12815" s="1358"/>
    </row>
    <row r="12816" spans="8:9">
      <c r="H12816" s="1358"/>
      <c r="I12816" s="1358"/>
    </row>
    <row r="12817" spans="8:9">
      <c r="H12817" s="1358"/>
      <c r="I12817" s="1358"/>
    </row>
    <row r="12818" spans="8:9">
      <c r="H12818" s="1358"/>
      <c r="I12818" s="1358"/>
    </row>
    <row r="12819" spans="8:9">
      <c r="H12819" s="1358"/>
      <c r="I12819" s="1358"/>
    </row>
    <row r="12820" spans="8:9">
      <c r="H12820" s="1358"/>
      <c r="I12820" s="1358"/>
    </row>
    <row r="12821" spans="8:9">
      <c r="H12821" s="1358"/>
      <c r="I12821" s="1358"/>
    </row>
    <row r="12822" spans="8:9">
      <c r="H12822" s="1358"/>
      <c r="I12822" s="1358"/>
    </row>
    <row r="12823" spans="8:9">
      <c r="H12823" s="1358"/>
      <c r="I12823" s="1358"/>
    </row>
    <row r="12824" spans="8:9">
      <c r="H12824" s="1358"/>
      <c r="I12824" s="1358"/>
    </row>
    <row r="12825" spans="8:9">
      <c r="H12825" s="1358"/>
      <c r="I12825" s="1358"/>
    </row>
    <row r="12826" spans="8:9">
      <c r="H12826" s="1358"/>
      <c r="I12826" s="1358"/>
    </row>
    <row r="12827" spans="8:9">
      <c r="H12827" s="1358"/>
      <c r="I12827" s="1358"/>
    </row>
    <row r="12828" spans="8:9">
      <c r="H12828" s="1358"/>
      <c r="I12828" s="1358"/>
    </row>
    <row r="12829" spans="8:9">
      <c r="H12829" s="1358"/>
      <c r="I12829" s="1358"/>
    </row>
    <row r="12830" spans="8:9">
      <c r="H12830" s="1358"/>
      <c r="I12830" s="1358"/>
    </row>
    <row r="12831" spans="8:9">
      <c r="H12831" s="1358"/>
      <c r="I12831" s="1358"/>
    </row>
    <row r="12832" spans="8:9">
      <c r="H12832" s="1358"/>
      <c r="I12832" s="1358"/>
    </row>
    <row r="12833" spans="8:9">
      <c r="H12833" s="1358"/>
      <c r="I12833" s="1358"/>
    </row>
    <row r="12834" spans="8:9">
      <c r="H12834" s="1358"/>
      <c r="I12834" s="1358"/>
    </row>
    <row r="12835" spans="8:9">
      <c r="H12835" s="1358"/>
      <c r="I12835" s="1358"/>
    </row>
    <row r="12836" spans="8:9">
      <c r="H12836" s="1358"/>
      <c r="I12836" s="1358"/>
    </row>
    <row r="12837" spans="8:9">
      <c r="H12837" s="1358"/>
      <c r="I12837" s="1358"/>
    </row>
    <row r="12838" spans="8:9">
      <c r="H12838" s="1358"/>
      <c r="I12838" s="1358"/>
    </row>
    <row r="12839" spans="8:9">
      <c r="H12839" s="1358"/>
      <c r="I12839" s="1358"/>
    </row>
    <row r="12840" spans="8:9">
      <c r="H12840" s="1358"/>
      <c r="I12840" s="1358"/>
    </row>
    <row r="12841" spans="8:9">
      <c r="H12841" s="1358"/>
      <c r="I12841" s="1358"/>
    </row>
    <row r="12842" spans="8:9">
      <c r="H12842" s="1358"/>
      <c r="I12842" s="1358"/>
    </row>
    <row r="12843" spans="8:9">
      <c r="H12843" s="1358"/>
      <c r="I12843" s="1358"/>
    </row>
    <row r="12844" spans="8:9">
      <c r="H12844" s="1358"/>
      <c r="I12844" s="1358"/>
    </row>
    <row r="12845" spans="8:9">
      <c r="H12845" s="1358"/>
      <c r="I12845" s="1358"/>
    </row>
    <row r="12846" spans="8:9">
      <c r="H12846" s="1358"/>
      <c r="I12846" s="1358"/>
    </row>
    <row r="12847" spans="8:9">
      <c r="H12847" s="1358"/>
      <c r="I12847" s="1358"/>
    </row>
    <row r="12848" spans="8:9">
      <c r="H12848" s="1358"/>
      <c r="I12848" s="1358"/>
    </row>
    <row r="12849" spans="8:9">
      <c r="H12849" s="1358"/>
      <c r="I12849" s="1358"/>
    </row>
    <row r="12850" spans="8:9">
      <c r="H12850" s="1358"/>
      <c r="I12850" s="1358"/>
    </row>
    <row r="12851" spans="8:9">
      <c r="H12851" s="1358"/>
      <c r="I12851" s="1358"/>
    </row>
    <row r="12852" spans="8:9">
      <c r="H12852" s="1358"/>
      <c r="I12852" s="1358"/>
    </row>
    <row r="12853" spans="8:9">
      <c r="H12853" s="1358"/>
      <c r="I12853" s="1358"/>
    </row>
    <row r="12854" spans="8:9">
      <c r="H12854" s="1358"/>
      <c r="I12854" s="1358"/>
    </row>
    <row r="12855" spans="8:9">
      <c r="H12855" s="1358"/>
      <c r="I12855" s="1358"/>
    </row>
    <row r="12856" spans="8:9">
      <c r="H12856" s="1358"/>
      <c r="I12856" s="1358"/>
    </row>
    <row r="12857" spans="8:9">
      <c r="H12857" s="1358"/>
      <c r="I12857" s="1358"/>
    </row>
    <row r="12858" spans="8:9">
      <c r="H12858" s="1358"/>
      <c r="I12858" s="1358"/>
    </row>
    <row r="12859" spans="8:9">
      <c r="H12859" s="1358"/>
      <c r="I12859" s="1358"/>
    </row>
    <row r="12860" spans="8:9">
      <c r="H12860" s="1358"/>
      <c r="I12860" s="1358"/>
    </row>
    <row r="12861" spans="8:9">
      <c r="H12861" s="1358"/>
      <c r="I12861" s="1358"/>
    </row>
    <row r="12862" spans="8:9">
      <c r="H12862" s="1358"/>
      <c r="I12862" s="1358"/>
    </row>
    <row r="12863" spans="8:9">
      <c r="H12863" s="1358"/>
      <c r="I12863" s="1358"/>
    </row>
    <row r="12864" spans="8:9">
      <c r="H12864" s="1358"/>
      <c r="I12864" s="1358"/>
    </row>
    <row r="12865" spans="8:9">
      <c r="H12865" s="1358"/>
      <c r="I12865" s="1358"/>
    </row>
    <row r="12866" spans="8:9">
      <c r="H12866" s="1358"/>
      <c r="I12866" s="1358"/>
    </row>
    <row r="12867" spans="8:9">
      <c r="H12867" s="1358"/>
      <c r="I12867" s="1358"/>
    </row>
    <row r="12868" spans="8:9">
      <c r="H12868" s="1358"/>
      <c r="I12868" s="1358"/>
    </row>
    <row r="12869" spans="8:9">
      <c r="H12869" s="1358"/>
      <c r="I12869" s="1358"/>
    </row>
    <row r="12870" spans="8:9">
      <c r="H12870" s="1358"/>
      <c r="I12870" s="1358"/>
    </row>
    <row r="12871" spans="8:9">
      <c r="H12871" s="1358"/>
      <c r="I12871" s="1358"/>
    </row>
    <row r="12872" spans="8:9">
      <c r="H12872" s="1358"/>
      <c r="I12872" s="1358"/>
    </row>
    <row r="12873" spans="8:9">
      <c r="H12873" s="1358"/>
      <c r="I12873" s="1358"/>
    </row>
    <row r="12874" spans="8:9">
      <c r="H12874" s="1358"/>
      <c r="I12874" s="1358"/>
    </row>
    <row r="12875" spans="8:9">
      <c r="H12875" s="1358"/>
      <c r="I12875" s="1358"/>
    </row>
    <row r="12876" spans="8:9">
      <c r="H12876" s="1358"/>
      <c r="I12876" s="1358"/>
    </row>
    <row r="12877" spans="8:9">
      <c r="H12877" s="1358"/>
      <c r="I12877" s="1358"/>
    </row>
    <row r="12878" spans="8:9">
      <c r="H12878" s="1358"/>
      <c r="I12878" s="1358"/>
    </row>
    <row r="12879" spans="8:9">
      <c r="H12879" s="1358"/>
      <c r="I12879" s="1358"/>
    </row>
    <row r="12880" spans="8:9">
      <c r="H12880" s="1358"/>
      <c r="I12880" s="1358"/>
    </row>
    <row r="12881" spans="8:9">
      <c r="H12881" s="1358"/>
      <c r="I12881" s="1358"/>
    </row>
    <row r="12882" spans="8:9">
      <c r="H12882" s="1358"/>
      <c r="I12882" s="1358"/>
    </row>
    <row r="12883" spans="8:9">
      <c r="H12883" s="1358"/>
      <c r="I12883" s="1358"/>
    </row>
    <row r="12884" spans="8:9">
      <c r="H12884" s="1358"/>
      <c r="I12884" s="1358"/>
    </row>
    <row r="12885" spans="8:9">
      <c r="H12885" s="1358"/>
      <c r="I12885" s="1358"/>
    </row>
    <row r="12886" spans="8:9">
      <c r="H12886" s="1358"/>
      <c r="I12886" s="1358"/>
    </row>
    <row r="12887" spans="8:9">
      <c r="H12887" s="1358"/>
      <c r="I12887" s="1358"/>
    </row>
    <row r="12888" spans="8:9">
      <c r="H12888" s="1358"/>
      <c r="I12888" s="1358"/>
    </row>
    <row r="12889" spans="8:9">
      <c r="H12889" s="1358"/>
      <c r="I12889" s="1358"/>
    </row>
    <row r="12890" spans="8:9">
      <c r="H12890" s="1358"/>
      <c r="I12890" s="1358"/>
    </row>
    <row r="12891" spans="8:9">
      <c r="H12891" s="1358"/>
      <c r="I12891" s="1358"/>
    </row>
    <row r="12892" spans="8:9">
      <c r="H12892" s="1358"/>
      <c r="I12892" s="1358"/>
    </row>
    <row r="12893" spans="8:9">
      <c r="H12893" s="1358"/>
      <c r="I12893" s="1358"/>
    </row>
    <row r="12894" spans="8:9">
      <c r="H12894" s="1358"/>
      <c r="I12894" s="1358"/>
    </row>
    <row r="12895" spans="8:9">
      <c r="H12895" s="1358"/>
      <c r="I12895" s="1358"/>
    </row>
    <row r="12896" spans="8:9">
      <c r="H12896" s="1358"/>
      <c r="I12896" s="1358"/>
    </row>
    <row r="12897" spans="8:9">
      <c r="H12897" s="1358"/>
      <c r="I12897" s="1358"/>
    </row>
    <row r="12898" spans="8:9">
      <c r="H12898" s="1358"/>
      <c r="I12898" s="1358"/>
    </row>
    <row r="12899" spans="8:9">
      <c r="H12899" s="1358"/>
      <c r="I12899" s="1358"/>
    </row>
    <row r="12900" spans="8:9">
      <c r="H12900" s="1358"/>
      <c r="I12900" s="1358"/>
    </row>
    <row r="12901" spans="8:9">
      <c r="H12901" s="1358"/>
      <c r="I12901" s="1358"/>
    </row>
    <row r="12902" spans="8:9">
      <c r="H12902" s="1358"/>
      <c r="I12902" s="1358"/>
    </row>
    <row r="12903" spans="8:9">
      <c r="H12903" s="1358"/>
      <c r="I12903" s="1358"/>
    </row>
    <row r="12904" spans="8:9">
      <c r="H12904" s="1358"/>
      <c r="I12904" s="1358"/>
    </row>
    <row r="12905" spans="8:9">
      <c r="H12905" s="1358"/>
      <c r="I12905" s="1358"/>
    </row>
    <row r="12906" spans="8:9">
      <c r="H12906" s="1358"/>
      <c r="I12906" s="1358"/>
    </row>
    <row r="12907" spans="8:9">
      <c r="H12907" s="1358"/>
      <c r="I12907" s="1358"/>
    </row>
    <row r="12908" spans="8:9">
      <c r="H12908" s="1358"/>
      <c r="I12908" s="1358"/>
    </row>
    <row r="12909" spans="8:9">
      <c r="H12909" s="1358"/>
      <c r="I12909" s="1358"/>
    </row>
    <row r="12910" spans="8:9">
      <c r="H12910" s="1358"/>
      <c r="I12910" s="1358"/>
    </row>
    <row r="12911" spans="8:9">
      <c r="H12911" s="1358"/>
      <c r="I12911" s="1358"/>
    </row>
    <row r="12912" spans="8:9">
      <c r="H12912" s="1358"/>
      <c r="I12912" s="1358"/>
    </row>
    <row r="12913" spans="8:9">
      <c r="H12913" s="1358"/>
      <c r="I12913" s="1358"/>
    </row>
    <row r="12914" spans="8:9">
      <c r="H12914" s="1358"/>
      <c r="I12914" s="1358"/>
    </row>
    <row r="12915" spans="8:9">
      <c r="H12915" s="1358"/>
      <c r="I12915" s="1358"/>
    </row>
    <row r="12916" spans="8:9">
      <c r="H12916" s="1358"/>
      <c r="I12916" s="1358"/>
    </row>
    <row r="12917" spans="8:9">
      <c r="H12917" s="1358"/>
      <c r="I12917" s="1358"/>
    </row>
    <row r="12918" spans="8:9">
      <c r="H12918" s="1358"/>
      <c r="I12918" s="1358"/>
    </row>
    <row r="12919" spans="8:9">
      <c r="H12919" s="1358"/>
      <c r="I12919" s="1358"/>
    </row>
    <row r="12920" spans="8:9">
      <c r="H12920" s="1358"/>
      <c r="I12920" s="1358"/>
    </row>
    <row r="12921" spans="8:9">
      <c r="H12921" s="1358"/>
      <c r="I12921" s="1358"/>
    </row>
    <row r="12922" spans="8:9">
      <c r="H12922" s="1358"/>
      <c r="I12922" s="1358"/>
    </row>
    <row r="12923" spans="8:9">
      <c r="H12923" s="1358"/>
      <c r="I12923" s="1358"/>
    </row>
    <row r="12924" spans="8:9">
      <c r="H12924" s="1358"/>
      <c r="I12924" s="1358"/>
    </row>
    <row r="12925" spans="8:9">
      <c r="H12925" s="1358"/>
      <c r="I12925" s="1358"/>
    </row>
    <row r="12926" spans="8:9">
      <c r="H12926" s="1358"/>
      <c r="I12926" s="1358"/>
    </row>
    <row r="12927" spans="8:9">
      <c r="H12927" s="1358"/>
      <c r="I12927" s="1358"/>
    </row>
    <row r="12928" spans="8:9">
      <c r="H12928" s="1358"/>
      <c r="I12928" s="1358"/>
    </row>
    <row r="12929" spans="8:9">
      <c r="H12929" s="1358"/>
      <c r="I12929" s="1358"/>
    </row>
    <row r="12930" spans="8:9">
      <c r="H12930" s="1358"/>
      <c r="I12930" s="1358"/>
    </row>
    <row r="12931" spans="8:9">
      <c r="H12931" s="1358"/>
      <c r="I12931" s="1358"/>
    </row>
    <row r="12932" spans="8:9">
      <c r="H12932" s="1358"/>
      <c r="I12932" s="1358"/>
    </row>
    <row r="12933" spans="8:9">
      <c r="H12933" s="1358"/>
      <c r="I12933" s="1358"/>
    </row>
    <row r="12934" spans="8:9">
      <c r="H12934" s="1358"/>
      <c r="I12934" s="1358"/>
    </row>
    <row r="12935" spans="8:9">
      <c r="H12935" s="1358"/>
      <c r="I12935" s="1358"/>
    </row>
    <row r="12936" spans="8:9">
      <c r="H12936" s="1358"/>
      <c r="I12936" s="1358"/>
    </row>
    <row r="12937" spans="8:9">
      <c r="H12937" s="1358"/>
      <c r="I12937" s="1358"/>
    </row>
    <row r="12938" spans="8:9">
      <c r="H12938" s="1358"/>
      <c r="I12938" s="1358"/>
    </row>
    <row r="12939" spans="8:9">
      <c r="H12939" s="1358"/>
      <c r="I12939" s="1358"/>
    </row>
    <row r="12940" spans="8:9">
      <c r="H12940" s="1358"/>
      <c r="I12940" s="1358"/>
    </row>
    <row r="12941" spans="8:9">
      <c r="H12941" s="1358"/>
      <c r="I12941" s="1358"/>
    </row>
    <row r="12942" spans="8:9">
      <c r="H12942" s="1358"/>
      <c r="I12942" s="1358"/>
    </row>
    <row r="12943" spans="8:9">
      <c r="H12943" s="1358"/>
      <c r="I12943" s="1358"/>
    </row>
    <row r="12944" spans="8:9">
      <c r="H12944" s="1358"/>
      <c r="I12944" s="1358"/>
    </row>
    <row r="12945" spans="8:9">
      <c r="H12945" s="1358"/>
      <c r="I12945" s="1358"/>
    </row>
    <row r="12946" spans="8:9">
      <c r="H12946" s="1358"/>
      <c r="I12946" s="1358"/>
    </row>
    <row r="12947" spans="8:9">
      <c r="H12947" s="1358"/>
      <c r="I12947" s="1358"/>
    </row>
    <row r="12948" spans="8:9">
      <c r="H12948" s="1358"/>
      <c r="I12948" s="1358"/>
    </row>
    <row r="12949" spans="8:9">
      <c r="H12949" s="1358"/>
      <c r="I12949" s="1358"/>
    </row>
    <row r="12950" spans="8:9">
      <c r="H12950" s="1358"/>
      <c r="I12950" s="1358"/>
    </row>
    <row r="12951" spans="8:9">
      <c r="H12951" s="1358"/>
      <c r="I12951" s="1358"/>
    </row>
    <row r="12952" spans="8:9">
      <c r="H12952" s="1358"/>
      <c r="I12952" s="1358"/>
    </row>
    <row r="12953" spans="8:9">
      <c r="H12953" s="1358"/>
      <c r="I12953" s="1358"/>
    </row>
    <row r="12954" spans="8:9">
      <c r="H12954" s="1358"/>
      <c r="I12954" s="1358"/>
    </row>
    <row r="12955" spans="8:9">
      <c r="H12955" s="1358"/>
      <c r="I12955" s="1358"/>
    </row>
    <row r="12956" spans="8:9">
      <c r="H12956" s="1358"/>
      <c r="I12956" s="1358"/>
    </row>
    <row r="12957" spans="8:9">
      <c r="H12957" s="1358"/>
      <c r="I12957" s="1358"/>
    </row>
    <row r="12958" spans="8:9">
      <c r="H12958" s="1358"/>
      <c r="I12958" s="1358"/>
    </row>
    <row r="12959" spans="8:9">
      <c r="H12959" s="1358"/>
      <c r="I12959" s="1358"/>
    </row>
    <row r="12960" spans="8:9">
      <c r="H12960" s="1358"/>
      <c r="I12960" s="1358"/>
    </row>
    <row r="12961" spans="8:9">
      <c r="H12961" s="1358"/>
      <c r="I12961" s="1358"/>
    </row>
    <row r="12962" spans="8:9">
      <c r="H12962" s="1358"/>
      <c r="I12962" s="1358"/>
    </row>
    <row r="12963" spans="8:9">
      <c r="H12963" s="1358"/>
      <c r="I12963" s="1358"/>
    </row>
    <row r="12964" spans="8:9">
      <c r="H12964" s="1358"/>
      <c r="I12964" s="1358"/>
    </row>
    <row r="12965" spans="8:9">
      <c r="H12965" s="1358"/>
      <c r="I12965" s="1358"/>
    </row>
    <row r="12966" spans="8:9">
      <c r="H12966" s="1358"/>
      <c r="I12966" s="1358"/>
    </row>
    <row r="12967" spans="8:9">
      <c r="H12967" s="1358"/>
      <c r="I12967" s="1358"/>
    </row>
    <row r="12968" spans="8:9">
      <c r="H12968" s="1358"/>
      <c r="I12968" s="1358"/>
    </row>
    <row r="12969" spans="8:9">
      <c r="H12969" s="1358"/>
      <c r="I12969" s="1358"/>
    </row>
    <row r="12970" spans="8:9">
      <c r="H12970" s="1358"/>
      <c r="I12970" s="1358"/>
    </row>
    <row r="12971" spans="8:9">
      <c r="H12971" s="1358"/>
      <c r="I12971" s="1358"/>
    </row>
    <row r="12972" spans="8:9">
      <c r="H12972" s="1358"/>
      <c r="I12972" s="1358"/>
    </row>
    <row r="12973" spans="8:9">
      <c r="H12973" s="1358"/>
      <c r="I12973" s="1358"/>
    </row>
    <row r="12974" spans="8:9">
      <c r="H12974" s="1358"/>
      <c r="I12974" s="1358"/>
    </row>
    <row r="12975" spans="8:9">
      <c r="H12975" s="1358"/>
      <c r="I12975" s="1358"/>
    </row>
    <row r="12976" spans="8:9">
      <c r="H12976" s="1358"/>
      <c r="I12976" s="1358"/>
    </row>
    <row r="12977" spans="8:9">
      <c r="H12977" s="1358"/>
      <c r="I12977" s="1358"/>
    </row>
    <row r="12978" spans="8:9">
      <c r="H12978" s="1358"/>
      <c r="I12978" s="1358"/>
    </row>
    <row r="12979" spans="8:9">
      <c r="H12979" s="1358"/>
      <c r="I12979" s="1358"/>
    </row>
    <row r="12980" spans="8:9">
      <c r="H12980" s="1358"/>
      <c r="I12980" s="1358"/>
    </row>
    <row r="12981" spans="8:9">
      <c r="H12981" s="1358"/>
      <c r="I12981" s="1358"/>
    </row>
    <row r="12982" spans="8:9">
      <c r="H12982" s="1358"/>
      <c r="I12982" s="1358"/>
    </row>
    <row r="12983" spans="8:9">
      <c r="H12983" s="1358"/>
      <c r="I12983" s="1358"/>
    </row>
    <row r="12984" spans="8:9">
      <c r="H12984" s="1358"/>
      <c r="I12984" s="1358"/>
    </row>
    <row r="12985" spans="8:9">
      <c r="H12985" s="1358"/>
      <c r="I12985" s="1358"/>
    </row>
    <row r="12986" spans="8:9">
      <c r="H12986" s="1358"/>
      <c r="I12986" s="1358"/>
    </row>
    <row r="12987" spans="8:9">
      <c r="H12987" s="1358"/>
      <c r="I12987" s="1358"/>
    </row>
    <row r="12988" spans="8:9">
      <c r="H12988" s="1358"/>
      <c r="I12988" s="1358"/>
    </row>
    <row r="12989" spans="8:9">
      <c r="H12989" s="1358"/>
      <c r="I12989" s="1358"/>
    </row>
    <row r="12990" spans="8:9">
      <c r="H12990" s="1358"/>
      <c r="I12990" s="1358"/>
    </row>
    <row r="12991" spans="8:9">
      <c r="H12991" s="1358"/>
      <c r="I12991" s="1358"/>
    </row>
    <row r="12992" spans="8:9">
      <c r="H12992" s="1358"/>
      <c r="I12992" s="1358"/>
    </row>
    <row r="12993" spans="8:9">
      <c r="H12993" s="1358"/>
      <c r="I12993" s="1358"/>
    </row>
    <row r="12994" spans="8:9">
      <c r="H12994" s="1358"/>
      <c r="I12994" s="1358"/>
    </row>
    <row r="12995" spans="8:9">
      <c r="H12995" s="1358"/>
      <c r="I12995" s="1358"/>
    </row>
    <row r="12996" spans="8:9">
      <c r="H12996" s="1358"/>
      <c r="I12996" s="1358"/>
    </row>
    <row r="12997" spans="8:9">
      <c r="H12997" s="1358"/>
      <c r="I12997" s="1358"/>
    </row>
    <row r="12998" spans="8:9">
      <c r="H12998" s="1358"/>
      <c r="I12998" s="1358"/>
    </row>
    <row r="12999" spans="8:9">
      <c r="H12999" s="1358"/>
      <c r="I12999" s="1358"/>
    </row>
    <row r="13000" spans="8:9">
      <c r="H13000" s="1358"/>
      <c r="I13000" s="1358"/>
    </row>
    <row r="13001" spans="8:9">
      <c r="H13001" s="1358"/>
      <c r="I13001" s="1358"/>
    </row>
    <row r="13002" spans="8:9">
      <c r="H13002" s="1358"/>
      <c r="I13002" s="1358"/>
    </row>
    <row r="13003" spans="8:9">
      <c r="H13003" s="1358"/>
      <c r="I13003" s="1358"/>
    </row>
    <row r="13004" spans="8:9">
      <c r="H13004" s="1358"/>
      <c r="I13004" s="1358"/>
    </row>
    <row r="13005" spans="8:9">
      <c r="H13005" s="1358"/>
      <c r="I13005" s="1358"/>
    </row>
    <row r="13006" spans="8:9">
      <c r="H13006" s="1358"/>
      <c r="I13006" s="1358"/>
    </row>
    <row r="13007" spans="8:9">
      <c r="H13007" s="1358"/>
      <c r="I13007" s="1358"/>
    </row>
    <row r="13008" spans="8:9">
      <c r="H13008" s="1358"/>
      <c r="I13008" s="1358"/>
    </row>
    <row r="13009" spans="8:9">
      <c r="H13009" s="1358"/>
      <c r="I13009" s="1358"/>
    </row>
    <row r="13010" spans="8:9">
      <c r="H13010" s="1358"/>
      <c r="I13010" s="1358"/>
    </row>
    <row r="13011" spans="8:9">
      <c r="H13011" s="1358"/>
      <c r="I13011" s="1358"/>
    </row>
    <row r="13012" spans="8:9">
      <c r="H13012" s="1358"/>
      <c r="I13012" s="1358"/>
    </row>
    <row r="13013" spans="8:9">
      <c r="H13013" s="1358"/>
      <c r="I13013" s="1358"/>
    </row>
    <row r="13014" spans="8:9">
      <c r="H13014" s="1358"/>
      <c r="I13014" s="1358"/>
    </row>
    <row r="13015" spans="8:9">
      <c r="H13015" s="1358"/>
      <c r="I13015" s="1358"/>
    </row>
    <row r="13016" spans="8:9">
      <c r="H13016" s="1358"/>
      <c r="I13016" s="1358"/>
    </row>
    <row r="13017" spans="8:9">
      <c r="H13017" s="1358"/>
      <c r="I13017" s="1358"/>
    </row>
    <row r="13018" spans="8:9">
      <c r="H13018" s="1358"/>
      <c r="I13018" s="1358"/>
    </row>
    <row r="13019" spans="8:9">
      <c r="H13019" s="1358"/>
      <c r="I13019" s="1358"/>
    </row>
    <row r="13020" spans="8:9">
      <c r="H13020" s="1358"/>
      <c r="I13020" s="1358"/>
    </row>
    <row r="13021" spans="8:9">
      <c r="H13021" s="1358"/>
      <c r="I13021" s="1358"/>
    </row>
    <row r="13022" spans="8:9">
      <c r="H13022" s="1358"/>
      <c r="I13022" s="1358"/>
    </row>
    <row r="13023" spans="8:9">
      <c r="H13023" s="1358"/>
      <c r="I13023" s="1358"/>
    </row>
    <row r="13024" spans="8:9">
      <c r="H13024" s="1358"/>
      <c r="I13024" s="1358"/>
    </row>
    <row r="13025" spans="8:9">
      <c r="H13025" s="1358"/>
      <c r="I13025" s="1358"/>
    </row>
    <row r="13026" spans="8:9">
      <c r="H13026" s="1358"/>
      <c r="I13026" s="1358"/>
    </row>
    <row r="13027" spans="8:9">
      <c r="H13027" s="1358"/>
      <c r="I13027" s="1358"/>
    </row>
    <row r="13028" spans="8:9">
      <c r="H13028" s="1358"/>
      <c r="I13028" s="1358"/>
    </row>
    <row r="13029" spans="8:9">
      <c r="H13029" s="1358"/>
      <c r="I13029" s="1358"/>
    </row>
    <row r="13030" spans="8:9">
      <c r="H13030" s="1358"/>
      <c r="I13030" s="1358"/>
    </row>
    <row r="13031" spans="8:9">
      <c r="H13031" s="1358"/>
      <c r="I13031" s="1358"/>
    </row>
    <row r="13032" spans="8:9">
      <c r="H13032" s="1358"/>
      <c r="I13032" s="1358"/>
    </row>
    <row r="13033" spans="8:9">
      <c r="H13033" s="1358"/>
      <c r="I13033" s="1358"/>
    </row>
    <row r="13034" spans="8:9">
      <c r="H13034" s="1358"/>
      <c r="I13034" s="1358"/>
    </row>
    <row r="13035" spans="8:9">
      <c r="H13035" s="1358"/>
      <c r="I13035" s="1358"/>
    </row>
    <row r="13036" spans="8:9">
      <c r="H13036" s="1358"/>
      <c r="I13036" s="1358"/>
    </row>
    <row r="13037" spans="8:9">
      <c r="H13037" s="1358"/>
      <c r="I13037" s="1358"/>
    </row>
    <row r="13038" spans="8:9">
      <c r="H13038" s="1358"/>
      <c r="I13038" s="1358"/>
    </row>
    <row r="13039" spans="8:9">
      <c r="H13039" s="1358"/>
      <c r="I13039" s="1358"/>
    </row>
    <row r="13040" spans="8:9">
      <c r="H13040" s="1358"/>
      <c r="I13040" s="1358"/>
    </row>
    <row r="13041" spans="8:9">
      <c r="H13041" s="1358"/>
      <c r="I13041" s="1358"/>
    </row>
    <row r="13042" spans="8:9">
      <c r="H13042" s="1358"/>
      <c r="I13042" s="1358"/>
    </row>
    <row r="13043" spans="8:9">
      <c r="H13043" s="1358"/>
      <c r="I13043" s="1358"/>
    </row>
    <row r="13044" spans="8:9">
      <c r="H13044" s="1358"/>
      <c r="I13044" s="1358"/>
    </row>
    <row r="13045" spans="8:9">
      <c r="H13045" s="1358"/>
      <c r="I13045" s="1358"/>
    </row>
    <row r="13046" spans="8:9">
      <c r="H13046" s="1358"/>
      <c r="I13046" s="1358"/>
    </row>
    <row r="13047" spans="8:9">
      <c r="H13047" s="1358"/>
      <c r="I13047" s="1358"/>
    </row>
    <row r="13048" spans="8:9">
      <c r="H13048" s="1358"/>
      <c r="I13048" s="1358"/>
    </row>
    <row r="13049" spans="8:9">
      <c r="H13049" s="1358"/>
      <c r="I13049" s="1358"/>
    </row>
    <row r="13050" spans="8:9">
      <c r="H13050" s="1358"/>
      <c r="I13050" s="1358"/>
    </row>
    <row r="13051" spans="8:9">
      <c r="H13051" s="1358"/>
      <c r="I13051" s="1358"/>
    </row>
    <row r="13052" spans="8:9">
      <c r="H13052" s="1358"/>
      <c r="I13052" s="1358"/>
    </row>
    <row r="13053" spans="8:9">
      <c r="H13053" s="1358"/>
      <c r="I13053" s="1358"/>
    </row>
    <row r="13054" spans="8:9">
      <c r="H13054" s="1358"/>
      <c r="I13054" s="1358"/>
    </row>
    <row r="13055" spans="8:9">
      <c r="H13055" s="1358"/>
      <c r="I13055" s="1358"/>
    </row>
    <row r="13056" spans="8:9">
      <c r="H13056" s="1358"/>
      <c r="I13056" s="1358"/>
    </row>
    <row r="13057" spans="8:9">
      <c r="H13057" s="1358"/>
      <c r="I13057" s="1358"/>
    </row>
    <row r="13058" spans="8:9">
      <c r="H13058" s="1358"/>
      <c r="I13058" s="1358"/>
    </row>
    <row r="13059" spans="8:9">
      <c r="H13059" s="1358"/>
      <c r="I13059" s="1358"/>
    </row>
    <row r="13060" spans="8:9">
      <c r="H13060" s="1358"/>
      <c r="I13060" s="1358"/>
    </row>
    <row r="13061" spans="8:9">
      <c r="H13061" s="1358"/>
      <c r="I13061" s="1358"/>
    </row>
    <row r="13062" spans="8:9">
      <c r="H13062" s="1358"/>
      <c r="I13062" s="1358"/>
    </row>
    <row r="13063" spans="8:9">
      <c r="H13063" s="1358"/>
      <c r="I13063" s="1358"/>
    </row>
    <row r="13064" spans="8:9">
      <c r="H13064" s="1358"/>
      <c r="I13064" s="1358"/>
    </row>
    <row r="13065" spans="8:9">
      <c r="H13065" s="1358"/>
      <c r="I13065" s="1358"/>
    </row>
    <row r="13066" spans="8:9">
      <c r="H13066" s="1358"/>
      <c r="I13066" s="1358"/>
    </row>
    <row r="13067" spans="8:9">
      <c r="H13067" s="1358"/>
      <c r="I13067" s="1358"/>
    </row>
    <row r="13068" spans="8:9">
      <c r="H13068" s="1358"/>
      <c r="I13068" s="1358"/>
    </row>
    <row r="13069" spans="8:9">
      <c r="H13069" s="1358"/>
      <c r="I13069" s="1358"/>
    </row>
    <row r="13070" spans="8:9">
      <c r="H13070" s="1358"/>
      <c r="I13070" s="1358"/>
    </row>
    <row r="13071" spans="8:9">
      <c r="H13071" s="1358"/>
      <c r="I13071" s="1358"/>
    </row>
    <row r="13072" spans="8:9">
      <c r="H13072" s="1358"/>
      <c r="I13072" s="1358"/>
    </row>
    <row r="13073" spans="8:9">
      <c r="H13073" s="1358"/>
      <c r="I13073" s="1358"/>
    </row>
    <row r="13074" spans="8:9">
      <c r="H13074" s="1358"/>
      <c r="I13074" s="1358"/>
    </row>
    <row r="13075" spans="8:9">
      <c r="H13075" s="1358"/>
      <c r="I13075" s="1358"/>
    </row>
    <row r="13076" spans="8:9">
      <c r="H13076" s="1358"/>
      <c r="I13076" s="1358"/>
    </row>
    <row r="13077" spans="8:9">
      <c r="H13077" s="1358"/>
      <c r="I13077" s="1358"/>
    </row>
    <row r="13078" spans="8:9">
      <c r="H13078" s="1358"/>
      <c r="I13078" s="1358"/>
    </row>
    <row r="13079" spans="8:9">
      <c r="H13079" s="1358"/>
      <c r="I13079" s="1358"/>
    </row>
    <row r="13080" spans="8:9">
      <c r="H13080" s="1358"/>
      <c r="I13080" s="1358"/>
    </row>
    <row r="13081" spans="8:9">
      <c r="H13081" s="1358"/>
      <c r="I13081" s="1358"/>
    </row>
    <row r="13082" spans="8:9">
      <c r="H13082" s="1358"/>
      <c r="I13082" s="1358"/>
    </row>
    <row r="13083" spans="8:9">
      <c r="H13083" s="1358"/>
      <c r="I13083" s="1358"/>
    </row>
    <row r="13084" spans="8:9">
      <c r="H13084" s="1358"/>
      <c r="I13084" s="1358"/>
    </row>
    <row r="13085" spans="8:9">
      <c r="H13085" s="1358"/>
      <c r="I13085" s="1358"/>
    </row>
    <row r="13086" spans="8:9">
      <c r="H13086" s="1358"/>
      <c r="I13086" s="1358"/>
    </row>
    <row r="13087" spans="8:9">
      <c r="H13087" s="1358"/>
      <c r="I13087" s="1358"/>
    </row>
    <row r="13088" spans="8:9">
      <c r="H13088" s="1358"/>
      <c r="I13088" s="1358"/>
    </row>
    <row r="13089" spans="8:9">
      <c r="H13089" s="1358"/>
      <c r="I13089" s="1358"/>
    </row>
    <row r="13090" spans="8:9">
      <c r="H13090" s="1358"/>
      <c r="I13090" s="1358"/>
    </row>
    <row r="13091" spans="8:9">
      <c r="H13091" s="1358"/>
      <c r="I13091" s="1358"/>
    </row>
    <row r="13092" spans="8:9">
      <c r="H13092" s="1358"/>
      <c r="I13092" s="1358"/>
    </row>
    <row r="13093" spans="8:9">
      <c r="H13093" s="1358"/>
      <c r="I13093" s="1358"/>
    </row>
    <row r="13094" spans="8:9">
      <c r="H13094" s="1358"/>
      <c r="I13094" s="1358"/>
    </row>
    <row r="13095" spans="8:9">
      <c r="H13095" s="1358"/>
      <c r="I13095" s="1358"/>
    </row>
    <row r="13096" spans="8:9">
      <c r="H13096" s="1358"/>
      <c r="I13096" s="1358"/>
    </row>
    <row r="13097" spans="8:9">
      <c r="H13097" s="1358"/>
      <c r="I13097" s="1358"/>
    </row>
    <row r="13098" spans="8:9">
      <c r="H13098" s="1358"/>
      <c r="I13098" s="1358"/>
    </row>
    <row r="13099" spans="8:9">
      <c r="H13099" s="1358"/>
      <c r="I13099" s="1358"/>
    </row>
    <row r="13100" spans="8:9">
      <c r="H13100" s="1358"/>
      <c r="I13100" s="1358"/>
    </row>
    <row r="13101" spans="8:9">
      <c r="H13101" s="1358"/>
      <c r="I13101" s="1358"/>
    </row>
    <row r="13102" spans="8:9">
      <c r="H13102" s="1358"/>
      <c r="I13102" s="1358"/>
    </row>
    <row r="13103" spans="8:9">
      <c r="H13103" s="1358"/>
      <c r="I13103" s="1358"/>
    </row>
    <row r="13104" spans="8:9">
      <c r="H13104" s="1358"/>
      <c r="I13104" s="1358"/>
    </row>
    <row r="13105" spans="8:9">
      <c r="H13105" s="1358"/>
      <c r="I13105" s="1358"/>
    </row>
    <row r="13106" spans="8:9">
      <c r="H13106" s="1358"/>
      <c r="I13106" s="1358"/>
    </row>
    <row r="13107" spans="8:9">
      <c r="H13107" s="1358"/>
      <c r="I13107" s="1358"/>
    </row>
    <row r="13108" spans="8:9">
      <c r="H13108" s="1358"/>
      <c r="I13108" s="1358"/>
    </row>
    <row r="13109" spans="8:9">
      <c r="H13109" s="1358"/>
      <c r="I13109" s="1358"/>
    </row>
    <row r="13110" spans="8:9">
      <c r="H13110" s="1358"/>
      <c r="I13110" s="1358"/>
    </row>
    <row r="13111" spans="8:9">
      <c r="H13111" s="1358"/>
      <c r="I13111" s="1358"/>
    </row>
    <row r="13112" spans="8:9">
      <c r="H13112" s="1358"/>
      <c r="I13112" s="1358"/>
    </row>
    <row r="13113" spans="8:9">
      <c r="H13113" s="1358"/>
      <c r="I13113" s="1358"/>
    </row>
    <row r="13114" spans="8:9">
      <c r="H13114" s="1358"/>
      <c r="I13114" s="1358"/>
    </row>
    <row r="13115" spans="8:9">
      <c r="H13115" s="1358"/>
      <c r="I13115" s="1358"/>
    </row>
    <row r="13116" spans="8:9">
      <c r="H13116" s="1358"/>
      <c r="I13116" s="1358"/>
    </row>
    <row r="13117" spans="8:9">
      <c r="H13117" s="1358"/>
      <c r="I13117" s="1358"/>
    </row>
    <row r="13118" spans="8:9">
      <c r="H13118" s="1358"/>
      <c r="I13118" s="1358"/>
    </row>
    <row r="13119" spans="8:9">
      <c r="H13119" s="1358"/>
      <c r="I13119" s="1358"/>
    </row>
    <row r="13120" spans="8:9">
      <c r="H13120" s="1358"/>
      <c r="I13120" s="1358"/>
    </row>
    <row r="13121" spans="8:9">
      <c r="H13121" s="1358"/>
      <c r="I13121" s="1358"/>
    </row>
    <row r="13122" spans="8:9">
      <c r="H13122" s="1358"/>
      <c r="I13122" s="1358"/>
    </row>
    <row r="13123" spans="8:9">
      <c r="H13123" s="1358"/>
      <c r="I13123" s="1358"/>
    </row>
    <row r="13124" spans="8:9">
      <c r="H13124" s="1358"/>
      <c r="I13124" s="1358"/>
    </row>
    <row r="13125" spans="8:9">
      <c r="H13125" s="1358"/>
      <c r="I13125" s="1358"/>
    </row>
    <row r="13126" spans="8:9">
      <c r="H13126" s="1358"/>
      <c r="I13126" s="1358"/>
    </row>
    <row r="13127" spans="8:9">
      <c r="H13127" s="1358"/>
      <c r="I13127" s="1358"/>
    </row>
    <row r="13128" spans="8:9">
      <c r="H13128" s="1358"/>
      <c r="I13128" s="1358"/>
    </row>
    <row r="13129" spans="8:9">
      <c r="H13129" s="1358"/>
      <c r="I13129" s="1358"/>
    </row>
    <row r="13130" spans="8:9">
      <c r="H13130" s="1358"/>
      <c r="I13130" s="1358"/>
    </row>
    <row r="13131" spans="8:9">
      <c r="H13131" s="1358"/>
      <c r="I13131" s="1358"/>
    </row>
    <row r="13132" spans="8:9">
      <c r="H13132" s="1358"/>
      <c r="I13132" s="1358"/>
    </row>
    <row r="13133" spans="8:9">
      <c r="H13133" s="1358"/>
      <c r="I13133" s="1358"/>
    </row>
    <row r="13134" spans="8:9">
      <c r="H13134" s="1358"/>
      <c r="I13134" s="1358"/>
    </row>
    <row r="13135" spans="8:9">
      <c r="H13135" s="1358"/>
      <c r="I13135" s="1358"/>
    </row>
    <row r="13136" spans="8:9">
      <c r="H13136" s="1358"/>
      <c r="I13136" s="1358"/>
    </row>
    <row r="13137" spans="8:9">
      <c r="H13137" s="1358"/>
      <c r="I13137" s="1358"/>
    </row>
    <row r="13138" spans="8:9">
      <c r="H13138" s="1358"/>
      <c r="I13138" s="1358"/>
    </row>
    <row r="13139" spans="8:9">
      <c r="H13139" s="1358"/>
      <c r="I13139" s="1358"/>
    </row>
    <row r="13140" spans="8:9">
      <c r="H13140" s="1358"/>
      <c r="I13140" s="1358"/>
    </row>
    <row r="13141" spans="8:9">
      <c r="H13141" s="1358"/>
      <c r="I13141" s="1358"/>
    </row>
    <row r="13142" spans="8:9">
      <c r="H13142" s="1358"/>
      <c r="I13142" s="1358"/>
    </row>
    <row r="13143" spans="8:9">
      <c r="H13143" s="1358"/>
      <c r="I13143" s="1358"/>
    </row>
    <row r="13144" spans="8:9">
      <c r="H13144" s="1358"/>
      <c r="I13144" s="1358"/>
    </row>
    <row r="13145" spans="8:9">
      <c r="H13145" s="1358"/>
      <c r="I13145" s="1358"/>
    </row>
    <row r="13146" spans="8:9">
      <c r="H13146" s="1358"/>
      <c r="I13146" s="1358"/>
    </row>
    <row r="13147" spans="8:9">
      <c r="H13147" s="1358"/>
      <c r="I13147" s="1358"/>
    </row>
    <row r="13148" spans="8:9">
      <c r="H13148" s="1358"/>
      <c r="I13148" s="1358"/>
    </row>
    <row r="13149" spans="8:9">
      <c r="H13149" s="1358"/>
      <c r="I13149" s="1358"/>
    </row>
    <row r="13150" spans="8:9">
      <c r="H13150" s="1358"/>
      <c r="I13150" s="1358"/>
    </row>
    <row r="13151" spans="8:9">
      <c r="H13151" s="1358"/>
      <c r="I13151" s="1358"/>
    </row>
    <row r="13152" spans="8:9">
      <c r="H13152" s="1358"/>
      <c r="I13152" s="1358"/>
    </row>
    <row r="13153" spans="8:9">
      <c r="H13153" s="1358"/>
      <c r="I13153" s="1358"/>
    </row>
    <row r="13154" spans="8:9">
      <c r="H13154" s="1358"/>
      <c r="I13154" s="1358"/>
    </row>
    <row r="13155" spans="8:9">
      <c r="H13155" s="1358"/>
      <c r="I13155" s="1358"/>
    </row>
    <row r="13156" spans="8:9">
      <c r="H13156" s="1358"/>
      <c r="I13156" s="1358"/>
    </row>
    <row r="13157" spans="8:9">
      <c r="H13157" s="1358"/>
      <c r="I13157" s="1358"/>
    </row>
    <row r="13158" spans="8:9">
      <c r="H13158" s="1358"/>
      <c r="I13158" s="1358"/>
    </row>
    <row r="13159" spans="8:9">
      <c r="H13159" s="1358"/>
      <c r="I13159" s="1358"/>
    </row>
    <row r="13160" spans="8:9">
      <c r="H13160" s="1358"/>
      <c r="I13160" s="1358"/>
    </row>
    <row r="13161" spans="8:9">
      <c r="H13161" s="1358"/>
      <c r="I13161" s="1358"/>
    </row>
    <row r="13162" spans="8:9">
      <c r="H13162" s="1358"/>
      <c r="I13162" s="1358"/>
    </row>
    <row r="13163" spans="8:9">
      <c r="H13163" s="1358"/>
      <c r="I13163" s="1358"/>
    </row>
    <row r="13164" spans="8:9">
      <c r="H13164" s="1358"/>
      <c r="I13164" s="1358"/>
    </row>
    <row r="13165" spans="8:9">
      <c r="H13165" s="1358"/>
      <c r="I13165" s="1358"/>
    </row>
    <row r="13166" spans="8:9">
      <c r="H13166" s="1358"/>
      <c r="I13166" s="1358"/>
    </row>
    <row r="13167" spans="8:9">
      <c r="H13167" s="1358"/>
      <c r="I13167" s="1358"/>
    </row>
    <row r="13168" spans="8:9">
      <c r="H13168" s="1358"/>
      <c r="I13168" s="1358"/>
    </row>
    <row r="13169" spans="8:9">
      <c r="H13169" s="1358"/>
      <c r="I13169" s="1358"/>
    </row>
    <row r="13170" spans="8:9">
      <c r="H13170" s="1358"/>
      <c r="I13170" s="1358"/>
    </row>
    <row r="13171" spans="8:9">
      <c r="H13171" s="1358"/>
      <c r="I13171" s="1358"/>
    </row>
    <row r="13172" spans="8:9">
      <c r="H13172" s="1358"/>
      <c r="I13172" s="1358"/>
    </row>
    <row r="13173" spans="8:9">
      <c r="H13173" s="1358"/>
      <c r="I13173" s="1358"/>
    </row>
    <row r="13174" spans="8:9">
      <c r="H13174" s="1358"/>
      <c r="I13174" s="1358"/>
    </row>
    <row r="13175" spans="8:9">
      <c r="H13175" s="1358"/>
      <c r="I13175" s="1358"/>
    </row>
    <row r="13176" spans="8:9">
      <c r="H13176" s="1358"/>
      <c r="I13176" s="1358"/>
    </row>
    <row r="13177" spans="8:9">
      <c r="H13177" s="1358"/>
      <c r="I13177" s="1358"/>
    </row>
    <row r="13178" spans="8:9">
      <c r="H13178" s="1358"/>
      <c r="I13178" s="1358"/>
    </row>
    <row r="13179" spans="8:9">
      <c r="H13179" s="1358"/>
      <c r="I13179" s="1358"/>
    </row>
    <row r="13180" spans="8:9">
      <c r="H13180" s="1358"/>
      <c r="I13180" s="1358"/>
    </row>
    <row r="13181" spans="8:9">
      <c r="H13181" s="1358"/>
      <c r="I13181" s="1358"/>
    </row>
    <row r="13182" spans="8:9">
      <c r="H13182" s="1358"/>
      <c r="I13182" s="1358"/>
    </row>
    <row r="13183" spans="8:9">
      <c r="H13183" s="1358"/>
      <c r="I13183" s="1358"/>
    </row>
    <row r="13184" spans="8:9">
      <c r="H13184" s="1358"/>
      <c r="I13184" s="1358"/>
    </row>
    <row r="13185" spans="8:9">
      <c r="H13185" s="1358"/>
      <c r="I13185" s="1358"/>
    </row>
    <row r="13186" spans="8:9">
      <c r="H13186" s="1358"/>
      <c r="I13186" s="1358"/>
    </row>
    <row r="13187" spans="8:9">
      <c r="H13187" s="1358"/>
      <c r="I13187" s="1358"/>
    </row>
    <row r="13188" spans="8:9">
      <c r="H13188" s="1358"/>
      <c r="I13188" s="1358"/>
    </row>
    <row r="13189" spans="8:9">
      <c r="H13189" s="1358"/>
      <c r="I13189" s="1358"/>
    </row>
    <row r="13190" spans="8:9">
      <c r="H13190" s="1358"/>
      <c r="I13190" s="1358"/>
    </row>
    <row r="13191" spans="8:9">
      <c r="H13191" s="1358"/>
      <c r="I13191" s="1358"/>
    </row>
    <row r="13192" spans="8:9">
      <c r="H13192" s="1358"/>
      <c r="I13192" s="1358"/>
    </row>
    <row r="13193" spans="8:9">
      <c r="H13193" s="1358"/>
      <c r="I13193" s="1358"/>
    </row>
    <row r="13194" spans="8:9">
      <c r="H13194" s="1358"/>
      <c r="I13194" s="1358"/>
    </row>
    <row r="13195" spans="8:9">
      <c r="H13195" s="1358"/>
      <c r="I13195" s="1358"/>
    </row>
    <row r="13196" spans="8:9">
      <c r="H13196" s="1358"/>
      <c r="I13196" s="1358"/>
    </row>
    <row r="13197" spans="8:9">
      <c r="H13197" s="1358"/>
      <c r="I13197" s="1358"/>
    </row>
    <row r="13198" spans="8:9">
      <c r="H13198" s="1358"/>
      <c r="I13198" s="1358"/>
    </row>
    <row r="13199" spans="8:9">
      <c r="H13199" s="1358"/>
      <c r="I13199" s="1358"/>
    </row>
    <row r="13200" spans="8:9">
      <c r="H13200" s="1358"/>
      <c r="I13200" s="1358"/>
    </row>
    <row r="13201" spans="8:9">
      <c r="H13201" s="1358"/>
      <c r="I13201" s="1358"/>
    </row>
    <row r="13202" spans="8:9">
      <c r="H13202" s="1358"/>
      <c r="I13202" s="1358"/>
    </row>
    <row r="13203" spans="8:9">
      <c r="H13203" s="1358"/>
      <c r="I13203" s="1358"/>
    </row>
    <row r="13204" spans="8:9">
      <c r="H13204" s="1358"/>
      <c r="I13204" s="1358"/>
    </row>
    <row r="13205" spans="8:9">
      <c r="H13205" s="1358"/>
      <c r="I13205" s="1358"/>
    </row>
    <row r="13206" spans="8:9">
      <c r="H13206" s="1358"/>
      <c r="I13206" s="1358"/>
    </row>
    <row r="13207" spans="8:9">
      <c r="H13207" s="1358"/>
      <c r="I13207" s="1358"/>
    </row>
    <row r="13208" spans="8:9">
      <c r="H13208" s="1358"/>
      <c r="I13208" s="1358"/>
    </row>
    <row r="13209" spans="8:9">
      <c r="H13209" s="1358"/>
      <c r="I13209" s="1358"/>
    </row>
    <row r="13210" spans="8:9">
      <c r="H13210" s="1358"/>
      <c r="I13210" s="1358"/>
    </row>
    <row r="13211" spans="8:9">
      <c r="H13211" s="1358"/>
      <c r="I13211" s="1358"/>
    </row>
    <row r="13212" spans="8:9">
      <c r="H13212" s="1358"/>
      <c r="I13212" s="1358"/>
    </row>
    <row r="13213" spans="8:9">
      <c r="H13213" s="1358"/>
      <c r="I13213" s="1358"/>
    </row>
    <row r="13214" spans="8:9">
      <c r="H13214" s="1358"/>
      <c r="I13214" s="1358"/>
    </row>
    <row r="13215" spans="8:9">
      <c r="H13215" s="1358"/>
      <c r="I13215" s="1358"/>
    </row>
    <row r="13216" spans="8:9">
      <c r="H13216" s="1358"/>
      <c r="I13216" s="1358"/>
    </row>
    <row r="13217" spans="8:9">
      <c r="H13217" s="1358"/>
      <c r="I13217" s="1358"/>
    </row>
    <row r="13218" spans="8:9">
      <c r="H13218" s="1358"/>
      <c r="I13218" s="1358"/>
    </row>
    <row r="13219" spans="8:9">
      <c r="H13219" s="1358"/>
      <c r="I13219" s="1358"/>
    </row>
    <row r="13220" spans="8:9">
      <c r="H13220" s="1358"/>
      <c r="I13220" s="1358"/>
    </row>
    <row r="13221" spans="8:9">
      <c r="H13221" s="1358"/>
      <c r="I13221" s="1358"/>
    </row>
    <row r="13222" spans="8:9">
      <c r="H13222" s="1358"/>
      <c r="I13222" s="1358"/>
    </row>
    <row r="13223" spans="8:9">
      <c r="H13223" s="1358"/>
      <c r="I13223" s="1358"/>
    </row>
    <row r="13224" spans="8:9">
      <c r="H13224" s="1358"/>
      <c r="I13224" s="1358"/>
    </row>
    <row r="13225" spans="8:9">
      <c r="H13225" s="1358"/>
      <c r="I13225" s="1358"/>
    </row>
    <row r="13226" spans="8:9">
      <c r="H13226" s="1358"/>
      <c r="I13226" s="1358"/>
    </row>
    <row r="13227" spans="8:9">
      <c r="H13227" s="1358"/>
      <c r="I13227" s="1358"/>
    </row>
    <row r="13228" spans="8:9">
      <c r="H13228" s="1358"/>
      <c r="I13228" s="1358"/>
    </row>
    <row r="13229" spans="8:9">
      <c r="H13229" s="1358"/>
      <c r="I13229" s="1358"/>
    </row>
    <row r="13230" spans="8:9">
      <c r="H13230" s="1358"/>
      <c r="I13230" s="1358"/>
    </row>
    <row r="13231" spans="8:9">
      <c r="H13231" s="1358"/>
      <c r="I13231" s="1358"/>
    </row>
    <row r="13232" spans="8:9">
      <c r="H13232" s="1358"/>
      <c r="I13232" s="1358"/>
    </row>
    <row r="13233" spans="8:9">
      <c r="H13233" s="1358"/>
      <c r="I13233" s="1358"/>
    </row>
    <row r="13234" spans="8:9">
      <c r="H13234" s="1358"/>
      <c r="I13234" s="1358"/>
    </row>
    <row r="13235" spans="8:9">
      <c r="H13235" s="1358"/>
      <c r="I13235" s="1358"/>
    </row>
    <row r="13236" spans="8:9">
      <c r="H13236" s="1358"/>
      <c r="I13236" s="1358"/>
    </row>
    <row r="13237" spans="8:9">
      <c r="H13237" s="1358"/>
      <c r="I13237" s="1358"/>
    </row>
    <row r="13238" spans="8:9">
      <c r="H13238" s="1358"/>
      <c r="I13238" s="1358"/>
    </row>
    <row r="13239" spans="8:9">
      <c r="H13239" s="1358"/>
      <c r="I13239" s="1358"/>
    </row>
    <row r="13240" spans="8:9">
      <c r="H13240" s="1358"/>
      <c r="I13240" s="1358"/>
    </row>
    <row r="13241" spans="8:9">
      <c r="H13241" s="1358"/>
      <c r="I13241" s="1358"/>
    </row>
    <row r="13242" spans="8:9">
      <c r="H13242" s="1358"/>
      <c r="I13242" s="1358"/>
    </row>
    <row r="13243" spans="8:9">
      <c r="H13243" s="1358"/>
      <c r="I13243" s="1358"/>
    </row>
    <row r="13244" spans="8:9">
      <c r="H13244" s="1358"/>
      <c r="I13244" s="1358"/>
    </row>
    <row r="13245" spans="8:9">
      <c r="H13245" s="1358"/>
      <c r="I13245" s="1358"/>
    </row>
    <row r="13246" spans="8:9">
      <c r="H13246" s="1358"/>
      <c r="I13246" s="1358"/>
    </row>
    <row r="13247" spans="8:9">
      <c r="H13247" s="1358"/>
      <c r="I13247" s="1358"/>
    </row>
    <row r="13248" spans="8:9">
      <c r="H13248" s="1358"/>
      <c r="I13248" s="1358"/>
    </row>
    <row r="13249" spans="8:9">
      <c r="H13249" s="1358"/>
      <c r="I13249" s="1358"/>
    </row>
    <row r="13250" spans="8:9">
      <c r="H13250" s="1358"/>
      <c r="I13250" s="1358"/>
    </row>
    <row r="13251" spans="8:9">
      <c r="H13251" s="1358"/>
      <c r="I13251" s="1358"/>
    </row>
    <row r="13252" spans="8:9">
      <c r="H13252" s="1358"/>
      <c r="I13252" s="1358"/>
    </row>
    <row r="13253" spans="8:9">
      <c r="H13253" s="1358"/>
      <c r="I13253" s="1358"/>
    </row>
    <row r="13254" spans="8:9">
      <c r="H13254" s="1358"/>
      <c r="I13254" s="1358"/>
    </row>
    <row r="13255" spans="8:9">
      <c r="H13255" s="1358"/>
      <c r="I13255" s="1358"/>
    </row>
    <row r="13256" spans="8:9">
      <c r="H13256" s="1358"/>
      <c r="I13256" s="1358"/>
    </row>
    <row r="13257" spans="8:9">
      <c r="H13257" s="1358"/>
      <c r="I13257" s="1358"/>
    </row>
    <row r="13258" spans="8:9">
      <c r="H13258" s="1358"/>
      <c r="I13258" s="1358"/>
    </row>
    <row r="13259" spans="8:9">
      <c r="H13259" s="1358"/>
      <c r="I13259" s="1358"/>
    </row>
    <row r="13260" spans="8:9">
      <c r="H13260" s="1358"/>
      <c r="I13260" s="1358"/>
    </row>
    <row r="13261" spans="8:9">
      <c r="H13261" s="1358"/>
      <c r="I13261" s="1358"/>
    </row>
    <row r="13262" spans="8:9">
      <c r="H13262" s="1358"/>
      <c r="I13262" s="1358"/>
    </row>
    <row r="13263" spans="8:9">
      <c r="H13263" s="1358"/>
      <c r="I13263" s="1358"/>
    </row>
    <row r="13264" spans="8:9">
      <c r="H13264" s="1358"/>
      <c r="I13264" s="1358"/>
    </row>
    <row r="13265" spans="8:9">
      <c r="H13265" s="1358"/>
      <c r="I13265" s="1358"/>
    </row>
    <row r="13266" spans="8:9">
      <c r="H13266" s="1358"/>
      <c r="I13266" s="1358"/>
    </row>
    <row r="13267" spans="8:9">
      <c r="H13267" s="1358"/>
      <c r="I13267" s="1358"/>
    </row>
    <row r="13268" spans="8:9">
      <c r="H13268" s="1358"/>
      <c r="I13268" s="1358"/>
    </row>
    <row r="13269" spans="8:9">
      <c r="H13269" s="1358"/>
      <c r="I13269" s="1358"/>
    </row>
    <row r="13270" spans="8:9">
      <c r="H13270" s="1358"/>
      <c r="I13270" s="1358"/>
    </row>
    <row r="13271" spans="8:9">
      <c r="H13271" s="1358"/>
      <c r="I13271" s="1358"/>
    </row>
    <row r="13272" spans="8:9">
      <c r="H13272" s="1358"/>
      <c r="I13272" s="1358"/>
    </row>
    <row r="13273" spans="8:9">
      <c r="H13273" s="1358"/>
      <c r="I13273" s="1358"/>
    </row>
    <row r="13274" spans="8:9">
      <c r="H13274" s="1358"/>
      <c r="I13274" s="1358"/>
    </row>
    <row r="13275" spans="8:9">
      <c r="H13275" s="1358"/>
      <c r="I13275" s="1358"/>
    </row>
    <row r="13276" spans="8:9">
      <c r="H13276" s="1358"/>
      <c r="I13276" s="1358"/>
    </row>
    <row r="13277" spans="8:9">
      <c r="H13277" s="1358"/>
      <c r="I13277" s="1358"/>
    </row>
    <row r="13278" spans="8:9">
      <c r="H13278" s="1358"/>
      <c r="I13278" s="1358"/>
    </row>
    <row r="13279" spans="8:9">
      <c r="H13279" s="1358"/>
      <c r="I13279" s="1358"/>
    </row>
    <row r="13280" spans="8:9">
      <c r="H13280" s="1358"/>
      <c r="I13280" s="1358"/>
    </row>
    <row r="13281" spans="8:9">
      <c r="H13281" s="1358"/>
      <c r="I13281" s="1358"/>
    </row>
    <row r="13282" spans="8:9">
      <c r="H13282" s="1358"/>
      <c r="I13282" s="1358"/>
    </row>
    <row r="13283" spans="8:9">
      <c r="H13283" s="1358"/>
      <c r="I13283" s="1358"/>
    </row>
    <row r="13284" spans="8:9">
      <c r="H13284" s="1358"/>
      <c r="I13284" s="1358"/>
    </row>
    <row r="13285" spans="8:9">
      <c r="H13285" s="1358"/>
      <c r="I13285" s="1358"/>
    </row>
    <row r="13286" spans="8:9">
      <c r="H13286" s="1358"/>
      <c r="I13286" s="1358"/>
    </row>
    <row r="13287" spans="8:9">
      <c r="H13287" s="1358"/>
      <c r="I13287" s="1358"/>
    </row>
    <row r="13288" spans="8:9">
      <c r="H13288" s="1358"/>
      <c r="I13288" s="1358"/>
    </row>
    <row r="13289" spans="8:9">
      <c r="H13289" s="1358"/>
      <c r="I13289" s="1358"/>
    </row>
    <row r="13290" spans="8:9">
      <c r="H13290" s="1358"/>
      <c r="I13290" s="1358"/>
    </row>
    <row r="13291" spans="8:9">
      <c r="H13291" s="1358"/>
      <c r="I13291" s="1358"/>
    </row>
    <row r="13292" spans="8:9">
      <c r="H13292" s="1358"/>
      <c r="I13292" s="1358"/>
    </row>
    <row r="13293" spans="8:9">
      <c r="H13293" s="1358"/>
      <c r="I13293" s="1358"/>
    </row>
    <row r="13294" spans="8:9">
      <c r="H13294" s="1358"/>
      <c r="I13294" s="1358"/>
    </row>
    <row r="13295" spans="8:9">
      <c r="H13295" s="1358"/>
      <c r="I13295" s="1358"/>
    </row>
    <row r="13296" spans="8:9">
      <c r="H13296" s="1358"/>
      <c r="I13296" s="1358"/>
    </row>
    <row r="13297" spans="8:9">
      <c r="H13297" s="1358"/>
      <c r="I13297" s="1358"/>
    </row>
    <row r="13298" spans="8:9">
      <c r="H13298" s="1358"/>
      <c r="I13298" s="1358"/>
    </row>
    <row r="13299" spans="8:9">
      <c r="H13299" s="1358"/>
      <c r="I13299" s="1358"/>
    </row>
    <row r="13300" spans="8:9">
      <c r="H13300" s="1358"/>
      <c r="I13300" s="1358"/>
    </row>
    <row r="13301" spans="8:9">
      <c r="H13301" s="1358"/>
      <c r="I13301" s="1358"/>
    </row>
    <row r="13302" spans="8:9">
      <c r="H13302" s="1358"/>
      <c r="I13302" s="1358"/>
    </row>
    <row r="13303" spans="8:9">
      <c r="H13303" s="1358"/>
      <c r="I13303" s="1358"/>
    </row>
    <row r="13304" spans="8:9">
      <c r="H13304" s="1358"/>
      <c r="I13304" s="1358"/>
    </row>
    <row r="13305" spans="8:9">
      <c r="H13305" s="1358"/>
      <c r="I13305" s="1358"/>
    </row>
    <row r="13306" spans="8:9">
      <c r="H13306" s="1358"/>
      <c r="I13306" s="1358"/>
    </row>
    <row r="13307" spans="8:9">
      <c r="H13307" s="1358"/>
      <c r="I13307" s="1358"/>
    </row>
    <row r="13308" spans="8:9">
      <c r="H13308" s="1358"/>
      <c r="I13308" s="1358"/>
    </row>
    <row r="13309" spans="8:9">
      <c r="H13309" s="1358"/>
      <c r="I13309" s="1358"/>
    </row>
    <row r="13310" spans="8:9">
      <c r="H13310" s="1358"/>
      <c r="I13310" s="1358"/>
    </row>
    <row r="13311" spans="8:9">
      <c r="H13311" s="1358"/>
      <c r="I13311" s="1358"/>
    </row>
    <row r="13312" spans="8:9">
      <c r="H13312" s="1358"/>
      <c r="I13312" s="1358"/>
    </row>
    <row r="13313" spans="8:9">
      <c r="H13313" s="1358"/>
      <c r="I13313" s="1358"/>
    </row>
    <row r="13314" spans="8:9">
      <c r="H13314" s="1358"/>
      <c r="I13314" s="1358"/>
    </row>
    <row r="13315" spans="8:9">
      <c r="H13315" s="1358"/>
      <c r="I13315" s="1358"/>
    </row>
    <row r="13316" spans="8:9">
      <c r="H13316" s="1358"/>
      <c r="I13316" s="1358"/>
    </row>
    <row r="13317" spans="8:9">
      <c r="H13317" s="1358"/>
      <c r="I13317" s="1358"/>
    </row>
    <row r="13318" spans="8:9">
      <c r="H13318" s="1358"/>
      <c r="I13318" s="1358"/>
    </row>
    <row r="13319" spans="8:9">
      <c r="H13319" s="1358"/>
      <c r="I13319" s="1358"/>
    </row>
    <row r="13320" spans="8:9">
      <c r="H13320" s="1358"/>
      <c r="I13320" s="1358"/>
    </row>
    <row r="13321" spans="8:9">
      <c r="H13321" s="1358"/>
      <c r="I13321" s="1358"/>
    </row>
    <row r="13322" spans="8:9">
      <c r="H13322" s="1358"/>
      <c r="I13322" s="1358"/>
    </row>
    <row r="13323" spans="8:9">
      <c r="H13323" s="1358"/>
      <c r="I13323" s="1358"/>
    </row>
    <row r="13324" spans="8:9">
      <c r="H13324" s="1358"/>
      <c r="I13324" s="1358"/>
    </row>
    <row r="13325" spans="8:9">
      <c r="H13325" s="1358"/>
      <c r="I13325" s="1358"/>
    </row>
    <row r="13326" spans="8:9">
      <c r="H13326" s="1358"/>
      <c r="I13326" s="1358"/>
    </row>
    <row r="13327" spans="8:9">
      <c r="H13327" s="1358"/>
      <c r="I13327" s="1358"/>
    </row>
    <row r="13328" spans="8:9">
      <c r="H13328" s="1358"/>
      <c r="I13328" s="1358"/>
    </row>
    <row r="13329" spans="8:9">
      <c r="H13329" s="1358"/>
      <c r="I13329" s="1358"/>
    </row>
    <row r="13330" spans="8:9">
      <c r="H13330" s="1358"/>
      <c r="I13330" s="1358"/>
    </row>
    <row r="13331" spans="8:9">
      <c r="H13331" s="1358"/>
      <c r="I13331" s="1358"/>
    </row>
    <row r="13332" spans="8:9">
      <c r="H13332" s="1358"/>
      <c r="I13332" s="1358"/>
    </row>
    <row r="13333" spans="8:9">
      <c r="H13333" s="1358"/>
      <c r="I13333" s="1358"/>
    </row>
    <row r="13334" spans="8:9">
      <c r="H13334" s="1358"/>
      <c r="I13334" s="1358"/>
    </row>
    <row r="13335" spans="8:9">
      <c r="H13335" s="1358"/>
      <c r="I13335" s="1358"/>
    </row>
    <row r="13336" spans="8:9">
      <c r="H13336" s="1358"/>
      <c r="I13336" s="1358"/>
    </row>
    <row r="13337" spans="8:9">
      <c r="H13337" s="1358"/>
      <c r="I13337" s="1358"/>
    </row>
    <row r="13338" spans="8:9">
      <c r="H13338" s="1358"/>
      <c r="I13338" s="1358"/>
    </row>
    <row r="13339" spans="8:9">
      <c r="H13339" s="1358"/>
      <c r="I13339" s="1358"/>
    </row>
    <row r="13340" spans="8:9">
      <c r="H13340" s="1358"/>
      <c r="I13340" s="1358"/>
    </row>
    <row r="13341" spans="8:9">
      <c r="H13341" s="1358"/>
      <c r="I13341" s="1358"/>
    </row>
    <row r="13342" spans="8:9">
      <c r="H13342" s="1358"/>
      <c r="I13342" s="1358"/>
    </row>
    <row r="13343" spans="8:9">
      <c r="H13343" s="1358"/>
      <c r="I13343" s="1358"/>
    </row>
    <row r="13344" spans="8:9">
      <c r="H13344" s="1358"/>
      <c r="I13344" s="1358"/>
    </row>
    <row r="13345" spans="8:9">
      <c r="H13345" s="1358"/>
      <c r="I13345" s="1358"/>
    </row>
    <row r="13346" spans="8:9">
      <c r="H13346" s="1358"/>
      <c r="I13346" s="1358"/>
    </row>
    <row r="13347" spans="8:9">
      <c r="H13347" s="1358"/>
      <c r="I13347" s="1358"/>
    </row>
    <row r="13348" spans="8:9">
      <c r="H13348" s="1358"/>
      <c r="I13348" s="1358"/>
    </row>
    <row r="13349" spans="8:9">
      <c r="H13349" s="1358"/>
      <c r="I13349" s="1358"/>
    </row>
    <row r="13350" spans="8:9">
      <c r="H13350" s="1358"/>
      <c r="I13350" s="1358"/>
    </row>
    <row r="13351" spans="8:9">
      <c r="H13351" s="1358"/>
      <c r="I13351" s="1358"/>
    </row>
    <row r="13352" spans="8:9">
      <c r="H13352" s="1358"/>
      <c r="I13352" s="1358"/>
    </row>
    <row r="13353" spans="8:9">
      <c r="H13353" s="1358"/>
      <c r="I13353" s="1358"/>
    </row>
    <row r="13354" spans="8:9">
      <c r="H13354" s="1358"/>
      <c r="I13354" s="1358"/>
    </row>
    <row r="13355" spans="8:9">
      <c r="H13355" s="1358"/>
      <c r="I13355" s="1358"/>
    </row>
    <row r="13356" spans="8:9">
      <c r="H13356" s="1358"/>
      <c r="I13356" s="1358"/>
    </row>
    <row r="13357" spans="8:9">
      <c r="H13357" s="1358"/>
      <c r="I13357" s="1358"/>
    </row>
    <row r="13358" spans="8:9">
      <c r="H13358" s="1358"/>
      <c r="I13358" s="1358"/>
    </row>
    <row r="13359" spans="8:9">
      <c r="H13359" s="1358"/>
      <c r="I13359" s="1358"/>
    </row>
    <row r="13360" spans="8:9">
      <c r="H13360" s="1358"/>
      <c r="I13360" s="1358"/>
    </row>
    <row r="13361" spans="8:9">
      <c r="H13361" s="1358"/>
      <c r="I13361" s="1358"/>
    </row>
    <row r="13362" spans="8:9">
      <c r="H13362" s="1358"/>
      <c r="I13362" s="1358"/>
    </row>
    <row r="13363" spans="8:9">
      <c r="H13363" s="1358"/>
      <c r="I13363" s="1358"/>
    </row>
    <row r="13364" spans="8:9">
      <c r="H13364" s="1358"/>
      <c r="I13364" s="1358"/>
    </row>
    <row r="13365" spans="8:9">
      <c r="H13365" s="1358"/>
      <c r="I13365" s="1358"/>
    </row>
    <row r="13366" spans="8:9">
      <c r="H13366" s="1358"/>
      <c r="I13366" s="1358"/>
    </row>
    <row r="13367" spans="8:9">
      <c r="H13367" s="1358"/>
      <c r="I13367" s="1358"/>
    </row>
    <row r="13368" spans="8:9">
      <c r="H13368" s="1358"/>
      <c r="I13368" s="1358"/>
    </row>
    <row r="13369" spans="8:9">
      <c r="H13369" s="1358"/>
      <c r="I13369" s="1358"/>
    </row>
    <row r="13370" spans="8:9">
      <c r="H13370" s="1358"/>
      <c r="I13370" s="1358"/>
    </row>
    <row r="13371" spans="8:9">
      <c r="H13371" s="1358"/>
      <c r="I13371" s="1358"/>
    </row>
    <row r="13372" spans="8:9">
      <c r="H13372" s="1358"/>
      <c r="I13372" s="1358"/>
    </row>
    <row r="13373" spans="8:9">
      <c r="H13373" s="1358"/>
      <c r="I13373" s="1358"/>
    </row>
    <row r="13374" spans="8:9">
      <c r="H13374" s="1358"/>
      <c r="I13374" s="1358"/>
    </row>
    <row r="13375" spans="8:9">
      <c r="H13375" s="1358"/>
      <c r="I13375" s="1358"/>
    </row>
    <row r="13376" spans="8:9">
      <c r="H13376" s="1358"/>
      <c r="I13376" s="1358"/>
    </row>
    <row r="13377" spans="8:9">
      <c r="H13377" s="1358"/>
      <c r="I13377" s="1358"/>
    </row>
    <row r="13378" spans="8:9">
      <c r="H13378" s="1358"/>
      <c r="I13378" s="1358"/>
    </row>
    <row r="13379" spans="8:9">
      <c r="H13379" s="1358"/>
      <c r="I13379" s="1358"/>
    </row>
    <row r="13380" spans="8:9">
      <c r="H13380" s="1358"/>
      <c r="I13380" s="1358"/>
    </row>
    <row r="13381" spans="8:9">
      <c r="H13381" s="1358"/>
      <c r="I13381" s="1358"/>
    </row>
    <row r="13382" spans="8:9">
      <c r="H13382" s="1358"/>
      <c r="I13382" s="1358"/>
    </row>
    <row r="13383" spans="8:9">
      <c r="H13383" s="1358"/>
      <c r="I13383" s="1358"/>
    </row>
    <row r="13384" spans="8:9">
      <c r="H13384" s="1358"/>
      <c r="I13384" s="1358"/>
    </row>
    <row r="13385" spans="8:9">
      <c r="H13385" s="1358"/>
      <c r="I13385" s="1358"/>
    </row>
    <row r="13386" spans="8:9">
      <c r="H13386" s="1358"/>
      <c r="I13386" s="1358"/>
    </row>
    <row r="13387" spans="8:9">
      <c r="H13387" s="1358"/>
      <c r="I13387" s="1358"/>
    </row>
    <row r="13388" spans="8:9">
      <c r="H13388" s="1358"/>
      <c r="I13388" s="1358"/>
    </row>
    <row r="13389" spans="8:9">
      <c r="H13389" s="1358"/>
      <c r="I13389" s="1358"/>
    </row>
    <row r="13390" spans="8:9">
      <c r="H13390" s="1358"/>
      <c r="I13390" s="1358"/>
    </row>
    <row r="13391" spans="8:9">
      <c r="H13391" s="1358"/>
      <c r="I13391" s="1358"/>
    </row>
    <row r="13392" spans="8:9">
      <c r="H13392" s="1358"/>
      <c r="I13392" s="1358"/>
    </row>
    <row r="13393" spans="8:9">
      <c r="H13393" s="1358"/>
      <c r="I13393" s="1358"/>
    </row>
    <row r="13394" spans="8:9">
      <c r="H13394" s="1358"/>
      <c r="I13394" s="1358"/>
    </row>
    <row r="13395" spans="8:9">
      <c r="H13395" s="1358"/>
      <c r="I13395" s="1358"/>
    </row>
    <row r="13396" spans="8:9">
      <c r="H13396" s="1358"/>
      <c r="I13396" s="1358"/>
    </row>
    <row r="13397" spans="8:9">
      <c r="H13397" s="1358"/>
      <c r="I13397" s="1358"/>
    </row>
    <row r="13398" spans="8:9">
      <c r="H13398" s="1358"/>
      <c r="I13398" s="1358"/>
    </row>
    <row r="13399" spans="8:9">
      <c r="H13399" s="1358"/>
      <c r="I13399" s="1358"/>
    </row>
    <row r="13400" spans="8:9">
      <c r="H13400" s="1358"/>
      <c r="I13400" s="1358"/>
    </row>
    <row r="13401" spans="8:9">
      <c r="H13401" s="1358"/>
      <c r="I13401" s="1358"/>
    </row>
    <row r="13402" spans="8:9">
      <c r="H13402" s="1358"/>
      <c r="I13402" s="1358"/>
    </row>
    <row r="13403" spans="8:9">
      <c r="H13403" s="1358"/>
      <c r="I13403" s="1358"/>
    </row>
    <row r="13404" spans="8:9">
      <c r="H13404" s="1358"/>
      <c r="I13404" s="1358"/>
    </row>
    <row r="13405" spans="8:9">
      <c r="H13405" s="1358"/>
      <c r="I13405" s="1358"/>
    </row>
    <row r="13406" spans="8:9">
      <c r="H13406" s="1358"/>
      <c r="I13406" s="1358"/>
    </row>
    <row r="13407" spans="8:9">
      <c r="H13407" s="1358"/>
      <c r="I13407" s="1358"/>
    </row>
    <row r="13408" spans="8:9">
      <c r="H13408" s="1358"/>
      <c r="I13408" s="1358"/>
    </row>
    <row r="13409" spans="8:9">
      <c r="H13409" s="1358"/>
      <c r="I13409" s="1358"/>
    </row>
    <row r="13410" spans="8:9">
      <c r="H13410" s="1358"/>
      <c r="I13410" s="1358"/>
    </row>
    <row r="13411" spans="8:9">
      <c r="H13411" s="1358"/>
      <c r="I13411" s="1358"/>
    </row>
    <row r="13412" spans="8:9">
      <c r="H13412" s="1358"/>
      <c r="I13412" s="1358"/>
    </row>
    <row r="13413" spans="8:9">
      <c r="H13413" s="1358"/>
      <c r="I13413" s="1358"/>
    </row>
    <row r="13414" spans="8:9">
      <c r="H13414" s="1358"/>
      <c r="I13414" s="1358"/>
    </row>
    <row r="13415" spans="8:9">
      <c r="H13415" s="1358"/>
      <c r="I13415" s="1358"/>
    </row>
    <row r="13416" spans="8:9">
      <c r="H13416" s="1358"/>
      <c r="I13416" s="1358"/>
    </row>
    <row r="13417" spans="8:9">
      <c r="H13417" s="1358"/>
      <c r="I13417" s="1358"/>
    </row>
    <row r="13418" spans="8:9">
      <c r="H13418" s="1358"/>
      <c r="I13418" s="1358"/>
    </row>
    <row r="13419" spans="8:9">
      <c r="H13419" s="1358"/>
      <c r="I13419" s="1358"/>
    </row>
    <row r="13420" spans="8:9">
      <c r="H13420" s="1358"/>
      <c r="I13420" s="1358"/>
    </row>
    <row r="13421" spans="8:9">
      <c r="H13421" s="1358"/>
      <c r="I13421" s="1358"/>
    </row>
    <row r="13422" spans="8:9">
      <c r="H13422" s="1358"/>
      <c r="I13422" s="1358"/>
    </row>
    <row r="13423" spans="8:9">
      <c r="H13423" s="1358"/>
      <c r="I13423" s="1358"/>
    </row>
    <row r="13424" spans="8:9">
      <c r="H13424" s="1358"/>
      <c r="I13424" s="1358"/>
    </row>
    <row r="13425" spans="8:9">
      <c r="H13425" s="1358"/>
      <c r="I13425" s="1358"/>
    </row>
    <row r="13426" spans="8:9">
      <c r="H13426" s="1358"/>
      <c r="I13426" s="1358"/>
    </row>
    <row r="13427" spans="8:9">
      <c r="H13427" s="1358"/>
      <c r="I13427" s="1358"/>
    </row>
    <row r="13428" spans="8:9">
      <c r="H13428" s="1358"/>
      <c r="I13428" s="1358"/>
    </row>
    <row r="13429" spans="8:9">
      <c r="H13429" s="1358"/>
      <c r="I13429" s="1358"/>
    </row>
    <row r="13430" spans="8:9">
      <c r="H13430" s="1358"/>
      <c r="I13430" s="1358"/>
    </row>
    <row r="13431" spans="8:9">
      <c r="H13431" s="1358"/>
      <c r="I13431" s="1358"/>
    </row>
    <row r="13432" spans="8:9">
      <c r="H13432" s="1358"/>
      <c r="I13432" s="1358"/>
    </row>
    <row r="13433" spans="8:9">
      <c r="H13433" s="1358"/>
      <c r="I13433" s="1358"/>
    </row>
    <row r="13434" spans="8:9">
      <c r="H13434" s="1358"/>
      <c r="I13434" s="1358"/>
    </row>
    <row r="13435" spans="8:9">
      <c r="H13435" s="1358"/>
      <c r="I13435" s="1358"/>
    </row>
    <row r="13436" spans="8:9">
      <c r="H13436" s="1358"/>
      <c r="I13436" s="1358"/>
    </row>
    <row r="13437" spans="8:9">
      <c r="H13437" s="1358"/>
      <c r="I13437" s="1358"/>
    </row>
    <row r="13438" spans="8:9">
      <c r="H13438" s="1358"/>
      <c r="I13438" s="1358"/>
    </row>
    <row r="13439" spans="8:9">
      <c r="H13439" s="1358"/>
      <c r="I13439" s="1358"/>
    </row>
    <row r="13440" spans="8:9">
      <c r="H13440" s="1358"/>
      <c r="I13440" s="1358"/>
    </row>
    <row r="13441" spans="8:9">
      <c r="H13441" s="1358"/>
      <c r="I13441" s="1358"/>
    </row>
    <row r="13442" spans="8:9">
      <c r="H13442" s="1358"/>
      <c r="I13442" s="1358"/>
    </row>
    <row r="13443" spans="8:9">
      <c r="H13443" s="1358"/>
      <c r="I13443" s="1358"/>
    </row>
    <row r="13444" spans="8:9">
      <c r="H13444" s="1358"/>
      <c r="I13444" s="1358"/>
    </row>
    <row r="13445" spans="8:9">
      <c r="H13445" s="1358"/>
      <c r="I13445" s="1358"/>
    </row>
    <row r="13446" spans="8:9">
      <c r="H13446" s="1358"/>
      <c r="I13446" s="1358"/>
    </row>
    <row r="13447" spans="8:9">
      <c r="H13447" s="1358"/>
      <c r="I13447" s="1358"/>
    </row>
    <row r="13448" spans="8:9">
      <c r="H13448" s="1358"/>
      <c r="I13448" s="1358"/>
    </row>
    <row r="13449" spans="8:9">
      <c r="H13449" s="1358"/>
      <c r="I13449" s="1358"/>
    </row>
    <row r="13450" spans="8:9">
      <c r="H13450" s="1358"/>
      <c r="I13450" s="1358"/>
    </row>
    <row r="13451" spans="8:9">
      <c r="H13451" s="1358"/>
      <c r="I13451" s="1358"/>
    </row>
    <row r="13452" spans="8:9">
      <c r="H13452" s="1358"/>
      <c r="I13452" s="1358"/>
    </row>
    <row r="13453" spans="8:9">
      <c r="H13453" s="1358"/>
      <c r="I13453" s="1358"/>
    </row>
    <row r="13454" spans="8:9">
      <c r="H13454" s="1358"/>
      <c r="I13454" s="1358"/>
    </row>
    <row r="13455" spans="8:9">
      <c r="H13455" s="1358"/>
      <c r="I13455" s="1358"/>
    </row>
    <row r="13456" spans="8:9">
      <c r="H13456" s="1358"/>
      <c r="I13456" s="1358"/>
    </row>
    <row r="13457" spans="8:9">
      <c r="H13457" s="1358"/>
      <c r="I13457" s="1358"/>
    </row>
    <row r="13458" spans="8:9">
      <c r="H13458" s="1358"/>
      <c r="I13458" s="1358"/>
    </row>
    <row r="13459" spans="8:9">
      <c r="H13459" s="1358"/>
      <c r="I13459" s="1358"/>
    </row>
    <row r="13460" spans="8:9">
      <c r="H13460" s="1358"/>
      <c r="I13460" s="1358"/>
    </row>
    <row r="13461" spans="8:9">
      <c r="H13461" s="1358"/>
      <c r="I13461" s="1358"/>
    </row>
    <row r="13462" spans="8:9">
      <c r="H13462" s="1358"/>
      <c r="I13462" s="1358"/>
    </row>
    <row r="13463" spans="8:9">
      <c r="H13463" s="1358"/>
      <c r="I13463" s="1358"/>
    </row>
    <row r="13464" spans="8:9">
      <c r="H13464" s="1358"/>
      <c r="I13464" s="1358"/>
    </row>
    <row r="13465" spans="8:9">
      <c r="H13465" s="1358"/>
      <c r="I13465" s="1358"/>
    </row>
    <row r="13466" spans="8:9">
      <c r="H13466" s="1358"/>
      <c r="I13466" s="1358"/>
    </row>
    <row r="13467" spans="8:9">
      <c r="H13467" s="1358"/>
      <c r="I13467" s="1358"/>
    </row>
    <row r="13468" spans="8:9">
      <c r="H13468" s="1358"/>
      <c r="I13468" s="1358"/>
    </row>
    <row r="13469" spans="8:9">
      <c r="H13469" s="1358"/>
      <c r="I13469" s="1358"/>
    </row>
    <row r="13470" spans="8:9">
      <c r="H13470" s="1358"/>
      <c r="I13470" s="1358"/>
    </row>
    <row r="13471" spans="8:9">
      <c r="H13471" s="1358"/>
      <c r="I13471" s="1358"/>
    </row>
    <row r="13472" spans="8:9">
      <c r="H13472" s="1358"/>
      <c r="I13472" s="1358"/>
    </row>
    <row r="13473" spans="8:9">
      <c r="H13473" s="1358"/>
      <c r="I13473" s="1358"/>
    </row>
    <row r="13474" spans="8:9">
      <c r="H13474" s="1358"/>
      <c r="I13474" s="1358"/>
    </row>
    <row r="13475" spans="8:9">
      <c r="H13475" s="1358"/>
      <c r="I13475" s="1358"/>
    </row>
    <row r="13476" spans="8:9">
      <c r="H13476" s="1358"/>
      <c r="I13476" s="1358"/>
    </row>
    <row r="13477" spans="8:9">
      <c r="H13477" s="1358"/>
      <c r="I13477" s="1358"/>
    </row>
    <row r="13478" spans="8:9">
      <c r="H13478" s="1358"/>
      <c r="I13478" s="1358"/>
    </row>
    <row r="13479" spans="8:9">
      <c r="H13479" s="1358"/>
      <c r="I13479" s="1358"/>
    </row>
    <row r="13480" spans="8:9">
      <c r="H13480" s="1358"/>
      <c r="I13480" s="1358"/>
    </row>
    <row r="13481" spans="8:9">
      <c r="H13481" s="1358"/>
      <c r="I13481" s="1358"/>
    </row>
    <row r="13482" spans="8:9">
      <c r="H13482" s="1358"/>
      <c r="I13482" s="1358"/>
    </row>
    <row r="13483" spans="8:9">
      <c r="H13483" s="1358"/>
      <c r="I13483" s="1358"/>
    </row>
    <row r="13484" spans="8:9">
      <c r="H13484" s="1358"/>
      <c r="I13484" s="1358"/>
    </row>
    <row r="13485" spans="8:9">
      <c r="H13485" s="1358"/>
      <c r="I13485" s="1358"/>
    </row>
    <row r="13486" spans="8:9">
      <c r="H13486" s="1358"/>
      <c r="I13486" s="1358"/>
    </row>
    <row r="13487" spans="8:9">
      <c r="H13487" s="1358"/>
      <c r="I13487" s="1358"/>
    </row>
    <row r="13488" spans="8:9">
      <c r="H13488" s="1358"/>
      <c r="I13488" s="1358"/>
    </row>
    <row r="13489" spans="8:9">
      <c r="H13489" s="1358"/>
      <c r="I13489" s="1358"/>
    </row>
    <row r="13490" spans="8:9">
      <c r="H13490" s="1358"/>
      <c r="I13490" s="1358"/>
    </row>
    <row r="13491" spans="8:9">
      <c r="H13491" s="1358"/>
      <c r="I13491" s="1358"/>
    </row>
    <row r="13492" spans="8:9">
      <c r="H13492" s="1358"/>
      <c r="I13492" s="1358"/>
    </row>
    <row r="13493" spans="8:9">
      <c r="H13493" s="1358"/>
      <c r="I13493" s="1358"/>
    </row>
    <row r="13494" spans="8:9">
      <c r="H13494" s="1358"/>
      <c r="I13494" s="1358"/>
    </row>
    <row r="13495" spans="8:9">
      <c r="H13495" s="1358"/>
      <c r="I13495" s="1358"/>
    </row>
    <row r="13496" spans="8:9">
      <c r="H13496" s="1358"/>
      <c r="I13496" s="1358"/>
    </row>
    <row r="13497" spans="8:9">
      <c r="H13497" s="1358"/>
      <c r="I13497" s="1358"/>
    </row>
    <row r="13498" spans="8:9">
      <c r="H13498" s="1358"/>
      <c r="I13498" s="1358"/>
    </row>
    <row r="13499" spans="8:9">
      <c r="H13499" s="1358"/>
      <c r="I13499" s="1358"/>
    </row>
    <row r="13500" spans="8:9">
      <c r="H13500" s="1358"/>
      <c r="I13500" s="1358"/>
    </row>
    <row r="13501" spans="8:9">
      <c r="H13501" s="1358"/>
      <c r="I13501" s="1358"/>
    </row>
    <row r="13502" spans="8:9">
      <c r="H13502" s="1358"/>
      <c r="I13502" s="1358"/>
    </row>
    <row r="13503" spans="8:9">
      <c r="H13503" s="1358"/>
      <c r="I13503" s="1358"/>
    </row>
    <row r="13504" spans="8:9">
      <c r="H13504" s="1358"/>
      <c r="I13504" s="1358"/>
    </row>
    <row r="13505" spans="8:9">
      <c r="H13505" s="1358"/>
      <c r="I13505" s="1358"/>
    </row>
    <row r="13506" spans="8:9">
      <c r="H13506" s="1358"/>
      <c r="I13506" s="1358"/>
    </row>
    <row r="13507" spans="8:9">
      <c r="H13507" s="1358"/>
      <c r="I13507" s="1358"/>
    </row>
    <row r="13508" spans="8:9">
      <c r="H13508" s="1358"/>
      <c r="I13508" s="1358"/>
    </row>
    <row r="13509" spans="8:9">
      <c r="H13509" s="1358"/>
      <c r="I13509" s="1358"/>
    </row>
    <row r="13510" spans="8:9">
      <c r="H13510" s="1358"/>
      <c r="I13510" s="1358"/>
    </row>
    <row r="13511" spans="8:9">
      <c r="H13511" s="1358"/>
      <c r="I13511" s="1358"/>
    </row>
    <row r="13512" spans="8:9">
      <c r="H13512" s="1358"/>
      <c r="I13512" s="1358"/>
    </row>
    <row r="13513" spans="8:9">
      <c r="H13513" s="1358"/>
      <c r="I13513" s="1358"/>
    </row>
    <row r="13514" spans="8:9">
      <c r="H13514" s="1358"/>
      <c r="I13514" s="1358"/>
    </row>
    <row r="13515" spans="8:9">
      <c r="H13515" s="1358"/>
      <c r="I13515" s="1358"/>
    </row>
    <row r="13516" spans="8:9">
      <c r="H13516" s="1358"/>
      <c r="I13516" s="1358"/>
    </row>
    <row r="13517" spans="8:9">
      <c r="H13517" s="1358"/>
      <c r="I13517" s="1358"/>
    </row>
    <row r="13518" spans="8:9">
      <c r="H13518" s="1358"/>
      <c r="I13518" s="1358"/>
    </row>
    <row r="13519" spans="8:9">
      <c r="H13519" s="1358"/>
      <c r="I13519" s="1358"/>
    </row>
    <row r="13520" spans="8:9">
      <c r="H13520" s="1358"/>
      <c r="I13520" s="1358"/>
    </row>
    <row r="13521" spans="8:9">
      <c r="H13521" s="1358"/>
      <c r="I13521" s="1358"/>
    </row>
    <row r="13522" spans="8:9">
      <c r="H13522" s="1358"/>
      <c r="I13522" s="1358"/>
    </row>
    <row r="13523" spans="8:9">
      <c r="H13523" s="1358"/>
      <c r="I13523" s="1358"/>
    </row>
    <row r="13524" spans="8:9">
      <c r="H13524" s="1358"/>
      <c r="I13524" s="1358"/>
    </row>
    <row r="13525" spans="8:9">
      <c r="H13525" s="1358"/>
      <c r="I13525" s="1358"/>
    </row>
    <row r="13526" spans="8:9">
      <c r="H13526" s="1358"/>
      <c r="I13526" s="1358"/>
    </row>
    <row r="13527" spans="8:9">
      <c r="H13527" s="1358"/>
      <c r="I13527" s="1358"/>
    </row>
    <row r="13528" spans="8:9">
      <c r="H13528" s="1358"/>
      <c r="I13528" s="1358"/>
    </row>
    <row r="13529" spans="8:9">
      <c r="H13529" s="1358"/>
      <c r="I13529" s="1358"/>
    </row>
    <row r="13530" spans="8:9">
      <c r="H13530" s="1358"/>
      <c r="I13530" s="1358"/>
    </row>
    <row r="13531" spans="8:9">
      <c r="H13531" s="1358"/>
      <c r="I13531" s="1358"/>
    </row>
    <row r="13532" spans="8:9">
      <c r="H13532" s="1358"/>
      <c r="I13532" s="1358"/>
    </row>
    <row r="13533" spans="8:9">
      <c r="H13533" s="1358"/>
      <c r="I13533" s="1358"/>
    </row>
    <row r="13534" spans="8:9">
      <c r="H13534" s="1358"/>
      <c r="I13534" s="1358"/>
    </row>
    <row r="13535" spans="8:9">
      <c r="H13535" s="1358"/>
      <c r="I13535" s="1358"/>
    </row>
    <row r="13536" spans="8:9">
      <c r="H13536" s="1358"/>
      <c r="I13536" s="1358"/>
    </row>
    <row r="13537" spans="8:9">
      <c r="H13537" s="1358"/>
      <c r="I13537" s="1358"/>
    </row>
    <row r="13538" spans="8:9">
      <c r="H13538" s="1358"/>
      <c r="I13538" s="1358"/>
    </row>
    <row r="13539" spans="8:9">
      <c r="H13539" s="1358"/>
      <c r="I13539" s="1358"/>
    </row>
    <row r="13540" spans="8:9">
      <c r="H13540" s="1358"/>
      <c r="I13540" s="1358"/>
    </row>
    <row r="13541" spans="8:9">
      <c r="H13541" s="1358"/>
      <c r="I13541" s="1358"/>
    </row>
    <row r="13542" spans="8:9">
      <c r="H13542" s="1358"/>
      <c r="I13542" s="1358"/>
    </row>
    <row r="13543" spans="8:9">
      <c r="H13543" s="1358"/>
      <c r="I13543" s="1358"/>
    </row>
    <row r="13544" spans="8:9">
      <c r="H13544" s="1358"/>
      <c r="I13544" s="1358"/>
    </row>
    <row r="13545" spans="8:9">
      <c r="H13545" s="1358"/>
      <c r="I13545" s="1358"/>
    </row>
    <row r="13546" spans="8:9">
      <c r="H13546" s="1358"/>
      <c r="I13546" s="1358"/>
    </row>
    <row r="13547" spans="8:9">
      <c r="H13547" s="1358"/>
      <c r="I13547" s="1358"/>
    </row>
    <row r="13548" spans="8:9">
      <c r="H13548" s="1358"/>
      <c r="I13548" s="1358"/>
    </row>
    <row r="13549" spans="8:9">
      <c r="H13549" s="1358"/>
      <c r="I13549" s="1358"/>
    </row>
    <row r="13550" spans="8:9">
      <c r="H13550" s="1358"/>
      <c r="I13550" s="1358"/>
    </row>
    <row r="13551" spans="8:9">
      <c r="H13551" s="1358"/>
      <c r="I13551" s="1358"/>
    </row>
    <row r="13552" spans="8:9">
      <c r="H13552" s="1358"/>
      <c r="I13552" s="1358"/>
    </row>
    <row r="13553" spans="8:9">
      <c r="H13553" s="1358"/>
      <c r="I13553" s="1358"/>
    </row>
    <row r="13554" spans="8:9">
      <c r="H13554" s="1358"/>
      <c r="I13554" s="1358"/>
    </row>
    <row r="13555" spans="8:9">
      <c r="H13555" s="1358"/>
      <c r="I13555" s="1358"/>
    </row>
    <row r="13556" spans="8:9">
      <c r="H13556" s="1358"/>
      <c r="I13556" s="1358"/>
    </row>
    <row r="13557" spans="8:9">
      <c r="H13557" s="1358"/>
      <c r="I13557" s="1358"/>
    </row>
    <row r="13558" spans="8:9">
      <c r="H13558" s="1358"/>
      <c r="I13558" s="1358"/>
    </row>
    <row r="13559" spans="8:9">
      <c r="H13559" s="1358"/>
      <c r="I13559" s="1358"/>
    </row>
    <row r="13560" spans="8:9">
      <c r="H13560" s="1358"/>
      <c r="I13560" s="1358"/>
    </row>
    <row r="13561" spans="8:9">
      <c r="H13561" s="1358"/>
      <c r="I13561" s="1358"/>
    </row>
    <row r="13562" spans="8:9">
      <c r="H13562" s="1358"/>
      <c r="I13562" s="1358"/>
    </row>
    <row r="13563" spans="8:9">
      <c r="H13563" s="1358"/>
      <c r="I13563" s="1358"/>
    </row>
    <row r="13564" spans="8:9">
      <c r="H13564" s="1358"/>
      <c r="I13564" s="1358"/>
    </row>
    <row r="13565" spans="8:9">
      <c r="H13565" s="1358"/>
      <c r="I13565" s="1358"/>
    </row>
    <row r="13566" spans="8:9">
      <c r="H13566" s="1358"/>
      <c r="I13566" s="1358"/>
    </row>
    <row r="13567" spans="8:9">
      <c r="H13567" s="1358"/>
      <c r="I13567" s="1358"/>
    </row>
    <row r="13568" spans="8:9">
      <c r="H13568" s="1358"/>
      <c r="I13568" s="1358"/>
    </row>
    <row r="13569" spans="8:9">
      <c r="H13569" s="1358"/>
      <c r="I13569" s="1358"/>
    </row>
    <row r="13570" spans="8:9">
      <c r="H13570" s="1358"/>
      <c r="I13570" s="1358"/>
    </row>
    <row r="13571" spans="8:9">
      <c r="H13571" s="1358"/>
      <c r="I13571" s="1358"/>
    </row>
    <row r="13572" spans="8:9">
      <c r="H13572" s="1358"/>
      <c r="I13572" s="1358"/>
    </row>
    <row r="13573" spans="8:9">
      <c r="H13573" s="1358"/>
      <c r="I13573" s="1358"/>
    </row>
    <row r="13574" spans="8:9">
      <c r="H13574" s="1358"/>
      <c r="I13574" s="1358"/>
    </row>
    <row r="13575" spans="8:9">
      <c r="H13575" s="1358"/>
      <c r="I13575" s="1358"/>
    </row>
    <row r="13576" spans="8:9">
      <c r="H13576" s="1358"/>
      <c r="I13576" s="1358"/>
    </row>
    <row r="13577" spans="8:9">
      <c r="H13577" s="1358"/>
      <c r="I13577" s="1358"/>
    </row>
    <row r="13578" spans="8:9">
      <c r="H13578" s="1358"/>
      <c r="I13578" s="1358"/>
    </row>
    <row r="13579" spans="8:9">
      <c r="H13579" s="1358"/>
      <c r="I13579" s="1358"/>
    </row>
    <row r="13580" spans="8:9">
      <c r="H13580" s="1358"/>
      <c r="I13580" s="1358"/>
    </row>
    <row r="13581" spans="8:9">
      <c r="H13581" s="1358"/>
      <c r="I13581" s="1358"/>
    </row>
    <row r="13582" spans="8:9">
      <c r="H13582" s="1358"/>
      <c r="I13582" s="1358"/>
    </row>
    <row r="13583" spans="8:9">
      <c r="H13583" s="1358"/>
      <c r="I13583" s="1358"/>
    </row>
    <row r="13584" spans="8:9">
      <c r="H13584" s="1358"/>
      <c r="I13584" s="1358"/>
    </row>
    <row r="13585" spans="8:9">
      <c r="H13585" s="1358"/>
      <c r="I13585" s="1358"/>
    </row>
    <row r="13586" spans="8:9">
      <c r="H13586" s="1358"/>
      <c r="I13586" s="1358"/>
    </row>
    <row r="13587" spans="8:9">
      <c r="H13587" s="1358"/>
      <c r="I13587" s="1358"/>
    </row>
    <row r="13588" spans="8:9">
      <c r="H13588" s="1358"/>
      <c r="I13588" s="1358"/>
    </row>
    <row r="13589" spans="8:9">
      <c r="H13589" s="1358"/>
      <c r="I13589" s="1358"/>
    </row>
    <row r="13590" spans="8:9">
      <c r="H13590" s="1358"/>
      <c r="I13590" s="1358"/>
    </row>
    <row r="13591" spans="8:9">
      <c r="H13591" s="1358"/>
      <c r="I13591" s="1358"/>
    </row>
    <row r="13592" spans="8:9">
      <c r="H13592" s="1358"/>
      <c r="I13592" s="1358"/>
    </row>
    <row r="13593" spans="8:9">
      <c r="H13593" s="1358"/>
      <c r="I13593" s="1358"/>
    </row>
    <row r="13594" spans="8:9">
      <c r="H13594" s="1358"/>
      <c r="I13594" s="1358"/>
    </row>
    <row r="13595" spans="8:9">
      <c r="H13595" s="1358"/>
      <c r="I13595" s="1358"/>
    </row>
    <row r="13596" spans="8:9">
      <c r="H13596" s="1358"/>
      <c r="I13596" s="1358"/>
    </row>
    <row r="13597" spans="8:9">
      <c r="H13597" s="1358"/>
      <c r="I13597" s="1358"/>
    </row>
    <row r="13598" spans="8:9">
      <c r="H13598" s="1358"/>
      <c r="I13598" s="1358"/>
    </row>
    <row r="13599" spans="8:9">
      <c r="H13599" s="1358"/>
      <c r="I13599" s="1358"/>
    </row>
    <row r="13600" spans="8:9">
      <c r="H13600" s="1358"/>
      <c r="I13600" s="1358"/>
    </row>
    <row r="13601" spans="8:9">
      <c r="H13601" s="1358"/>
      <c r="I13601" s="1358"/>
    </row>
    <row r="13602" spans="8:9">
      <c r="H13602" s="1358"/>
      <c r="I13602" s="1358"/>
    </row>
    <row r="13603" spans="8:9">
      <c r="H13603" s="1358"/>
      <c r="I13603" s="1358"/>
    </row>
    <row r="13604" spans="8:9">
      <c r="H13604" s="1358"/>
      <c r="I13604" s="1358"/>
    </row>
    <row r="13605" spans="8:9">
      <c r="H13605" s="1358"/>
      <c r="I13605" s="1358"/>
    </row>
    <row r="13606" spans="8:9">
      <c r="H13606" s="1358"/>
      <c r="I13606" s="1358"/>
    </row>
    <row r="13607" spans="8:9">
      <c r="H13607" s="1358"/>
      <c r="I13607" s="1358"/>
    </row>
    <row r="13608" spans="8:9">
      <c r="H13608" s="1358"/>
      <c r="I13608" s="1358"/>
    </row>
    <row r="13609" spans="8:9">
      <c r="H13609" s="1358"/>
      <c r="I13609" s="1358"/>
    </row>
    <row r="13610" spans="8:9">
      <c r="H13610" s="1358"/>
      <c r="I13610" s="1358"/>
    </row>
    <row r="13611" spans="8:9">
      <c r="H13611" s="1358"/>
      <c r="I13611" s="1358"/>
    </row>
    <row r="13612" spans="8:9">
      <c r="H13612" s="1358"/>
      <c r="I13612" s="1358"/>
    </row>
    <row r="13613" spans="8:9">
      <c r="H13613" s="1358"/>
      <c r="I13613" s="1358"/>
    </row>
    <row r="13614" spans="8:9">
      <c r="H13614" s="1358"/>
      <c r="I13614" s="1358"/>
    </row>
    <row r="13615" spans="8:9">
      <c r="H13615" s="1358"/>
      <c r="I13615" s="1358"/>
    </row>
    <row r="13616" spans="8:9">
      <c r="H13616" s="1358"/>
      <c r="I13616" s="1358"/>
    </row>
    <row r="13617" spans="8:9">
      <c r="H13617" s="1358"/>
      <c r="I13617" s="1358"/>
    </row>
    <row r="13618" spans="8:9">
      <c r="H13618" s="1358"/>
      <c r="I13618" s="1358"/>
    </row>
    <row r="13619" spans="8:9">
      <c r="H13619" s="1358"/>
      <c r="I13619" s="1358"/>
    </row>
    <row r="13620" spans="8:9">
      <c r="H13620" s="1358"/>
      <c r="I13620" s="1358"/>
    </row>
    <row r="13621" spans="8:9">
      <c r="H13621" s="1358"/>
      <c r="I13621" s="1358"/>
    </row>
    <row r="13622" spans="8:9">
      <c r="H13622" s="1358"/>
      <c r="I13622" s="1358"/>
    </row>
    <row r="13623" spans="8:9">
      <c r="H13623" s="1358"/>
      <c r="I13623" s="1358"/>
    </row>
    <row r="13624" spans="8:9">
      <c r="H13624" s="1358"/>
      <c r="I13624" s="1358"/>
    </row>
    <row r="13625" spans="8:9">
      <c r="H13625" s="1358"/>
      <c r="I13625" s="1358"/>
    </row>
    <row r="13626" spans="8:9">
      <c r="H13626" s="1358"/>
      <c r="I13626" s="1358"/>
    </row>
    <row r="13627" spans="8:9">
      <c r="H13627" s="1358"/>
      <c r="I13627" s="1358"/>
    </row>
    <row r="13628" spans="8:9">
      <c r="H13628" s="1358"/>
      <c r="I13628" s="1358"/>
    </row>
    <row r="13629" spans="8:9">
      <c r="H13629" s="1358"/>
      <c r="I13629" s="1358"/>
    </row>
    <row r="13630" spans="8:9">
      <c r="H13630" s="1358"/>
      <c r="I13630" s="1358"/>
    </row>
    <row r="13631" spans="8:9">
      <c r="H13631" s="1358"/>
      <c r="I13631" s="1358"/>
    </row>
    <row r="13632" spans="8:9">
      <c r="H13632" s="1358"/>
      <c r="I13632" s="1358"/>
    </row>
    <row r="13633" spans="8:9">
      <c r="H13633" s="1358"/>
      <c r="I13633" s="1358"/>
    </row>
    <row r="13634" spans="8:9">
      <c r="H13634" s="1358"/>
      <c r="I13634" s="1358"/>
    </row>
    <row r="13635" spans="8:9">
      <c r="H13635" s="1358"/>
      <c r="I13635" s="1358"/>
    </row>
    <row r="13636" spans="8:9">
      <c r="H13636" s="1358"/>
      <c r="I13636" s="1358"/>
    </row>
    <row r="13637" spans="8:9">
      <c r="H13637" s="1358"/>
      <c r="I13637" s="1358"/>
    </row>
    <row r="13638" spans="8:9">
      <c r="H13638" s="1358"/>
      <c r="I13638" s="1358"/>
    </row>
    <row r="13639" spans="8:9">
      <c r="H13639" s="1358"/>
      <c r="I13639" s="1358"/>
    </row>
    <row r="13640" spans="8:9">
      <c r="H13640" s="1358"/>
      <c r="I13640" s="1358"/>
    </row>
    <row r="13641" spans="8:9">
      <c r="H13641" s="1358"/>
      <c r="I13641" s="1358"/>
    </row>
    <row r="13642" spans="8:9">
      <c r="H13642" s="1358"/>
      <c r="I13642" s="1358"/>
    </row>
    <row r="13643" spans="8:9">
      <c r="H13643" s="1358"/>
      <c r="I13643" s="1358"/>
    </row>
    <row r="13644" spans="8:9">
      <c r="H13644" s="1358"/>
      <c r="I13644" s="1358"/>
    </row>
    <row r="13645" spans="8:9">
      <c r="H13645" s="1358"/>
      <c r="I13645" s="1358"/>
    </row>
    <row r="13646" spans="8:9">
      <c r="H13646" s="1358"/>
      <c r="I13646" s="1358"/>
    </row>
    <row r="13647" spans="8:9">
      <c r="H13647" s="1358"/>
      <c r="I13647" s="1358"/>
    </row>
    <row r="13648" spans="8:9">
      <c r="H13648" s="1358"/>
      <c r="I13648" s="1358"/>
    </row>
    <row r="13649" spans="8:9">
      <c r="H13649" s="1358"/>
      <c r="I13649" s="1358"/>
    </row>
    <row r="13650" spans="8:9">
      <c r="H13650" s="1358"/>
      <c r="I13650" s="1358"/>
    </row>
    <row r="13651" spans="8:9">
      <c r="H13651" s="1358"/>
      <c r="I13651" s="1358"/>
    </row>
    <row r="13652" spans="8:9">
      <c r="H13652" s="1358"/>
      <c r="I13652" s="1358"/>
    </row>
    <row r="13653" spans="8:9">
      <c r="H13653" s="1358"/>
      <c r="I13653" s="1358"/>
    </row>
    <row r="13654" spans="8:9">
      <c r="H13654" s="1358"/>
      <c r="I13654" s="1358"/>
    </row>
    <row r="13655" spans="8:9">
      <c r="H13655" s="1358"/>
      <c r="I13655" s="1358"/>
    </row>
    <row r="13656" spans="8:9">
      <c r="H13656" s="1358"/>
      <c r="I13656" s="1358"/>
    </row>
    <row r="13657" spans="8:9">
      <c r="H13657" s="1358"/>
      <c r="I13657" s="1358"/>
    </row>
    <row r="13658" spans="8:9">
      <c r="H13658" s="1358"/>
      <c r="I13658" s="1358"/>
    </row>
    <row r="13659" spans="8:9">
      <c r="H13659" s="1358"/>
      <c r="I13659" s="1358"/>
    </row>
    <row r="13660" spans="8:9">
      <c r="H13660" s="1358"/>
      <c r="I13660" s="1358"/>
    </row>
    <row r="13661" spans="8:9">
      <c r="H13661" s="1358"/>
      <c r="I13661" s="1358"/>
    </row>
    <row r="13662" spans="8:9">
      <c r="H13662" s="1358"/>
      <c r="I13662" s="1358"/>
    </row>
    <row r="13663" spans="8:9">
      <c r="H13663" s="1358"/>
      <c r="I13663" s="1358"/>
    </row>
    <row r="13664" spans="8:9">
      <c r="H13664" s="1358"/>
      <c r="I13664" s="1358"/>
    </row>
    <row r="13665" spans="8:9">
      <c r="H13665" s="1358"/>
      <c r="I13665" s="1358"/>
    </row>
    <row r="13666" spans="8:9">
      <c r="H13666" s="1358"/>
      <c r="I13666" s="1358"/>
    </row>
    <row r="13667" spans="8:9">
      <c r="H13667" s="1358"/>
      <c r="I13667" s="1358"/>
    </row>
    <row r="13668" spans="8:9">
      <c r="H13668" s="1358"/>
      <c r="I13668" s="1358"/>
    </row>
    <row r="13669" spans="8:9">
      <c r="H13669" s="1358"/>
      <c r="I13669" s="1358"/>
    </row>
    <row r="13670" spans="8:9">
      <c r="H13670" s="1358"/>
      <c r="I13670" s="1358"/>
    </row>
    <row r="13671" spans="8:9">
      <c r="H13671" s="1358"/>
      <c r="I13671" s="1358"/>
    </row>
    <row r="13672" spans="8:9">
      <c r="H13672" s="1358"/>
      <c r="I13672" s="1358"/>
    </row>
    <row r="13673" spans="8:9">
      <c r="H13673" s="1358"/>
      <c r="I13673" s="1358"/>
    </row>
    <row r="13674" spans="8:9">
      <c r="H13674" s="1358"/>
      <c r="I13674" s="1358"/>
    </row>
    <row r="13675" spans="8:9">
      <c r="H13675" s="1358"/>
      <c r="I13675" s="1358"/>
    </row>
    <row r="13676" spans="8:9">
      <c r="H13676" s="1358"/>
      <c r="I13676" s="1358"/>
    </row>
    <row r="13677" spans="8:9">
      <c r="H13677" s="1358"/>
      <c r="I13677" s="1358"/>
    </row>
    <row r="13678" spans="8:9">
      <c r="H13678" s="1358"/>
      <c r="I13678" s="1358"/>
    </row>
    <row r="13679" spans="8:9">
      <c r="H13679" s="1358"/>
      <c r="I13679" s="1358"/>
    </row>
    <row r="13680" spans="8:9">
      <c r="H13680" s="1358"/>
      <c r="I13680" s="1358"/>
    </row>
    <row r="13681" spans="8:9">
      <c r="H13681" s="1358"/>
      <c r="I13681" s="1358"/>
    </row>
    <row r="13682" spans="8:9">
      <c r="H13682" s="1358"/>
      <c r="I13682" s="1358"/>
    </row>
    <row r="13683" spans="8:9">
      <c r="H13683" s="1358"/>
      <c r="I13683" s="1358"/>
    </row>
    <row r="13684" spans="8:9">
      <c r="H13684" s="1358"/>
      <c r="I13684" s="1358"/>
    </row>
    <row r="13685" spans="8:9">
      <c r="H13685" s="1358"/>
      <c r="I13685" s="1358"/>
    </row>
    <row r="13686" spans="8:9">
      <c r="H13686" s="1358"/>
      <c r="I13686" s="1358"/>
    </row>
    <row r="13687" spans="8:9">
      <c r="H13687" s="1358"/>
      <c r="I13687" s="1358"/>
    </row>
    <row r="13688" spans="8:9">
      <c r="H13688" s="1358"/>
      <c r="I13688" s="1358"/>
    </row>
    <row r="13689" spans="8:9">
      <c r="H13689" s="1358"/>
      <c r="I13689" s="1358"/>
    </row>
    <row r="13690" spans="8:9">
      <c r="H13690" s="1358"/>
      <c r="I13690" s="1358"/>
    </row>
    <row r="13691" spans="8:9">
      <c r="H13691" s="1358"/>
      <c r="I13691" s="1358"/>
    </row>
    <row r="13692" spans="8:9">
      <c r="H13692" s="1358"/>
      <c r="I13692" s="1358"/>
    </row>
    <row r="13693" spans="8:9">
      <c r="H13693" s="1358"/>
      <c r="I13693" s="1358"/>
    </row>
    <row r="13694" spans="8:9">
      <c r="H13694" s="1358"/>
      <c r="I13694" s="1358"/>
    </row>
    <row r="13695" spans="8:9">
      <c r="H13695" s="1358"/>
      <c r="I13695" s="1358"/>
    </row>
    <row r="13696" spans="8:9">
      <c r="H13696" s="1358"/>
      <c r="I13696" s="1358"/>
    </row>
    <row r="13697" spans="8:9">
      <c r="H13697" s="1358"/>
      <c r="I13697" s="1358"/>
    </row>
    <row r="13698" spans="8:9">
      <c r="H13698" s="1358"/>
      <c r="I13698" s="1358"/>
    </row>
    <row r="13699" spans="8:9">
      <c r="H13699" s="1358"/>
      <c r="I13699" s="1358"/>
    </row>
    <row r="13700" spans="8:9">
      <c r="H13700" s="1358"/>
      <c r="I13700" s="1358"/>
    </row>
    <row r="13701" spans="8:9">
      <c r="H13701" s="1358"/>
      <c r="I13701" s="1358"/>
    </row>
    <row r="13702" spans="8:9">
      <c r="H13702" s="1358"/>
      <c r="I13702" s="1358"/>
    </row>
    <row r="13703" spans="8:9">
      <c r="H13703" s="1358"/>
      <c r="I13703" s="1358"/>
    </row>
    <row r="13704" spans="8:9">
      <c r="H13704" s="1358"/>
      <c r="I13704" s="1358"/>
    </row>
    <row r="13705" spans="8:9">
      <c r="H13705" s="1358"/>
      <c r="I13705" s="1358"/>
    </row>
    <row r="13706" spans="8:9">
      <c r="H13706" s="1358"/>
      <c r="I13706" s="1358"/>
    </row>
    <row r="13707" spans="8:9">
      <c r="H13707" s="1358"/>
      <c r="I13707" s="1358"/>
    </row>
    <row r="13708" spans="8:9">
      <c r="H13708" s="1358"/>
      <c r="I13708" s="1358"/>
    </row>
    <row r="13709" spans="8:9">
      <c r="H13709" s="1358"/>
      <c r="I13709" s="1358"/>
    </row>
    <row r="13710" spans="8:9">
      <c r="H13710" s="1358"/>
      <c r="I13710" s="1358"/>
    </row>
    <row r="13711" spans="8:9">
      <c r="H13711" s="1358"/>
      <c r="I13711" s="1358"/>
    </row>
    <row r="13712" spans="8:9">
      <c r="H13712" s="1358"/>
      <c r="I13712" s="1358"/>
    </row>
    <row r="13713" spans="8:9">
      <c r="H13713" s="1358"/>
      <c r="I13713" s="1358"/>
    </row>
    <row r="13714" spans="8:9">
      <c r="H13714" s="1358"/>
      <c r="I13714" s="1358"/>
    </row>
    <row r="13715" spans="8:9">
      <c r="H13715" s="1358"/>
      <c r="I13715" s="1358"/>
    </row>
    <row r="13716" spans="8:9">
      <c r="H13716" s="1358"/>
      <c r="I13716" s="1358"/>
    </row>
    <row r="13717" spans="8:9">
      <c r="H13717" s="1358"/>
      <c r="I13717" s="1358"/>
    </row>
    <row r="13718" spans="8:9">
      <c r="H13718" s="1358"/>
      <c r="I13718" s="1358"/>
    </row>
    <row r="13719" spans="8:9">
      <c r="H13719" s="1358"/>
      <c r="I13719" s="1358"/>
    </row>
    <row r="13720" spans="8:9">
      <c r="H13720" s="1358"/>
      <c r="I13720" s="1358"/>
    </row>
    <row r="13721" spans="8:9">
      <c r="H13721" s="1358"/>
      <c r="I13721" s="1358"/>
    </row>
    <row r="13722" spans="8:9">
      <c r="H13722" s="1358"/>
      <c r="I13722" s="1358"/>
    </row>
    <row r="13723" spans="8:9">
      <c r="H13723" s="1358"/>
      <c r="I13723" s="1358"/>
    </row>
    <row r="13724" spans="8:9">
      <c r="H13724" s="1358"/>
      <c r="I13724" s="1358"/>
    </row>
    <row r="13725" spans="8:9">
      <c r="H13725" s="1358"/>
      <c r="I13725" s="1358"/>
    </row>
    <row r="13726" spans="8:9">
      <c r="H13726" s="1358"/>
      <c r="I13726" s="1358"/>
    </row>
    <row r="13727" spans="8:9">
      <c r="H13727" s="1358"/>
      <c r="I13727" s="1358"/>
    </row>
    <row r="13728" spans="8:9">
      <c r="H13728" s="1358"/>
      <c r="I13728" s="1358"/>
    </row>
    <row r="13729" spans="8:9">
      <c r="H13729" s="1358"/>
      <c r="I13729" s="1358"/>
    </row>
    <row r="13730" spans="8:9">
      <c r="H13730" s="1358"/>
      <c r="I13730" s="1358"/>
    </row>
    <row r="13731" spans="8:9">
      <c r="H13731" s="1358"/>
      <c r="I13731" s="1358"/>
    </row>
    <row r="13732" spans="8:9">
      <c r="H13732" s="1358"/>
      <c r="I13732" s="1358"/>
    </row>
    <row r="13733" spans="8:9">
      <c r="H13733" s="1358"/>
      <c r="I13733" s="1358"/>
    </row>
    <row r="13734" spans="8:9">
      <c r="H13734" s="1358"/>
      <c r="I13734" s="1358"/>
    </row>
    <row r="13735" spans="8:9">
      <c r="H13735" s="1358"/>
      <c r="I13735" s="1358"/>
    </row>
    <row r="13736" spans="8:9">
      <c r="H13736" s="1358"/>
      <c r="I13736" s="1358"/>
    </row>
    <row r="13737" spans="8:9">
      <c r="H13737" s="1358"/>
      <c r="I13737" s="1358"/>
    </row>
    <row r="13738" spans="8:9">
      <c r="H13738" s="1358"/>
      <c r="I13738" s="1358"/>
    </row>
    <row r="13739" spans="8:9">
      <c r="H13739" s="1358"/>
      <c r="I13739" s="1358"/>
    </row>
    <row r="13740" spans="8:9">
      <c r="H13740" s="1358"/>
      <c r="I13740" s="1358"/>
    </row>
    <row r="13741" spans="8:9">
      <c r="H13741" s="1358"/>
      <c r="I13741" s="1358"/>
    </row>
    <row r="13742" spans="8:9">
      <c r="H13742" s="1358"/>
      <c r="I13742" s="1358"/>
    </row>
    <row r="13743" spans="8:9">
      <c r="H13743" s="1358"/>
      <c r="I13743" s="1358"/>
    </row>
    <row r="13744" spans="8:9">
      <c r="H13744" s="1358"/>
      <c r="I13744" s="1358"/>
    </row>
    <row r="13745" spans="8:9">
      <c r="H13745" s="1358"/>
      <c r="I13745" s="1358"/>
    </row>
    <row r="13746" spans="8:9">
      <c r="H13746" s="1358"/>
      <c r="I13746" s="1358"/>
    </row>
    <row r="13747" spans="8:9">
      <c r="H13747" s="1358"/>
      <c r="I13747" s="1358"/>
    </row>
    <row r="13748" spans="8:9">
      <c r="H13748" s="1358"/>
      <c r="I13748" s="1358"/>
    </row>
    <row r="13749" spans="8:9">
      <c r="H13749" s="1358"/>
      <c r="I13749" s="1358"/>
    </row>
    <row r="13750" spans="8:9">
      <c r="H13750" s="1358"/>
      <c r="I13750" s="1358"/>
    </row>
    <row r="13751" spans="8:9">
      <c r="H13751" s="1358"/>
      <c r="I13751" s="1358"/>
    </row>
    <row r="13752" spans="8:9">
      <c r="H13752" s="1358"/>
      <c r="I13752" s="1358"/>
    </row>
    <row r="13753" spans="8:9">
      <c r="H13753" s="1358"/>
      <c r="I13753" s="1358"/>
    </row>
    <row r="13754" spans="8:9">
      <c r="H13754" s="1358"/>
      <c r="I13754" s="1358"/>
    </row>
    <row r="13755" spans="8:9">
      <c r="H13755" s="1358"/>
      <c r="I13755" s="1358"/>
    </row>
    <row r="13756" spans="8:9">
      <c r="H13756" s="1358"/>
      <c r="I13756" s="1358"/>
    </row>
    <row r="13757" spans="8:9">
      <c r="H13757" s="1358"/>
      <c r="I13757" s="1358"/>
    </row>
    <row r="13758" spans="8:9">
      <c r="H13758" s="1358"/>
      <c r="I13758" s="1358"/>
    </row>
    <row r="13759" spans="8:9">
      <c r="H13759" s="1358"/>
      <c r="I13759" s="1358"/>
    </row>
    <row r="13760" spans="8:9">
      <c r="H13760" s="1358"/>
      <c r="I13760" s="1358"/>
    </row>
    <row r="13761" spans="8:9">
      <c r="H13761" s="1358"/>
      <c r="I13761" s="1358"/>
    </row>
    <row r="13762" spans="8:9">
      <c r="H13762" s="1358"/>
      <c r="I13762" s="1358"/>
    </row>
    <row r="13763" spans="8:9">
      <c r="H13763" s="1358"/>
      <c r="I13763" s="1358"/>
    </row>
    <row r="13764" spans="8:9">
      <c r="H13764" s="1358"/>
      <c r="I13764" s="1358"/>
    </row>
    <row r="13765" spans="8:9">
      <c r="H13765" s="1358"/>
      <c r="I13765" s="1358"/>
    </row>
    <row r="13766" spans="8:9">
      <c r="H13766" s="1358"/>
      <c r="I13766" s="1358"/>
    </row>
    <row r="13767" spans="8:9">
      <c r="H13767" s="1358"/>
      <c r="I13767" s="1358"/>
    </row>
    <row r="13768" spans="8:9">
      <c r="H13768" s="1358"/>
      <c r="I13768" s="1358"/>
    </row>
    <row r="13769" spans="8:9">
      <c r="H13769" s="1358"/>
      <c r="I13769" s="1358"/>
    </row>
    <row r="13770" spans="8:9">
      <c r="H13770" s="1358"/>
      <c r="I13770" s="1358"/>
    </row>
    <row r="13771" spans="8:9">
      <c r="H13771" s="1358"/>
      <c r="I13771" s="1358"/>
    </row>
    <row r="13772" spans="8:9">
      <c r="H13772" s="1358"/>
      <c r="I13772" s="1358"/>
    </row>
    <row r="13773" spans="8:9">
      <c r="H13773" s="1358"/>
      <c r="I13773" s="1358"/>
    </row>
    <row r="13774" spans="8:9">
      <c r="H13774" s="1358"/>
      <c r="I13774" s="1358"/>
    </row>
    <row r="13775" spans="8:9">
      <c r="H13775" s="1358"/>
      <c r="I13775" s="1358"/>
    </row>
    <row r="13776" spans="8:9">
      <c r="H13776" s="1358"/>
      <c r="I13776" s="1358"/>
    </row>
    <row r="13777" spans="8:9">
      <c r="H13777" s="1358"/>
      <c r="I13777" s="1358"/>
    </row>
    <row r="13778" spans="8:9">
      <c r="H13778" s="1358"/>
      <c r="I13778" s="1358"/>
    </row>
    <row r="13779" spans="8:9">
      <c r="H13779" s="1358"/>
      <c r="I13779" s="1358"/>
    </row>
    <row r="13780" spans="8:9">
      <c r="H13780" s="1358"/>
      <c r="I13780" s="1358"/>
    </row>
    <row r="13781" spans="8:9">
      <c r="H13781" s="1358"/>
      <c r="I13781" s="1358"/>
    </row>
    <row r="13782" spans="8:9">
      <c r="H13782" s="1358"/>
      <c r="I13782" s="1358"/>
    </row>
    <row r="13783" spans="8:9">
      <c r="H13783" s="1358"/>
      <c r="I13783" s="1358"/>
    </row>
    <row r="13784" spans="8:9">
      <c r="H13784" s="1358"/>
      <c r="I13784" s="1358"/>
    </row>
    <row r="13785" spans="8:9">
      <c r="H13785" s="1358"/>
      <c r="I13785" s="1358"/>
    </row>
    <row r="13786" spans="8:9">
      <c r="H13786" s="1358"/>
      <c r="I13786" s="1358"/>
    </row>
    <row r="13787" spans="8:9">
      <c r="H13787" s="1358"/>
      <c r="I13787" s="1358"/>
    </row>
    <row r="13788" spans="8:9">
      <c r="H13788" s="1358"/>
      <c r="I13788" s="1358"/>
    </row>
    <row r="13789" spans="8:9">
      <c r="H13789" s="1358"/>
      <c r="I13789" s="1358"/>
    </row>
    <row r="13790" spans="8:9">
      <c r="H13790" s="1358"/>
      <c r="I13790" s="1358"/>
    </row>
    <row r="13791" spans="8:9">
      <c r="H13791" s="1358"/>
      <c r="I13791" s="1358"/>
    </row>
    <row r="13792" spans="8:9">
      <c r="H13792" s="1358"/>
      <c r="I13792" s="1358"/>
    </row>
    <row r="13793" spans="8:9">
      <c r="H13793" s="1358"/>
      <c r="I13793" s="1358"/>
    </row>
    <row r="13794" spans="8:9">
      <c r="H13794" s="1358"/>
      <c r="I13794" s="1358"/>
    </row>
    <row r="13795" spans="8:9">
      <c r="H13795" s="1358"/>
      <c r="I13795" s="1358"/>
    </row>
    <row r="13796" spans="8:9">
      <c r="H13796" s="1358"/>
      <c r="I13796" s="1358"/>
    </row>
    <row r="13797" spans="8:9">
      <c r="H13797" s="1358"/>
      <c r="I13797" s="1358"/>
    </row>
    <row r="13798" spans="8:9">
      <c r="H13798" s="1358"/>
      <c r="I13798" s="1358"/>
    </row>
    <row r="13799" spans="8:9">
      <c r="H13799" s="1358"/>
      <c r="I13799" s="1358"/>
    </row>
    <row r="13800" spans="8:9">
      <c r="H13800" s="1358"/>
      <c r="I13800" s="1358"/>
    </row>
    <row r="13801" spans="8:9">
      <c r="H13801" s="1358"/>
      <c r="I13801" s="1358"/>
    </row>
    <row r="13802" spans="8:9">
      <c r="H13802" s="1358"/>
      <c r="I13802" s="1358"/>
    </row>
    <row r="13803" spans="8:9">
      <c r="H13803" s="1358"/>
      <c r="I13803" s="1358"/>
    </row>
    <row r="13804" spans="8:9">
      <c r="H13804" s="1358"/>
      <c r="I13804" s="1358"/>
    </row>
    <row r="13805" spans="8:9">
      <c r="H13805" s="1358"/>
      <c r="I13805" s="1358"/>
    </row>
    <row r="13806" spans="8:9">
      <c r="H13806" s="1358"/>
      <c r="I13806" s="1358"/>
    </row>
    <row r="13807" spans="8:9">
      <c r="H13807" s="1358"/>
      <c r="I13807" s="1358"/>
    </row>
    <row r="13808" spans="8:9">
      <c r="H13808" s="1358"/>
      <c r="I13808" s="1358"/>
    </row>
    <row r="13809" spans="8:9">
      <c r="H13809" s="1358"/>
      <c r="I13809" s="1358"/>
    </row>
    <row r="13810" spans="8:9">
      <c r="H13810" s="1358"/>
      <c r="I13810" s="1358"/>
    </row>
    <row r="13811" spans="8:9">
      <c r="H13811" s="1358"/>
      <c r="I13811" s="1358"/>
    </row>
    <row r="13812" spans="8:9">
      <c r="H13812" s="1358"/>
      <c r="I13812" s="1358"/>
    </row>
    <row r="13813" spans="8:9">
      <c r="H13813" s="1358"/>
      <c r="I13813" s="1358"/>
    </row>
    <row r="13814" spans="8:9">
      <c r="H13814" s="1358"/>
      <c r="I13814" s="1358"/>
    </row>
    <row r="13815" spans="8:9">
      <c r="H13815" s="1358"/>
      <c r="I13815" s="1358"/>
    </row>
    <row r="13816" spans="8:9">
      <c r="H13816" s="1358"/>
      <c r="I13816" s="1358"/>
    </row>
    <row r="13817" spans="8:9">
      <c r="H13817" s="1358"/>
      <c r="I13817" s="1358"/>
    </row>
    <row r="13818" spans="8:9">
      <c r="H13818" s="1358"/>
      <c r="I13818" s="1358"/>
    </row>
    <row r="13819" spans="8:9">
      <c r="H13819" s="1358"/>
      <c r="I13819" s="1358"/>
    </row>
    <row r="13820" spans="8:9">
      <c r="H13820" s="1358"/>
      <c r="I13820" s="1358"/>
    </row>
    <row r="13821" spans="8:9">
      <c r="H13821" s="1358"/>
      <c r="I13821" s="1358"/>
    </row>
    <row r="13822" spans="8:9">
      <c r="H13822" s="1358"/>
      <c r="I13822" s="1358"/>
    </row>
    <row r="13823" spans="8:9">
      <c r="H13823" s="1358"/>
      <c r="I13823" s="1358"/>
    </row>
    <row r="13824" spans="8:9">
      <c r="H13824" s="1358"/>
      <c r="I13824" s="1358"/>
    </row>
    <row r="13825" spans="8:9">
      <c r="H13825" s="1358"/>
      <c r="I13825" s="1358"/>
    </row>
    <row r="13826" spans="8:9">
      <c r="H13826" s="1358"/>
      <c r="I13826" s="1358"/>
    </row>
    <row r="13827" spans="8:9">
      <c r="H13827" s="1358"/>
      <c r="I13827" s="1358"/>
    </row>
    <row r="13828" spans="8:9">
      <c r="H13828" s="1358"/>
      <c r="I13828" s="1358"/>
    </row>
    <row r="13829" spans="8:9">
      <c r="H13829" s="1358"/>
      <c r="I13829" s="1358"/>
    </row>
    <row r="13830" spans="8:9">
      <c r="H13830" s="1358"/>
      <c r="I13830" s="1358"/>
    </row>
    <row r="13831" spans="8:9">
      <c r="H13831" s="1358"/>
      <c r="I13831" s="1358"/>
    </row>
    <row r="13832" spans="8:9">
      <c r="H13832" s="1358"/>
      <c r="I13832" s="1358"/>
    </row>
    <row r="13833" spans="8:9">
      <c r="H13833" s="1358"/>
      <c r="I13833" s="1358"/>
    </row>
    <row r="13834" spans="8:9">
      <c r="H13834" s="1358"/>
      <c r="I13834" s="1358"/>
    </row>
    <row r="13835" spans="8:9">
      <c r="H13835" s="1358"/>
      <c r="I13835" s="1358"/>
    </row>
    <row r="13836" spans="8:9">
      <c r="H13836" s="1358"/>
      <c r="I13836" s="1358"/>
    </row>
    <row r="13837" spans="8:9">
      <c r="H13837" s="1358"/>
      <c r="I13837" s="1358"/>
    </row>
    <row r="13838" spans="8:9">
      <c r="H13838" s="1358"/>
      <c r="I13838" s="1358"/>
    </row>
    <row r="13839" spans="8:9">
      <c r="H13839" s="1358"/>
      <c r="I13839" s="1358"/>
    </row>
    <row r="13840" spans="8:9">
      <c r="H13840" s="1358"/>
      <c r="I13840" s="1358"/>
    </row>
    <row r="13841" spans="8:9">
      <c r="H13841" s="1358"/>
      <c r="I13841" s="1358"/>
    </row>
    <row r="13842" spans="8:9">
      <c r="H13842" s="1358"/>
      <c r="I13842" s="1358"/>
    </row>
    <row r="13843" spans="8:9">
      <c r="H13843" s="1358"/>
      <c r="I13843" s="1358"/>
    </row>
    <row r="13844" spans="8:9">
      <c r="H13844" s="1358"/>
      <c r="I13844" s="1358"/>
    </row>
    <row r="13845" spans="8:9">
      <c r="H13845" s="1358"/>
      <c r="I13845" s="1358"/>
    </row>
    <row r="13846" spans="8:9">
      <c r="H13846" s="1358"/>
      <c r="I13846" s="1358"/>
    </row>
    <row r="13847" spans="8:9">
      <c r="H13847" s="1358"/>
      <c r="I13847" s="1358"/>
    </row>
    <row r="13848" spans="8:9">
      <c r="H13848" s="1358"/>
      <c r="I13848" s="1358"/>
    </row>
    <row r="13849" spans="8:9">
      <c r="H13849" s="1358"/>
      <c r="I13849" s="1358"/>
    </row>
    <row r="13850" spans="8:9">
      <c r="H13850" s="1358"/>
      <c r="I13850" s="1358"/>
    </row>
    <row r="13851" spans="8:9">
      <c r="H13851" s="1358"/>
      <c r="I13851" s="1358"/>
    </row>
    <row r="13852" spans="8:9">
      <c r="H13852" s="1358"/>
      <c r="I13852" s="1358"/>
    </row>
    <row r="13853" spans="8:9">
      <c r="H13853" s="1358"/>
      <c r="I13853" s="1358"/>
    </row>
    <row r="13854" spans="8:9">
      <c r="H13854" s="1358"/>
      <c r="I13854" s="1358"/>
    </row>
    <row r="13855" spans="8:9">
      <c r="H13855" s="1358"/>
      <c r="I13855" s="1358"/>
    </row>
    <row r="13856" spans="8:9">
      <c r="H13856" s="1358"/>
      <c r="I13856" s="1358"/>
    </row>
    <row r="13857" spans="8:9">
      <c r="H13857" s="1358"/>
      <c r="I13857" s="1358"/>
    </row>
    <row r="13858" spans="8:9">
      <c r="H13858" s="1358"/>
      <c r="I13858" s="1358"/>
    </row>
    <row r="13859" spans="8:9">
      <c r="H13859" s="1358"/>
      <c r="I13859" s="1358"/>
    </row>
    <row r="13860" spans="8:9">
      <c r="H13860" s="1358"/>
      <c r="I13860" s="1358"/>
    </row>
    <row r="13861" spans="8:9">
      <c r="H13861" s="1358"/>
      <c r="I13861" s="1358"/>
    </row>
    <row r="13862" spans="8:9">
      <c r="H13862" s="1358"/>
      <c r="I13862" s="1358"/>
    </row>
    <row r="13863" spans="8:9">
      <c r="H13863" s="1358"/>
      <c r="I13863" s="1358"/>
    </row>
    <row r="13864" spans="8:9">
      <c r="H13864" s="1358"/>
      <c r="I13864" s="1358"/>
    </row>
    <row r="13865" spans="8:9">
      <c r="H13865" s="1358"/>
      <c r="I13865" s="1358"/>
    </row>
    <row r="13866" spans="8:9">
      <c r="H13866" s="1358"/>
      <c r="I13866" s="1358"/>
    </row>
    <row r="13867" spans="8:9">
      <c r="H13867" s="1358"/>
      <c r="I13867" s="1358"/>
    </row>
    <row r="13868" spans="8:9">
      <c r="H13868" s="1358"/>
      <c r="I13868" s="1358"/>
    </row>
    <row r="13869" spans="8:9">
      <c r="H13869" s="1358"/>
      <c r="I13869" s="1358"/>
    </row>
    <row r="13870" spans="8:9">
      <c r="H13870" s="1358"/>
      <c r="I13870" s="1358"/>
    </row>
    <row r="13871" spans="8:9">
      <c r="H13871" s="1358"/>
      <c r="I13871" s="1358"/>
    </row>
    <row r="13872" spans="8:9">
      <c r="H13872" s="1358"/>
      <c r="I13872" s="1358"/>
    </row>
    <row r="13873" spans="8:9">
      <c r="H13873" s="1358"/>
      <c r="I13873" s="1358"/>
    </row>
    <row r="13874" spans="8:9">
      <c r="H13874" s="1358"/>
      <c r="I13874" s="1358"/>
    </row>
    <row r="13875" spans="8:9">
      <c r="H13875" s="1358"/>
      <c r="I13875" s="1358"/>
    </row>
    <row r="13876" spans="8:9">
      <c r="H13876" s="1358"/>
      <c r="I13876" s="1358"/>
    </row>
    <row r="13877" spans="8:9">
      <c r="H13877" s="1358"/>
      <c r="I13877" s="1358"/>
    </row>
    <row r="13878" spans="8:9">
      <c r="H13878" s="1358"/>
      <c r="I13878" s="1358"/>
    </row>
    <row r="13879" spans="8:9">
      <c r="H13879" s="1358"/>
      <c r="I13879" s="1358"/>
    </row>
    <row r="13880" spans="8:9">
      <c r="H13880" s="1358"/>
      <c r="I13880" s="1358"/>
    </row>
    <row r="13881" spans="8:9">
      <c r="H13881" s="1358"/>
      <c r="I13881" s="1358"/>
    </row>
    <row r="13882" spans="8:9">
      <c r="H13882" s="1358"/>
      <c r="I13882" s="1358"/>
    </row>
    <row r="13883" spans="8:9">
      <c r="H13883" s="1358"/>
      <c r="I13883" s="1358"/>
    </row>
    <row r="13884" spans="8:9">
      <c r="H13884" s="1358"/>
      <c r="I13884" s="1358"/>
    </row>
    <row r="13885" spans="8:9">
      <c r="H13885" s="1358"/>
      <c r="I13885" s="1358"/>
    </row>
    <row r="13886" spans="8:9">
      <c r="H13886" s="1358"/>
      <c r="I13886" s="1358"/>
    </row>
    <row r="13887" spans="8:9">
      <c r="H13887" s="1358"/>
      <c r="I13887" s="1358"/>
    </row>
    <row r="13888" spans="8:9">
      <c r="H13888" s="1358"/>
      <c r="I13888" s="1358"/>
    </row>
    <row r="13889" spans="8:9">
      <c r="H13889" s="1358"/>
      <c r="I13889" s="1358"/>
    </row>
    <row r="13890" spans="8:9">
      <c r="H13890" s="1358"/>
      <c r="I13890" s="1358"/>
    </row>
    <row r="13891" spans="8:9">
      <c r="H13891" s="1358"/>
      <c r="I13891" s="1358"/>
    </row>
    <row r="13892" spans="8:9">
      <c r="H13892" s="1358"/>
      <c r="I13892" s="1358"/>
    </row>
    <row r="13893" spans="8:9">
      <c r="H13893" s="1358"/>
      <c r="I13893" s="1358"/>
    </row>
    <row r="13894" spans="8:9">
      <c r="H13894" s="1358"/>
      <c r="I13894" s="1358"/>
    </row>
    <row r="13895" spans="8:9">
      <c r="H13895" s="1358"/>
      <c r="I13895" s="1358"/>
    </row>
    <row r="13896" spans="8:9">
      <c r="H13896" s="1358"/>
      <c r="I13896" s="1358"/>
    </row>
    <row r="13897" spans="8:9">
      <c r="H13897" s="1358"/>
      <c r="I13897" s="1358"/>
    </row>
    <row r="13898" spans="8:9">
      <c r="H13898" s="1358"/>
      <c r="I13898" s="1358"/>
    </row>
    <row r="13899" spans="8:9">
      <c r="H13899" s="1358"/>
      <c r="I13899" s="1358"/>
    </row>
    <row r="13900" spans="8:9">
      <c r="H13900" s="1358"/>
      <c r="I13900" s="1358"/>
    </row>
    <row r="13901" spans="8:9">
      <c r="H13901" s="1358"/>
      <c r="I13901" s="1358"/>
    </row>
    <row r="13902" spans="8:9">
      <c r="H13902" s="1358"/>
      <c r="I13902" s="1358"/>
    </row>
    <row r="13903" spans="8:9">
      <c r="H13903" s="1358"/>
      <c r="I13903" s="1358"/>
    </row>
    <row r="13904" spans="8:9">
      <c r="H13904" s="1358"/>
      <c r="I13904" s="1358"/>
    </row>
    <row r="13905" spans="8:9">
      <c r="H13905" s="1358"/>
      <c r="I13905" s="1358"/>
    </row>
    <row r="13906" spans="8:9">
      <c r="H13906" s="1358"/>
      <c r="I13906" s="1358"/>
    </row>
    <row r="13907" spans="8:9">
      <c r="H13907" s="1358"/>
      <c r="I13907" s="1358"/>
    </row>
    <row r="13908" spans="8:9">
      <c r="H13908" s="1358"/>
      <c r="I13908" s="1358"/>
    </row>
    <row r="13909" spans="8:9">
      <c r="H13909" s="1358"/>
      <c r="I13909" s="1358"/>
    </row>
    <row r="13910" spans="8:9">
      <c r="H13910" s="1358"/>
      <c r="I13910" s="1358"/>
    </row>
    <row r="13911" spans="8:9">
      <c r="H13911" s="1358"/>
      <c r="I13911" s="1358"/>
    </row>
    <row r="13912" spans="8:9">
      <c r="H13912" s="1358"/>
      <c r="I13912" s="1358"/>
    </row>
    <row r="13913" spans="8:9">
      <c r="H13913" s="1358"/>
      <c r="I13913" s="1358"/>
    </row>
    <row r="13914" spans="8:9">
      <c r="H13914" s="1358"/>
      <c r="I13914" s="1358"/>
    </row>
    <row r="13915" spans="8:9">
      <c r="H13915" s="1358"/>
      <c r="I13915" s="1358"/>
    </row>
    <row r="13916" spans="8:9">
      <c r="H13916" s="1358"/>
      <c r="I13916" s="1358"/>
    </row>
    <row r="13917" spans="8:9">
      <c r="H13917" s="1358"/>
      <c r="I13917" s="1358"/>
    </row>
    <row r="13918" spans="8:9">
      <c r="H13918" s="1358"/>
      <c r="I13918" s="1358"/>
    </row>
    <row r="13919" spans="8:9">
      <c r="H13919" s="1358"/>
      <c r="I13919" s="1358"/>
    </row>
    <row r="13920" spans="8:9">
      <c r="H13920" s="1358"/>
      <c r="I13920" s="1358"/>
    </row>
    <row r="13921" spans="8:9">
      <c r="H13921" s="1358"/>
      <c r="I13921" s="1358"/>
    </row>
    <row r="13922" spans="8:9">
      <c r="H13922" s="1358"/>
      <c r="I13922" s="1358"/>
    </row>
    <row r="13923" spans="8:9">
      <c r="H13923" s="1358"/>
      <c r="I13923" s="1358"/>
    </row>
    <row r="13924" spans="8:9">
      <c r="H13924" s="1358"/>
      <c r="I13924" s="1358"/>
    </row>
    <row r="13925" spans="8:9">
      <c r="H13925" s="1358"/>
      <c r="I13925" s="1358"/>
    </row>
    <row r="13926" spans="8:9">
      <c r="H13926" s="1358"/>
      <c r="I13926" s="1358"/>
    </row>
    <row r="13927" spans="8:9">
      <c r="H13927" s="1358"/>
      <c r="I13927" s="1358"/>
    </row>
    <row r="13928" spans="8:9">
      <c r="H13928" s="1358"/>
      <c r="I13928" s="1358"/>
    </row>
    <row r="13929" spans="8:9">
      <c r="H13929" s="1358"/>
      <c r="I13929" s="1358"/>
    </row>
    <row r="13930" spans="8:9">
      <c r="H13930" s="1358"/>
      <c r="I13930" s="1358"/>
    </row>
    <row r="13931" spans="8:9">
      <c r="H13931" s="1358"/>
      <c r="I13931" s="1358"/>
    </row>
    <row r="13932" spans="8:9">
      <c r="H13932" s="1358"/>
      <c r="I13932" s="1358"/>
    </row>
    <row r="13933" spans="8:9">
      <c r="H13933" s="1358"/>
      <c r="I13933" s="1358"/>
    </row>
    <row r="13934" spans="8:9">
      <c r="H13934" s="1358"/>
      <c r="I13934" s="1358"/>
    </row>
    <row r="13935" spans="8:9">
      <c r="H13935" s="1358"/>
      <c r="I13935" s="1358"/>
    </row>
    <row r="13936" spans="8:9">
      <c r="H13936" s="1358"/>
      <c r="I13936" s="1358"/>
    </row>
    <row r="13937" spans="8:9">
      <c r="H13937" s="1358"/>
      <c r="I13937" s="1358"/>
    </row>
    <row r="13938" spans="8:9">
      <c r="H13938" s="1358"/>
      <c r="I13938" s="1358"/>
    </row>
    <row r="13939" spans="8:9">
      <c r="H13939" s="1358"/>
      <c r="I13939" s="1358"/>
    </row>
    <row r="13940" spans="8:9">
      <c r="H13940" s="1358"/>
      <c r="I13940" s="1358"/>
    </row>
    <row r="13941" spans="8:9">
      <c r="H13941" s="1358"/>
      <c r="I13941" s="1358"/>
    </row>
    <row r="13942" spans="8:9">
      <c r="H13942" s="1358"/>
      <c r="I13942" s="1358"/>
    </row>
    <row r="13943" spans="8:9">
      <c r="H13943" s="1358"/>
      <c r="I13943" s="1358"/>
    </row>
    <row r="13944" spans="8:9">
      <c r="H13944" s="1358"/>
      <c r="I13944" s="1358"/>
    </row>
    <row r="13945" spans="8:9">
      <c r="H13945" s="1358"/>
      <c r="I13945" s="1358"/>
    </row>
    <row r="13946" spans="8:9">
      <c r="H13946" s="1358"/>
      <c r="I13946" s="1358"/>
    </row>
    <row r="13947" spans="8:9">
      <c r="H13947" s="1358"/>
      <c r="I13947" s="1358"/>
    </row>
    <row r="13948" spans="8:9">
      <c r="H13948" s="1358"/>
      <c r="I13948" s="1358"/>
    </row>
    <row r="13949" spans="8:9">
      <c r="H13949" s="1358"/>
      <c r="I13949" s="1358"/>
    </row>
    <row r="13950" spans="8:9">
      <c r="H13950" s="1358"/>
      <c r="I13950" s="1358"/>
    </row>
    <row r="13951" spans="8:9">
      <c r="H13951" s="1358"/>
      <c r="I13951" s="1358"/>
    </row>
    <row r="13952" spans="8:9">
      <c r="H13952" s="1358"/>
      <c r="I13952" s="1358"/>
    </row>
    <row r="13953" spans="8:9">
      <c r="H13953" s="1358"/>
      <c r="I13953" s="1358"/>
    </row>
    <row r="13954" spans="8:9">
      <c r="H13954" s="1358"/>
      <c r="I13954" s="1358"/>
    </row>
    <row r="13955" spans="8:9">
      <c r="H13955" s="1358"/>
      <c r="I13955" s="1358"/>
    </row>
    <row r="13956" spans="8:9">
      <c r="H13956" s="1358"/>
      <c r="I13956" s="1358"/>
    </row>
    <row r="13957" spans="8:9">
      <c r="H13957" s="1358"/>
      <c r="I13957" s="1358"/>
    </row>
    <row r="13958" spans="8:9">
      <c r="H13958" s="1358"/>
      <c r="I13958" s="1358"/>
    </row>
    <row r="13959" spans="8:9">
      <c r="H13959" s="1358"/>
      <c r="I13959" s="1358"/>
    </row>
    <row r="13960" spans="8:9">
      <c r="H13960" s="1358"/>
      <c r="I13960" s="1358"/>
    </row>
    <row r="13961" spans="8:9">
      <c r="H13961" s="1358"/>
      <c r="I13961" s="1358"/>
    </row>
    <row r="13962" spans="8:9">
      <c r="H13962" s="1358"/>
      <c r="I13962" s="1358"/>
    </row>
    <row r="13963" spans="8:9">
      <c r="H13963" s="1358"/>
      <c r="I13963" s="1358"/>
    </row>
    <row r="13964" spans="8:9">
      <c r="H13964" s="1358"/>
      <c r="I13964" s="1358"/>
    </row>
    <row r="13965" spans="8:9">
      <c r="H13965" s="1358"/>
      <c r="I13965" s="1358"/>
    </row>
    <row r="13966" spans="8:9">
      <c r="H13966" s="1358"/>
      <c r="I13966" s="1358"/>
    </row>
    <row r="13967" spans="8:9">
      <c r="H13967" s="1358"/>
      <c r="I13967" s="1358"/>
    </row>
    <row r="13968" spans="8:9">
      <c r="H13968" s="1358"/>
      <c r="I13968" s="1358"/>
    </row>
    <row r="13969" spans="8:9">
      <c r="H13969" s="1358"/>
      <c r="I13969" s="1358"/>
    </row>
    <row r="13970" spans="8:9">
      <c r="H13970" s="1358"/>
      <c r="I13970" s="1358"/>
    </row>
    <row r="13971" spans="8:9">
      <c r="H13971" s="1358"/>
      <c r="I13971" s="1358"/>
    </row>
    <row r="13972" spans="8:9">
      <c r="H13972" s="1358"/>
      <c r="I13972" s="1358"/>
    </row>
    <row r="13973" spans="8:9">
      <c r="H13973" s="1358"/>
      <c r="I13973" s="1358"/>
    </row>
    <row r="13974" spans="8:9">
      <c r="H13974" s="1358"/>
      <c r="I13974" s="1358"/>
    </row>
    <row r="13975" spans="8:9">
      <c r="H13975" s="1358"/>
      <c r="I13975" s="1358"/>
    </row>
    <row r="13976" spans="8:9">
      <c r="H13976" s="1358"/>
      <c r="I13976" s="1358"/>
    </row>
    <row r="13977" spans="8:9">
      <c r="H13977" s="1358"/>
      <c r="I13977" s="1358"/>
    </row>
    <row r="13978" spans="8:9">
      <c r="H13978" s="1358"/>
      <c r="I13978" s="1358"/>
    </row>
    <row r="13979" spans="8:9">
      <c r="H13979" s="1358"/>
      <c r="I13979" s="1358"/>
    </row>
    <row r="13980" spans="8:9">
      <c r="H13980" s="1358"/>
      <c r="I13980" s="1358"/>
    </row>
    <row r="13981" spans="8:9">
      <c r="H13981" s="1358"/>
      <c r="I13981" s="1358"/>
    </row>
    <row r="13982" spans="8:9">
      <c r="H13982" s="1358"/>
      <c r="I13982" s="1358"/>
    </row>
    <row r="13983" spans="8:9">
      <c r="H13983" s="1358"/>
      <c r="I13983" s="1358"/>
    </row>
    <row r="13984" spans="8:9">
      <c r="H13984" s="1358"/>
      <c r="I13984" s="1358"/>
    </row>
    <row r="13985" spans="8:9">
      <c r="H13985" s="1358"/>
      <c r="I13985" s="1358"/>
    </row>
    <row r="13986" spans="8:9">
      <c r="H13986" s="1358"/>
      <c r="I13986" s="1358"/>
    </row>
    <row r="13987" spans="8:9">
      <c r="H13987" s="1358"/>
      <c r="I13987" s="1358"/>
    </row>
    <row r="13988" spans="8:9">
      <c r="H13988" s="1358"/>
      <c r="I13988" s="1358"/>
    </row>
    <row r="13989" spans="8:9">
      <c r="H13989" s="1358"/>
      <c r="I13989" s="1358"/>
    </row>
    <row r="13990" spans="8:9">
      <c r="H13990" s="1358"/>
      <c r="I13990" s="1358"/>
    </row>
    <row r="13991" spans="8:9">
      <c r="H13991" s="1358"/>
      <c r="I13991" s="1358"/>
    </row>
    <row r="13992" spans="8:9">
      <c r="H13992" s="1358"/>
      <c r="I13992" s="1358"/>
    </row>
    <row r="13993" spans="8:9">
      <c r="H13993" s="1358"/>
      <c r="I13993" s="1358"/>
    </row>
    <row r="13994" spans="8:9">
      <c r="H13994" s="1358"/>
      <c r="I13994" s="1358"/>
    </row>
    <row r="13995" spans="8:9">
      <c r="H13995" s="1358"/>
      <c r="I13995" s="1358"/>
    </row>
    <row r="13996" spans="8:9">
      <c r="H13996" s="1358"/>
      <c r="I13996" s="1358"/>
    </row>
    <row r="13997" spans="8:9">
      <c r="H13997" s="1358"/>
      <c r="I13997" s="1358"/>
    </row>
    <row r="13998" spans="8:9">
      <c r="H13998" s="1358"/>
      <c r="I13998" s="1358"/>
    </row>
    <row r="13999" spans="8:9">
      <c r="H13999" s="1358"/>
      <c r="I13999" s="1358"/>
    </row>
    <row r="14000" spans="8:9">
      <c r="H14000" s="1358"/>
      <c r="I14000" s="1358"/>
    </row>
    <row r="14001" spans="8:9">
      <c r="H14001" s="1358"/>
      <c r="I14001" s="1358"/>
    </row>
    <row r="14002" spans="8:9">
      <c r="H14002" s="1358"/>
      <c r="I14002" s="1358"/>
    </row>
    <row r="14003" spans="8:9">
      <c r="H14003" s="1358"/>
      <c r="I14003" s="1358"/>
    </row>
    <row r="14004" spans="8:9">
      <c r="H14004" s="1358"/>
      <c r="I14004" s="1358"/>
    </row>
    <row r="14005" spans="8:9">
      <c r="H14005" s="1358"/>
      <c r="I14005" s="1358"/>
    </row>
    <row r="14006" spans="8:9">
      <c r="H14006" s="1358"/>
      <c r="I14006" s="1358"/>
    </row>
    <row r="14007" spans="8:9">
      <c r="H14007" s="1358"/>
      <c r="I14007" s="1358"/>
    </row>
    <row r="14008" spans="8:9">
      <c r="H14008" s="1358"/>
      <c r="I14008" s="1358"/>
    </row>
    <row r="14009" spans="8:9">
      <c r="H14009" s="1358"/>
      <c r="I14009" s="1358"/>
    </row>
    <row r="14010" spans="8:9">
      <c r="H14010" s="1358"/>
      <c r="I14010" s="1358"/>
    </row>
    <row r="14011" spans="8:9">
      <c r="H14011" s="1358"/>
      <c r="I14011" s="1358"/>
    </row>
    <row r="14012" spans="8:9">
      <c r="H14012" s="1358"/>
      <c r="I14012" s="1358"/>
    </row>
    <row r="14013" spans="8:9">
      <c r="H14013" s="1358"/>
      <c r="I14013" s="1358"/>
    </row>
    <row r="14014" spans="8:9">
      <c r="H14014" s="1358"/>
      <c r="I14014" s="1358"/>
    </row>
    <row r="14015" spans="8:9">
      <c r="H14015" s="1358"/>
      <c r="I14015" s="1358"/>
    </row>
    <row r="14016" spans="8:9">
      <c r="H14016" s="1358"/>
      <c r="I14016" s="1358"/>
    </row>
    <row r="14017" spans="8:9">
      <c r="H14017" s="1358"/>
      <c r="I14017" s="1358"/>
    </row>
    <row r="14018" spans="8:9">
      <c r="H14018" s="1358"/>
      <c r="I14018" s="1358"/>
    </row>
    <row r="14019" spans="8:9">
      <c r="H14019" s="1358"/>
      <c r="I14019" s="1358"/>
    </row>
    <row r="14020" spans="8:9">
      <c r="H14020" s="1358"/>
      <c r="I14020" s="1358"/>
    </row>
    <row r="14021" spans="8:9">
      <c r="H14021" s="1358"/>
      <c r="I14021" s="1358"/>
    </row>
    <row r="14022" spans="8:9">
      <c r="H14022" s="1358"/>
      <c r="I14022" s="1358"/>
    </row>
    <row r="14023" spans="8:9">
      <c r="H14023" s="1358"/>
      <c r="I14023" s="1358"/>
    </row>
    <row r="14024" spans="8:9">
      <c r="H14024" s="1358"/>
      <c r="I14024" s="1358"/>
    </row>
    <row r="14025" spans="8:9">
      <c r="H14025" s="1358"/>
      <c r="I14025" s="1358"/>
    </row>
    <row r="14026" spans="8:9">
      <c r="H14026" s="1358"/>
      <c r="I14026" s="1358"/>
    </row>
    <row r="14027" spans="8:9">
      <c r="H14027" s="1358"/>
      <c r="I14027" s="1358"/>
    </row>
    <row r="14028" spans="8:9">
      <c r="H14028" s="1358"/>
      <c r="I14028" s="1358"/>
    </row>
    <row r="14029" spans="8:9">
      <c r="H14029" s="1358"/>
      <c r="I14029" s="1358"/>
    </row>
    <row r="14030" spans="8:9">
      <c r="H14030" s="1358"/>
      <c r="I14030" s="1358"/>
    </row>
    <row r="14031" spans="8:9">
      <c r="H14031" s="1358"/>
      <c r="I14031" s="1358"/>
    </row>
    <row r="14032" spans="8:9">
      <c r="H14032" s="1358"/>
      <c r="I14032" s="1358"/>
    </row>
    <row r="14033" spans="8:9">
      <c r="H14033" s="1358"/>
      <c r="I14033" s="1358"/>
    </row>
    <row r="14034" spans="8:9">
      <c r="H14034" s="1358"/>
      <c r="I14034" s="1358"/>
    </row>
    <row r="14035" spans="8:9">
      <c r="H14035" s="1358"/>
      <c r="I14035" s="1358"/>
    </row>
    <row r="14036" spans="8:9">
      <c r="H14036" s="1358"/>
      <c r="I14036" s="1358"/>
    </row>
    <row r="14037" spans="8:9">
      <c r="H14037" s="1358"/>
      <c r="I14037" s="1358"/>
    </row>
    <row r="14038" spans="8:9">
      <c r="H14038" s="1358"/>
      <c r="I14038" s="1358"/>
    </row>
    <row r="14039" spans="8:9">
      <c r="H14039" s="1358"/>
      <c r="I14039" s="1358"/>
    </row>
    <row r="14040" spans="8:9">
      <c r="H14040" s="1358"/>
      <c r="I14040" s="1358"/>
    </row>
    <row r="14041" spans="8:9">
      <c r="H14041" s="1358"/>
      <c r="I14041" s="1358"/>
    </row>
    <row r="14042" spans="8:9">
      <c r="H14042" s="1358"/>
      <c r="I14042" s="1358"/>
    </row>
    <row r="14043" spans="8:9">
      <c r="H14043" s="1358"/>
      <c r="I14043" s="1358"/>
    </row>
    <row r="14044" spans="8:9">
      <c r="H14044" s="1358"/>
      <c r="I14044" s="1358"/>
    </row>
    <row r="14045" spans="8:9">
      <c r="H14045" s="1358"/>
      <c r="I14045" s="1358"/>
    </row>
    <row r="14046" spans="8:9">
      <c r="H14046" s="1358"/>
      <c r="I14046" s="1358"/>
    </row>
    <row r="14047" spans="8:9">
      <c r="H14047" s="1358"/>
      <c r="I14047" s="1358"/>
    </row>
    <row r="14048" spans="8:9">
      <c r="H14048" s="1358"/>
      <c r="I14048" s="1358"/>
    </row>
    <row r="14049" spans="8:9">
      <c r="H14049" s="1358"/>
      <c r="I14049" s="1358"/>
    </row>
    <row r="14050" spans="8:9">
      <c r="H14050" s="1358"/>
      <c r="I14050" s="1358"/>
    </row>
    <row r="14051" spans="8:9">
      <c r="H14051" s="1358"/>
      <c r="I14051" s="1358"/>
    </row>
    <row r="14052" spans="8:9">
      <c r="H14052" s="1358"/>
      <c r="I14052" s="1358"/>
    </row>
    <row r="14053" spans="8:9">
      <c r="H14053" s="1358"/>
      <c r="I14053" s="1358"/>
    </row>
    <row r="14054" spans="8:9">
      <c r="H14054" s="1358"/>
      <c r="I14054" s="1358"/>
    </row>
    <row r="14055" spans="8:9">
      <c r="H14055" s="1358"/>
      <c r="I14055" s="1358"/>
    </row>
    <row r="14056" spans="8:9">
      <c r="H14056" s="1358"/>
      <c r="I14056" s="1358"/>
    </row>
    <row r="14057" spans="8:9">
      <c r="H14057" s="1358"/>
      <c r="I14057" s="1358"/>
    </row>
    <row r="14058" spans="8:9">
      <c r="H14058" s="1358"/>
      <c r="I14058" s="1358"/>
    </row>
    <row r="14059" spans="8:9">
      <c r="H14059" s="1358"/>
      <c r="I14059" s="1358"/>
    </row>
    <row r="14060" spans="8:9">
      <c r="H14060" s="1358"/>
      <c r="I14060" s="1358"/>
    </row>
    <row r="14061" spans="8:9">
      <c r="H14061" s="1358"/>
      <c r="I14061" s="1358"/>
    </row>
    <row r="14062" spans="8:9">
      <c r="H14062" s="1358"/>
      <c r="I14062" s="1358"/>
    </row>
    <row r="14063" spans="8:9">
      <c r="H14063" s="1358"/>
      <c r="I14063" s="1358"/>
    </row>
    <row r="14064" spans="8:9">
      <c r="H14064" s="1358"/>
      <c r="I14064" s="1358"/>
    </row>
    <row r="14065" spans="8:9">
      <c r="H14065" s="1358"/>
      <c r="I14065" s="1358"/>
    </row>
    <row r="14066" spans="8:9">
      <c r="H14066" s="1358"/>
      <c r="I14066" s="1358"/>
    </row>
    <row r="14067" spans="8:9">
      <c r="H14067" s="1358"/>
      <c r="I14067" s="1358"/>
    </row>
    <row r="14068" spans="8:9">
      <c r="H14068" s="1358"/>
      <c r="I14068" s="1358"/>
    </row>
    <row r="14069" spans="8:9">
      <c r="H14069" s="1358"/>
      <c r="I14069" s="1358"/>
    </row>
    <row r="14070" spans="8:9">
      <c r="H14070" s="1358"/>
      <c r="I14070" s="1358"/>
    </row>
    <row r="14071" spans="8:9">
      <c r="H14071" s="1358"/>
      <c r="I14071" s="1358"/>
    </row>
    <row r="14072" spans="8:9">
      <c r="H14072" s="1358"/>
      <c r="I14072" s="1358"/>
    </row>
    <row r="14073" spans="8:9">
      <c r="H14073" s="1358"/>
      <c r="I14073" s="1358"/>
    </row>
    <row r="14074" spans="8:9">
      <c r="H14074" s="1358"/>
      <c r="I14074" s="1358"/>
    </row>
    <row r="14075" spans="8:9">
      <c r="H14075" s="1358"/>
      <c r="I14075" s="1358"/>
    </row>
    <row r="14076" spans="8:9">
      <c r="H14076" s="1358"/>
      <c r="I14076" s="1358"/>
    </row>
    <row r="14077" spans="8:9">
      <c r="H14077" s="1358"/>
      <c r="I14077" s="1358"/>
    </row>
    <row r="14078" spans="8:9">
      <c r="H14078" s="1358"/>
      <c r="I14078" s="1358"/>
    </row>
    <row r="14079" spans="8:9">
      <c r="H14079" s="1358"/>
      <c r="I14079" s="1358"/>
    </row>
    <row r="14080" spans="8:9">
      <c r="H14080" s="1358"/>
      <c r="I14080" s="1358"/>
    </row>
    <row r="14081" spans="8:9">
      <c r="H14081" s="1358"/>
      <c r="I14081" s="1358"/>
    </row>
    <row r="14082" spans="8:9">
      <c r="H14082" s="1358"/>
      <c r="I14082" s="1358"/>
    </row>
    <row r="14083" spans="8:9">
      <c r="H14083" s="1358"/>
      <c r="I14083" s="1358"/>
    </row>
    <row r="14084" spans="8:9">
      <c r="H14084" s="1358"/>
      <c r="I14084" s="1358"/>
    </row>
    <row r="14085" spans="8:9">
      <c r="H14085" s="1358"/>
      <c r="I14085" s="1358"/>
    </row>
    <row r="14086" spans="8:9">
      <c r="H14086" s="1358"/>
      <c r="I14086" s="1358"/>
    </row>
    <row r="14087" spans="8:9">
      <c r="H14087" s="1358"/>
      <c r="I14087" s="1358"/>
    </row>
    <row r="14088" spans="8:9">
      <c r="H14088" s="1358"/>
      <c r="I14088" s="1358"/>
    </row>
    <row r="14089" spans="8:9">
      <c r="H14089" s="1358"/>
      <c r="I14089" s="1358"/>
    </row>
    <row r="14090" spans="8:9">
      <c r="H14090" s="1358"/>
      <c r="I14090" s="1358"/>
    </row>
    <row r="14091" spans="8:9">
      <c r="H14091" s="1358"/>
      <c r="I14091" s="1358"/>
    </row>
    <row r="14092" spans="8:9">
      <c r="H14092" s="1358"/>
      <c r="I14092" s="1358"/>
    </row>
    <row r="14093" spans="8:9">
      <c r="H14093" s="1358"/>
      <c r="I14093" s="1358"/>
    </row>
    <row r="14094" spans="8:9">
      <c r="H14094" s="1358"/>
      <c r="I14094" s="1358"/>
    </row>
    <row r="14095" spans="8:9">
      <c r="H14095" s="1358"/>
      <c r="I14095" s="1358"/>
    </row>
    <row r="14096" spans="8:9">
      <c r="H14096" s="1358"/>
      <c r="I14096" s="1358"/>
    </row>
    <row r="14097" spans="8:9">
      <c r="H14097" s="1358"/>
      <c r="I14097" s="1358"/>
    </row>
    <row r="14098" spans="8:9">
      <c r="H14098" s="1358"/>
      <c r="I14098" s="1358"/>
    </row>
    <row r="14099" spans="8:9">
      <c r="H14099" s="1358"/>
      <c r="I14099" s="1358"/>
    </row>
    <row r="14100" spans="8:9">
      <c r="H14100" s="1358"/>
      <c r="I14100" s="1358"/>
    </row>
    <row r="14101" spans="8:9">
      <c r="H14101" s="1358"/>
      <c r="I14101" s="1358"/>
    </row>
    <row r="14102" spans="8:9">
      <c r="H14102" s="1358"/>
      <c r="I14102" s="1358"/>
    </row>
    <row r="14103" spans="8:9">
      <c r="H14103" s="1358"/>
      <c r="I14103" s="1358"/>
    </row>
    <row r="14104" spans="8:9">
      <c r="H14104" s="1358"/>
      <c r="I14104" s="1358"/>
    </row>
    <row r="14105" spans="8:9">
      <c r="H14105" s="1358"/>
      <c r="I14105" s="1358"/>
    </row>
    <row r="14106" spans="8:9">
      <c r="H14106" s="1358"/>
      <c r="I14106" s="1358"/>
    </row>
    <row r="14107" spans="8:9">
      <c r="H14107" s="1358"/>
      <c r="I14107" s="1358"/>
    </row>
    <row r="14108" spans="8:9">
      <c r="H14108" s="1358"/>
      <c r="I14108" s="1358"/>
    </row>
    <row r="14109" spans="8:9">
      <c r="H14109" s="1358"/>
      <c r="I14109" s="1358"/>
    </row>
    <row r="14110" spans="8:9">
      <c r="H14110" s="1358"/>
      <c r="I14110" s="1358"/>
    </row>
    <row r="14111" spans="8:9">
      <c r="H14111" s="1358"/>
      <c r="I14111" s="1358"/>
    </row>
    <row r="14112" spans="8:9">
      <c r="H14112" s="1358"/>
      <c r="I14112" s="1358"/>
    </row>
    <row r="14113" spans="8:9">
      <c r="H14113" s="1358"/>
      <c r="I14113" s="1358"/>
    </row>
    <row r="14114" spans="8:9">
      <c r="H14114" s="1358"/>
      <c r="I14114" s="1358"/>
    </row>
    <row r="14115" spans="8:9">
      <c r="H14115" s="1358"/>
      <c r="I14115" s="1358"/>
    </row>
    <row r="14116" spans="8:9">
      <c r="H14116" s="1358"/>
      <c r="I14116" s="1358"/>
    </row>
    <row r="14117" spans="8:9">
      <c r="H14117" s="1358"/>
      <c r="I14117" s="1358"/>
    </row>
    <row r="14118" spans="8:9">
      <c r="H14118" s="1358"/>
      <c r="I14118" s="1358"/>
    </row>
    <row r="14119" spans="8:9">
      <c r="H14119" s="1358"/>
      <c r="I14119" s="1358"/>
    </row>
    <row r="14120" spans="8:9">
      <c r="H14120" s="1358"/>
      <c r="I14120" s="1358"/>
    </row>
    <row r="14121" spans="8:9">
      <c r="H14121" s="1358"/>
      <c r="I14121" s="1358"/>
    </row>
    <row r="14122" spans="8:9">
      <c r="H14122" s="1358"/>
      <c r="I14122" s="1358"/>
    </row>
    <row r="14123" spans="8:9">
      <c r="H14123" s="1358"/>
      <c r="I14123" s="1358"/>
    </row>
    <row r="14124" spans="8:9">
      <c r="H14124" s="1358"/>
      <c r="I14124" s="1358"/>
    </row>
    <row r="14125" spans="8:9">
      <c r="H14125" s="1358"/>
      <c r="I14125" s="1358"/>
    </row>
    <row r="14126" spans="8:9">
      <c r="H14126" s="1358"/>
      <c r="I14126" s="1358"/>
    </row>
    <row r="14127" spans="8:9">
      <c r="H14127" s="1358"/>
      <c r="I14127" s="1358"/>
    </row>
    <row r="14128" spans="8:9">
      <c r="H14128" s="1358"/>
      <c r="I14128" s="1358"/>
    </row>
    <row r="14129" spans="8:9">
      <c r="H14129" s="1358"/>
      <c r="I14129" s="1358"/>
    </row>
    <row r="14130" spans="8:9">
      <c r="H14130" s="1358"/>
      <c r="I14130" s="1358"/>
    </row>
    <row r="14131" spans="8:9">
      <c r="H14131" s="1358"/>
      <c r="I14131" s="1358"/>
    </row>
    <row r="14132" spans="8:9">
      <c r="H14132" s="1358"/>
      <c r="I14132" s="1358"/>
    </row>
    <row r="14133" spans="8:9">
      <c r="H14133" s="1358"/>
      <c r="I14133" s="1358"/>
    </row>
    <row r="14134" spans="8:9">
      <c r="H14134" s="1358"/>
      <c r="I14134" s="1358"/>
    </row>
    <row r="14135" spans="8:9">
      <c r="H14135" s="1358"/>
      <c r="I14135" s="1358"/>
    </row>
    <row r="14136" spans="8:9">
      <c r="H14136" s="1358"/>
      <c r="I14136" s="1358"/>
    </row>
    <row r="14137" spans="8:9">
      <c r="H14137" s="1358"/>
      <c r="I14137" s="1358"/>
    </row>
    <row r="14138" spans="8:9">
      <c r="H14138" s="1358"/>
      <c r="I14138" s="1358"/>
    </row>
    <row r="14139" spans="8:9">
      <c r="H14139" s="1358"/>
      <c r="I14139" s="1358"/>
    </row>
    <row r="14140" spans="8:9">
      <c r="H14140" s="1358"/>
      <c r="I14140" s="1358"/>
    </row>
    <row r="14141" spans="8:9">
      <c r="H14141" s="1358"/>
      <c r="I14141" s="1358"/>
    </row>
    <row r="14142" spans="8:9">
      <c r="H14142" s="1358"/>
      <c r="I14142" s="1358"/>
    </row>
    <row r="14143" spans="8:9">
      <c r="H14143" s="1358"/>
      <c r="I14143" s="1358"/>
    </row>
    <row r="14144" spans="8:9">
      <c r="H14144" s="1358"/>
      <c r="I14144" s="1358"/>
    </row>
    <row r="14145" spans="8:9">
      <c r="H14145" s="1358"/>
      <c r="I14145" s="1358"/>
    </row>
    <row r="14146" spans="8:9">
      <c r="H14146" s="1358"/>
      <c r="I14146" s="1358"/>
    </row>
    <row r="14147" spans="8:9">
      <c r="H14147" s="1358"/>
      <c r="I14147" s="1358"/>
    </row>
    <row r="14148" spans="8:9">
      <c r="H14148" s="1358"/>
      <c r="I14148" s="1358"/>
    </row>
    <row r="14149" spans="8:9">
      <c r="H14149" s="1358"/>
      <c r="I14149" s="1358"/>
    </row>
    <row r="14150" spans="8:9">
      <c r="H14150" s="1358"/>
      <c r="I14150" s="1358"/>
    </row>
    <row r="14151" spans="8:9">
      <c r="H14151" s="1358"/>
      <c r="I14151" s="1358"/>
    </row>
    <row r="14152" spans="8:9">
      <c r="H14152" s="1358"/>
      <c r="I14152" s="1358"/>
    </row>
    <row r="14153" spans="8:9">
      <c r="H14153" s="1358"/>
      <c r="I14153" s="1358"/>
    </row>
    <row r="14154" spans="8:9">
      <c r="H14154" s="1358"/>
      <c r="I14154" s="1358"/>
    </row>
    <row r="14155" spans="8:9">
      <c r="H14155" s="1358"/>
      <c r="I14155" s="1358"/>
    </row>
    <row r="14156" spans="8:9">
      <c r="H14156" s="1358"/>
      <c r="I14156" s="1358"/>
    </row>
    <row r="14157" spans="8:9">
      <c r="H14157" s="1358"/>
      <c r="I14157" s="1358"/>
    </row>
    <row r="14158" spans="8:9">
      <c r="H14158" s="1358"/>
      <c r="I14158" s="1358"/>
    </row>
    <row r="14159" spans="8:9">
      <c r="H14159" s="1358"/>
      <c r="I14159" s="1358"/>
    </row>
    <row r="14160" spans="8:9">
      <c r="H14160" s="1358"/>
      <c r="I14160" s="1358"/>
    </row>
    <row r="14161" spans="8:9">
      <c r="H14161" s="1358"/>
      <c r="I14161" s="1358"/>
    </row>
    <row r="14162" spans="8:9">
      <c r="H14162" s="1358"/>
      <c r="I14162" s="1358"/>
    </row>
    <row r="14163" spans="8:9">
      <c r="H14163" s="1358"/>
      <c r="I14163" s="1358"/>
    </row>
    <row r="14164" spans="8:9">
      <c r="H14164" s="1358"/>
      <c r="I14164" s="1358"/>
    </row>
    <row r="14165" spans="8:9">
      <c r="H14165" s="1358"/>
      <c r="I14165" s="1358"/>
    </row>
    <row r="14166" spans="8:9">
      <c r="H14166" s="1358"/>
      <c r="I14166" s="1358"/>
    </row>
    <row r="14167" spans="8:9">
      <c r="H14167" s="1358"/>
      <c r="I14167" s="1358"/>
    </row>
    <row r="14168" spans="8:9">
      <c r="H14168" s="1358"/>
      <c r="I14168" s="1358"/>
    </row>
    <row r="14169" spans="8:9">
      <c r="H14169" s="1358"/>
      <c r="I14169" s="1358"/>
    </row>
    <row r="14170" spans="8:9">
      <c r="H14170" s="1358"/>
      <c r="I14170" s="1358"/>
    </row>
    <row r="14171" spans="8:9">
      <c r="H14171" s="1358"/>
      <c r="I14171" s="1358"/>
    </row>
    <row r="14172" spans="8:9">
      <c r="H14172" s="1358"/>
      <c r="I14172" s="1358"/>
    </row>
    <row r="14173" spans="8:9">
      <c r="H14173" s="1358"/>
      <c r="I14173" s="1358"/>
    </row>
    <row r="14174" spans="8:9">
      <c r="H14174" s="1358"/>
      <c r="I14174" s="1358"/>
    </row>
    <row r="14175" spans="8:9">
      <c r="H14175" s="1358"/>
      <c r="I14175" s="1358"/>
    </row>
    <row r="14176" spans="8:9">
      <c r="H14176" s="1358"/>
      <c r="I14176" s="1358"/>
    </row>
    <row r="14177" spans="8:9">
      <c r="H14177" s="1358"/>
      <c r="I14177" s="1358"/>
    </row>
    <row r="14178" spans="8:9">
      <c r="H14178" s="1358"/>
      <c r="I14178" s="1358"/>
    </row>
    <row r="14179" spans="8:9">
      <c r="H14179" s="1358"/>
      <c r="I14179" s="1358"/>
    </row>
    <row r="14180" spans="8:9">
      <c r="H14180" s="1358"/>
      <c r="I14180" s="1358"/>
    </row>
    <row r="14181" spans="8:9">
      <c r="H14181" s="1358"/>
      <c r="I14181" s="1358"/>
    </row>
    <row r="14182" spans="8:9">
      <c r="H14182" s="1358"/>
      <c r="I14182" s="1358"/>
    </row>
    <row r="14183" spans="8:9">
      <c r="H14183" s="1358"/>
      <c r="I14183" s="1358"/>
    </row>
    <row r="14184" spans="8:9">
      <c r="H14184" s="1358"/>
      <c r="I14184" s="1358"/>
    </row>
    <row r="14185" spans="8:9">
      <c r="H14185" s="1358"/>
      <c r="I14185" s="1358"/>
    </row>
    <row r="14186" spans="8:9">
      <c r="H14186" s="1358"/>
      <c r="I14186" s="1358"/>
    </row>
    <row r="14187" spans="8:9">
      <c r="H14187" s="1358"/>
      <c r="I14187" s="1358"/>
    </row>
    <row r="14188" spans="8:9">
      <c r="H14188" s="1358"/>
      <c r="I14188" s="1358"/>
    </row>
    <row r="14189" spans="8:9">
      <c r="H14189" s="1358"/>
      <c r="I14189" s="1358"/>
    </row>
    <row r="14190" spans="8:9">
      <c r="H14190" s="1358"/>
      <c r="I14190" s="1358"/>
    </row>
    <row r="14191" spans="8:9">
      <c r="H14191" s="1358"/>
      <c r="I14191" s="1358"/>
    </row>
    <row r="14192" spans="8:9">
      <c r="H14192" s="1358"/>
      <c r="I14192" s="1358"/>
    </row>
    <row r="14193" spans="8:9">
      <c r="H14193" s="1358"/>
      <c r="I14193" s="1358"/>
    </row>
    <row r="14194" spans="8:9">
      <c r="H14194" s="1358"/>
      <c r="I14194" s="1358"/>
    </row>
    <row r="14195" spans="8:9">
      <c r="H14195" s="1358"/>
      <c r="I14195" s="1358"/>
    </row>
    <row r="14196" spans="8:9">
      <c r="H14196" s="1358"/>
      <c r="I14196" s="1358"/>
    </row>
    <row r="14197" spans="8:9">
      <c r="H14197" s="1358"/>
      <c r="I14197" s="1358"/>
    </row>
    <row r="14198" spans="8:9">
      <c r="H14198" s="1358"/>
      <c r="I14198" s="1358"/>
    </row>
    <row r="14199" spans="8:9">
      <c r="H14199" s="1358"/>
      <c r="I14199" s="1358"/>
    </row>
    <row r="14200" spans="8:9">
      <c r="H14200" s="1358"/>
      <c r="I14200" s="1358"/>
    </row>
    <row r="14201" spans="8:9">
      <c r="H14201" s="1358"/>
      <c r="I14201" s="1358"/>
    </row>
    <row r="14202" spans="8:9">
      <c r="H14202" s="1358"/>
      <c r="I14202" s="1358"/>
    </row>
    <row r="14203" spans="8:9">
      <c r="H14203" s="1358"/>
      <c r="I14203" s="1358"/>
    </row>
    <row r="14204" spans="8:9">
      <c r="H14204" s="1358"/>
      <c r="I14204" s="1358"/>
    </row>
    <row r="14205" spans="8:9">
      <c r="H14205" s="1358"/>
      <c r="I14205" s="1358"/>
    </row>
    <row r="14206" spans="8:9">
      <c r="H14206" s="1358"/>
      <c r="I14206" s="1358"/>
    </row>
    <row r="14207" spans="8:9">
      <c r="H14207" s="1358"/>
      <c r="I14207" s="1358"/>
    </row>
    <row r="14208" spans="8:9">
      <c r="H14208" s="1358"/>
      <c r="I14208" s="1358"/>
    </row>
    <row r="14209" spans="8:9">
      <c r="H14209" s="1358"/>
      <c r="I14209" s="1358"/>
    </row>
    <row r="14210" spans="8:9">
      <c r="H14210" s="1358"/>
      <c r="I14210" s="1358"/>
    </row>
    <row r="14211" spans="8:9">
      <c r="H14211" s="1358"/>
      <c r="I14211" s="1358"/>
    </row>
    <row r="14212" spans="8:9">
      <c r="H14212" s="1358"/>
      <c r="I14212" s="1358"/>
    </row>
    <row r="14213" spans="8:9">
      <c r="H14213" s="1358"/>
      <c r="I14213" s="1358"/>
    </row>
    <row r="14214" spans="8:9">
      <c r="H14214" s="1358"/>
      <c r="I14214" s="1358"/>
    </row>
    <row r="14215" spans="8:9">
      <c r="H14215" s="1358"/>
      <c r="I14215" s="1358"/>
    </row>
    <row r="14216" spans="8:9">
      <c r="H14216" s="1358"/>
      <c r="I14216" s="1358"/>
    </row>
    <row r="14217" spans="8:9">
      <c r="H14217" s="1358"/>
      <c r="I14217" s="1358"/>
    </row>
    <row r="14218" spans="8:9">
      <c r="H14218" s="1358"/>
      <c r="I14218" s="1358"/>
    </row>
    <row r="14219" spans="8:9">
      <c r="H14219" s="1358"/>
      <c r="I14219" s="1358"/>
    </row>
    <row r="14220" spans="8:9">
      <c r="H14220" s="1358"/>
      <c r="I14220" s="1358"/>
    </row>
    <row r="14221" spans="8:9">
      <c r="H14221" s="1358"/>
      <c r="I14221" s="1358"/>
    </row>
    <row r="14222" spans="8:9">
      <c r="H14222" s="1358"/>
      <c r="I14222" s="1358"/>
    </row>
    <row r="14223" spans="8:9">
      <c r="H14223" s="1358"/>
      <c r="I14223" s="1358"/>
    </row>
    <row r="14224" spans="8:9">
      <c r="H14224" s="1358"/>
      <c r="I14224" s="1358"/>
    </row>
    <row r="14225" spans="8:9">
      <c r="H14225" s="1358"/>
      <c r="I14225" s="1358"/>
    </row>
    <row r="14226" spans="8:9">
      <c r="H14226" s="1358"/>
      <c r="I14226" s="1358"/>
    </row>
    <row r="14227" spans="8:9">
      <c r="H14227" s="1358"/>
      <c r="I14227" s="1358"/>
    </row>
    <row r="14228" spans="8:9">
      <c r="H14228" s="1358"/>
      <c r="I14228" s="1358"/>
    </row>
    <row r="14229" spans="8:9">
      <c r="H14229" s="1358"/>
      <c r="I14229" s="1358"/>
    </row>
    <row r="14230" spans="8:9">
      <c r="H14230" s="1358"/>
      <c r="I14230" s="1358"/>
    </row>
    <row r="14231" spans="8:9">
      <c r="H14231" s="1358"/>
      <c r="I14231" s="1358"/>
    </row>
    <row r="14232" spans="8:9">
      <c r="H14232" s="1358"/>
      <c r="I14232" s="1358"/>
    </row>
    <row r="14233" spans="8:9">
      <c r="H14233" s="1358"/>
      <c r="I14233" s="1358"/>
    </row>
    <row r="14234" spans="8:9">
      <c r="H14234" s="1358"/>
      <c r="I14234" s="1358"/>
    </row>
    <row r="14235" spans="8:9">
      <c r="H14235" s="1358"/>
      <c r="I14235" s="1358"/>
    </row>
    <row r="14236" spans="8:9">
      <c r="H14236" s="1358"/>
      <c r="I14236" s="1358"/>
    </row>
    <row r="14237" spans="8:9">
      <c r="H14237" s="1358"/>
      <c r="I14237" s="1358"/>
    </row>
    <row r="14238" spans="8:9">
      <c r="H14238" s="1358"/>
      <c r="I14238" s="1358"/>
    </row>
    <row r="14239" spans="8:9">
      <c r="H14239" s="1358"/>
      <c r="I14239" s="1358"/>
    </row>
    <row r="14240" spans="8:9">
      <c r="H14240" s="1358"/>
      <c r="I14240" s="1358"/>
    </row>
    <row r="14241" spans="8:9">
      <c r="H14241" s="1358"/>
      <c r="I14241" s="1358"/>
    </row>
    <row r="14242" spans="8:9">
      <c r="H14242" s="1358"/>
      <c r="I14242" s="1358"/>
    </row>
    <row r="14243" spans="8:9">
      <c r="H14243" s="1358"/>
      <c r="I14243" s="1358"/>
    </row>
    <row r="14244" spans="8:9">
      <c r="H14244" s="1358"/>
      <c r="I14244" s="1358"/>
    </row>
    <row r="14245" spans="8:9">
      <c r="H14245" s="1358"/>
      <c r="I14245" s="1358"/>
    </row>
    <row r="14246" spans="8:9">
      <c r="H14246" s="1358"/>
      <c r="I14246" s="1358"/>
    </row>
    <row r="14247" spans="8:9">
      <c r="H14247" s="1358"/>
      <c r="I14247" s="1358"/>
    </row>
    <row r="14248" spans="8:9">
      <c r="H14248" s="1358"/>
      <c r="I14248" s="1358"/>
    </row>
    <row r="14249" spans="8:9">
      <c r="H14249" s="1358"/>
      <c r="I14249" s="1358"/>
    </row>
    <row r="14250" spans="8:9">
      <c r="H14250" s="1358"/>
      <c r="I14250" s="1358"/>
    </row>
    <row r="14251" spans="8:9">
      <c r="H14251" s="1358"/>
      <c r="I14251" s="1358"/>
    </row>
    <row r="14252" spans="8:9">
      <c r="H14252" s="1358"/>
      <c r="I14252" s="1358"/>
    </row>
    <row r="14253" spans="8:9">
      <c r="H14253" s="1358"/>
      <c r="I14253" s="1358"/>
    </row>
    <row r="14254" spans="8:9">
      <c r="H14254" s="1358"/>
      <c r="I14254" s="1358"/>
    </row>
    <row r="14255" spans="8:9">
      <c r="H14255" s="1358"/>
      <c r="I14255" s="1358"/>
    </row>
    <row r="14256" spans="8:9">
      <c r="H14256" s="1358"/>
      <c r="I14256" s="1358"/>
    </row>
    <row r="14257" spans="8:9">
      <c r="H14257" s="1358"/>
      <c r="I14257" s="1358"/>
    </row>
    <row r="14258" spans="8:9">
      <c r="H14258" s="1358"/>
      <c r="I14258" s="1358"/>
    </row>
    <row r="14259" spans="8:9">
      <c r="H14259" s="1358"/>
      <c r="I14259" s="1358"/>
    </row>
    <row r="14260" spans="8:9">
      <c r="H14260" s="1358"/>
      <c r="I14260" s="1358"/>
    </row>
    <row r="14261" spans="8:9">
      <c r="H14261" s="1358"/>
      <c r="I14261" s="1358"/>
    </row>
    <row r="14262" spans="8:9">
      <c r="H14262" s="1358"/>
      <c r="I14262" s="1358"/>
    </row>
    <row r="14263" spans="8:9">
      <c r="H14263" s="1358"/>
      <c r="I14263" s="1358"/>
    </row>
    <row r="14264" spans="8:9">
      <c r="H14264" s="1358"/>
      <c r="I14264" s="1358"/>
    </row>
    <row r="14265" spans="8:9">
      <c r="H14265" s="1358"/>
      <c r="I14265" s="1358"/>
    </row>
    <row r="14266" spans="8:9">
      <c r="H14266" s="1358"/>
      <c r="I14266" s="1358"/>
    </row>
    <row r="14267" spans="8:9">
      <c r="H14267" s="1358"/>
      <c r="I14267" s="1358"/>
    </row>
    <row r="14268" spans="8:9">
      <c r="H14268" s="1358"/>
      <c r="I14268" s="1358"/>
    </row>
    <row r="14269" spans="8:9">
      <c r="H14269" s="1358"/>
      <c r="I14269" s="1358"/>
    </row>
    <row r="14270" spans="8:9">
      <c r="H14270" s="1358"/>
      <c r="I14270" s="1358"/>
    </row>
    <row r="14271" spans="8:9">
      <c r="H14271" s="1358"/>
      <c r="I14271" s="1358"/>
    </row>
    <row r="14272" spans="8:9">
      <c r="H14272" s="1358"/>
      <c r="I14272" s="1358"/>
    </row>
    <row r="14273" spans="8:9">
      <c r="H14273" s="1358"/>
      <c r="I14273" s="1358"/>
    </row>
    <row r="14274" spans="8:9">
      <c r="H14274" s="1358"/>
      <c r="I14274" s="1358"/>
    </row>
    <row r="14275" spans="8:9">
      <c r="H14275" s="1358"/>
      <c r="I14275" s="1358"/>
    </row>
    <row r="14276" spans="8:9">
      <c r="H14276" s="1358"/>
      <c r="I14276" s="1358"/>
    </row>
    <row r="14277" spans="8:9">
      <c r="H14277" s="1358"/>
      <c r="I14277" s="1358"/>
    </row>
    <row r="14278" spans="8:9">
      <c r="H14278" s="1358"/>
      <c r="I14278" s="1358"/>
    </row>
    <row r="14279" spans="8:9">
      <c r="H14279" s="1358"/>
      <c r="I14279" s="1358"/>
    </row>
    <row r="14280" spans="8:9">
      <c r="H14280" s="1358"/>
      <c r="I14280" s="1358"/>
    </row>
    <row r="14281" spans="8:9">
      <c r="H14281" s="1358"/>
      <c r="I14281" s="1358"/>
    </row>
    <row r="14282" spans="8:9">
      <c r="H14282" s="1358"/>
      <c r="I14282" s="1358"/>
    </row>
    <row r="14283" spans="8:9">
      <c r="H14283" s="1358"/>
      <c r="I14283" s="1358"/>
    </row>
    <row r="14284" spans="8:9">
      <c r="H14284" s="1358"/>
      <c r="I14284" s="1358"/>
    </row>
    <row r="14285" spans="8:9">
      <c r="H14285" s="1358"/>
      <c r="I14285" s="1358"/>
    </row>
    <row r="14286" spans="8:9">
      <c r="H14286" s="1358"/>
      <c r="I14286" s="1358"/>
    </row>
    <row r="14287" spans="8:9">
      <c r="H14287" s="1358"/>
      <c r="I14287" s="1358"/>
    </row>
    <row r="14288" spans="8:9">
      <c r="H14288" s="1358"/>
      <c r="I14288" s="1358"/>
    </row>
    <row r="14289" spans="8:9">
      <c r="H14289" s="1358"/>
      <c r="I14289" s="1358"/>
    </row>
    <row r="14290" spans="8:9">
      <c r="H14290" s="1358"/>
      <c r="I14290" s="1358"/>
    </row>
    <row r="14291" spans="8:9">
      <c r="H14291" s="1358"/>
      <c r="I14291" s="1358"/>
    </row>
    <row r="14292" spans="8:9">
      <c r="H14292" s="1358"/>
      <c r="I14292" s="1358"/>
    </row>
    <row r="14293" spans="8:9">
      <c r="H14293" s="1358"/>
      <c r="I14293" s="1358"/>
    </row>
    <row r="14294" spans="8:9">
      <c r="H14294" s="1358"/>
      <c r="I14294" s="1358"/>
    </row>
    <row r="14295" spans="8:9">
      <c r="H14295" s="1358"/>
      <c r="I14295" s="1358"/>
    </row>
    <row r="14296" spans="8:9">
      <c r="H14296" s="1358"/>
      <c r="I14296" s="1358"/>
    </row>
    <row r="14297" spans="8:9">
      <c r="H14297" s="1358"/>
      <c r="I14297" s="1358"/>
    </row>
    <row r="14298" spans="8:9">
      <c r="H14298" s="1358"/>
      <c r="I14298" s="1358"/>
    </row>
    <row r="14299" spans="8:9">
      <c r="H14299" s="1358"/>
      <c r="I14299" s="1358"/>
    </row>
    <row r="14300" spans="8:9">
      <c r="H14300" s="1358"/>
      <c r="I14300" s="1358"/>
    </row>
    <row r="14301" spans="8:9">
      <c r="H14301" s="1358"/>
      <c r="I14301" s="1358"/>
    </row>
    <row r="14302" spans="8:9">
      <c r="H14302" s="1358"/>
      <c r="I14302" s="1358"/>
    </row>
    <row r="14303" spans="8:9">
      <c r="H14303" s="1358"/>
      <c r="I14303" s="1358"/>
    </row>
    <row r="14304" spans="8:9">
      <c r="H14304" s="1358"/>
      <c r="I14304" s="1358"/>
    </row>
    <row r="14305" spans="8:9">
      <c r="H14305" s="1358"/>
      <c r="I14305" s="1358"/>
    </row>
    <row r="14306" spans="8:9">
      <c r="H14306" s="1358"/>
      <c r="I14306" s="1358"/>
    </row>
    <row r="14307" spans="8:9">
      <c r="H14307" s="1358"/>
      <c r="I14307" s="1358"/>
    </row>
    <row r="14308" spans="8:9">
      <c r="H14308" s="1358"/>
      <c r="I14308" s="1358"/>
    </row>
    <row r="14309" spans="8:9">
      <c r="H14309" s="1358"/>
      <c r="I14309" s="1358"/>
    </row>
    <row r="14310" spans="8:9">
      <c r="H14310" s="1358"/>
      <c r="I14310" s="1358"/>
    </row>
    <row r="14311" spans="8:9">
      <c r="H14311" s="1358"/>
      <c r="I14311" s="1358"/>
    </row>
    <row r="14312" spans="8:9">
      <c r="H14312" s="1358"/>
      <c r="I14312" s="1358"/>
    </row>
    <row r="14313" spans="8:9">
      <c r="H14313" s="1358"/>
      <c r="I14313" s="1358"/>
    </row>
    <row r="14314" spans="8:9">
      <c r="H14314" s="1358"/>
      <c r="I14314" s="1358"/>
    </row>
    <row r="14315" spans="8:9">
      <c r="H14315" s="1358"/>
      <c r="I14315" s="1358"/>
    </row>
    <row r="14316" spans="8:9">
      <c r="H14316" s="1358"/>
      <c r="I14316" s="1358"/>
    </row>
    <row r="14317" spans="8:9">
      <c r="H14317" s="1358"/>
      <c r="I14317" s="1358"/>
    </row>
    <row r="14318" spans="8:9">
      <c r="H14318" s="1358"/>
      <c r="I14318" s="1358"/>
    </row>
    <row r="14319" spans="8:9">
      <c r="H14319" s="1358"/>
      <c r="I14319" s="1358"/>
    </row>
    <row r="14320" spans="8:9">
      <c r="H14320" s="1358"/>
      <c r="I14320" s="1358"/>
    </row>
    <row r="14321" spans="8:9">
      <c r="H14321" s="1358"/>
      <c r="I14321" s="1358"/>
    </row>
    <row r="14322" spans="8:9">
      <c r="H14322" s="1358"/>
      <c r="I14322" s="1358"/>
    </row>
    <row r="14323" spans="8:9">
      <c r="H14323" s="1358"/>
      <c r="I14323" s="1358"/>
    </row>
    <row r="14324" spans="8:9">
      <c r="H14324" s="1358"/>
      <c r="I14324" s="1358"/>
    </row>
    <row r="14325" spans="8:9">
      <c r="H14325" s="1358"/>
      <c r="I14325" s="1358"/>
    </row>
    <row r="14326" spans="8:9">
      <c r="H14326" s="1358"/>
      <c r="I14326" s="1358"/>
    </row>
    <row r="14327" spans="8:9">
      <c r="H14327" s="1358"/>
      <c r="I14327" s="1358"/>
    </row>
    <row r="14328" spans="8:9">
      <c r="H14328" s="1358"/>
      <c r="I14328" s="1358"/>
    </row>
    <row r="14329" spans="8:9">
      <c r="H14329" s="1358"/>
      <c r="I14329" s="1358"/>
    </row>
    <row r="14330" spans="8:9">
      <c r="H14330" s="1358"/>
      <c r="I14330" s="1358"/>
    </row>
    <row r="14331" spans="8:9">
      <c r="H14331" s="1358"/>
      <c r="I14331" s="1358"/>
    </row>
    <row r="14332" spans="8:9">
      <c r="H14332" s="1358"/>
      <c r="I14332" s="1358"/>
    </row>
    <row r="14333" spans="8:9">
      <c r="H14333" s="1358"/>
      <c r="I14333" s="1358"/>
    </row>
    <row r="14334" spans="8:9">
      <c r="H14334" s="1358"/>
      <c r="I14334" s="1358"/>
    </row>
    <row r="14335" spans="8:9">
      <c r="H14335" s="1358"/>
      <c r="I14335" s="1358"/>
    </row>
    <row r="14336" spans="8:9">
      <c r="H14336" s="1358"/>
      <c r="I14336" s="1358"/>
    </row>
    <row r="14337" spans="8:9">
      <c r="H14337" s="1358"/>
      <c r="I14337" s="1358"/>
    </row>
    <row r="14338" spans="8:9">
      <c r="H14338" s="1358"/>
      <c r="I14338" s="1358"/>
    </row>
    <row r="14339" spans="8:9">
      <c r="H14339" s="1358"/>
      <c r="I14339" s="1358"/>
    </row>
    <row r="14340" spans="8:9">
      <c r="H14340" s="1358"/>
      <c r="I14340" s="1358"/>
    </row>
    <row r="14341" spans="8:9">
      <c r="H14341" s="1358"/>
      <c r="I14341" s="1358"/>
    </row>
    <row r="14342" spans="8:9">
      <c r="H14342" s="1358"/>
      <c r="I14342" s="1358"/>
    </row>
    <row r="14343" spans="8:9">
      <c r="H14343" s="1358"/>
      <c r="I14343" s="1358"/>
    </row>
    <row r="14344" spans="8:9">
      <c r="H14344" s="1358"/>
      <c r="I14344" s="1358"/>
    </row>
    <row r="14345" spans="8:9">
      <c r="H14345" s="1358"/>
      <c r="I14345" s="1358"/>
    </row>
    <row r="14346" spans="8:9">
      <c r="H14346" s="1358"/>
      <c r="I14346" s="1358"/>
    </row>
    <row r="14347" spans="8:9">
      <c r="H14347" s="1358"/>
      <c r="I14347" s="1358"/>
    </row>
    <row r="14348" spans="8:9">
      <c r="H14348" s="1358"/>
      <c r="I14348" s="1358"/>
    </row>
    <row r="14349" spans="8:9">
      <c r="H14349" s="1358"/>
      <c r="I14349" s="1358"/>
    </row>
    <row r="14350" spans="8:9">
      <c r="H14350" s="1358"/>
      <c r="I14350" s="1358"/>
    </row>
    <row r="14351" spans="8:9">
      <c r="H14351" s="1358"/>
      <c r="I14351" s="1358"/>
    </row>
    <row r="14352" spans="8:9">
      <c r="H14352" s="1358"/>
      <c r="I14352" s="1358"/>
    </row>
    <row r="14353" spans="8:9">
      <c r="H14353" s="1358"/>
      <c r="I14353" s="1358"/>
    </row>
    <row r="14354" spans="8:9">
      <c r="H14354" s="1358"/>
      <c r="I14354" s="1358"/>
    </row>
    <row r="14355" spans="8:9">
      <c r="H14355" s="1358"/>
      <c r="I14355" s="1358"/>
    </row>
    <row r="14356" spans="8:9">
      <c r="H14356" s="1358"/>
      <c r="I14356" s="1358"/>
    </row>
    <row r="14357" spans="8:9">
      <c r="H14357" s="1358"/>
      <c r="I14357" s="1358"/>
    </row>
    <row r="14358" spans="8:9">
      <c r="H14358" s="1358"/>
      <c r="I14358" s="1358"/>
    </row>
    <row r="14359" spans="8:9">
      <c r="H14359" s="1358"/>
      <c r="I14359" s="1358"/>
    </row>
    <row r="14360" spans="8:9">
      <c r="H14360" s="1358"/>
      <c r="I14360" s="1358"/>
    </row>
    <row r="14361" spans="8:9">
      <c r="H14361" s="1358"/>
      <c r="I14361" s="1358"/>
    </row>
    <row r="14362" spans="8:9">
      <c r="H14362" s="1358"/>
      <c r="I14362" s="1358"/>
    </row>
    <row r="14363" spans="8:9">
      <c r="H14363" s="1358"/>
      <c r="I14363" s="1358"/>
    </row>
    <row r="14364" spans="8:9">
      <c r="H14364" s="1358"/>
      <c r="I14364" s="1358"/>
    </row>
    <row r="14365" spans="8:9">
      <c r="H14365" s="1358"/>
      <c r="I14365" s="1358"/>
    </row>
    <row r="14366" spans="8:9">
      <c r="H14366" s="1358"/>
      <c r="I14366" s="1358"/>
    </row>
    <row r="14367" spans="8:9">
      <c r="H14367" s="1358"/>
      <c r="I14367" s="1358"/>
    </row>
    <row r="14368" spans="8:9">
      <c r="H14368" s="1358"/>
      <c r="I14368" s="1358"/>
    </row>
    <row r="14369" spans="8:9">
      <c r="H14369" s="1358"/>
      <c r="I14369" s="1358"/>
    </row>
    <row r="14370" spans="8:9">
      <c r="H14370" s="1358"/>
      <c r="I14370" s="1358"/>
    </row>
    <row r="14371" spans="8:9">
      <c r="H14371" s="1358"/>
      <c r="I14371" s="1358"/>
    </row>
    <row r="14372" spans="8:9">
      <c r="H14372" s="1358"/>
      <c r="I14372" s="1358"/>
    </row>
    <row r="14373" spans="8:9">
      <c r="H14373" s="1358"/>
      <c r="I14373" s="1358"/>
    </row>
    <row r="14374" spans="8:9">
      <c r="H14374" s="1358"/>
      <c r="I14374" s="1358"/>
    </row>
    <row r="14375" spans="8:9">
      <c r="H14375" s="1358"/>
      <c r="I14375" s="1358"/>
    </row>
    <row r="14376" spans="8:9">
      <c r="H14376" s="1358"/>
      <c r="I14376" s="1358"/>
    </row>
    <row r="14377" spans="8:9">
      <c r="H14377" s="1358"/>
      <c r="I14377" s="1358"/>
    </row>
    <row r="14378" spans="8:9">
      <c r="H14378" s="1358"/>
      <c r="I14378" s="1358"/>
    </row>
    <row r="14379" spans="8:9">
      <c r="H14379" s="1358"/>
      <c r="I14379" s="1358"/>
    </row>
    <row r="14380" spans="8:9">
      <c r="H14380" s="1358"/>
      <c r="I14380" s="1358"/>
    </row>
    <row r="14381" spans="8:9">
      <c r="H14381" s="1358"/>
      <c r="I14381" s="1358"/>
    </row>
    <row r="14382" spans="8:9">
      <c r="H14382" s="1358"/>
      <c r="I14382" s="1358"/>
    </row>
    <row r="14383" spans="8:9">
      <c r="H14383" s="1358"/>
      <c r="I14383" s="1358"/>
    </row>
    <row r="14384" spans="8:9">
      <c r="H14384" s="1358"/>
      <c r="I14384" s="1358"/>
    </row>
    <row r="14385" spans="8:9">
      <c r="H14385" s="1358"/>
      <c r="I14385" s="1358"/>
    </row>
    <row r="14386" spans="8:9">
      <c r="H14386" s="1358"/>
      <c r="I14386" s="1358"/>
    </row>
    <row r="14387" spans="8:9">
      <c r="H14387" s="1358"/>
      <c r="I14387" s="1358"/>
    </row>
    <row r="14388" spans="8:9">
      <c r="H14388" s="1358"/>
      <c r="I14388" s="1358"/>
    </row>
    <row r="14389" spans="8:9">
      <c r="H14389" s="1358"/>
      <c r="I14389" s="1358"/>
    </row>
    <row r="14390" spans="8:9">
      <c r="H14390" s="1358"/>
      <c r="I14390" s="1358"/>
    </row>
    <row r="14391" spans="8:9">
      <c r="H14391" s="1358"/>
      <c r="I14391" s="1358"/>
    </row>
    <row r="14392" spans="8:9">
      <c r="H14392" s="1358"/>
      <c r="I14392" s="1358"/>
    </row>
    <row r="14393" spans="8:9">
      <c r="H14393" s="1358"/>
      <c r="I14393" s="1358"/>
    </row>
    <row r="14394" spans="8:9">
      <c r="H14394" s="1358"/>
      <c r="I14394" s="1358"/>
    </row>
    <row r="14395" spans="8:9">
      <c r="H14395" s="1358"/>
      <c r="I14395" s="1358"/>
    </row>
    <row r="14396" spans="8:9">
      <c r="H14396" s="1358"/>
      <c r="I14396" s="1358"/>
    </row>
    <row r="14397" spans="8:9">
      <c r="H14397" s="1358"/>
      <c r="I14397" s="1358"/>
    </row>
    <row r="14398" spans="8:9">
      <c r="H14398" s="1358"/>
      <c r="I14398" s="1358"/>
    </row>
    <row r="14399" spans="8:9">
      <c r="H14399" s="1358"/>
      <c r="I14399" s="1358"/>
    </row>
    <row r="14400" spans="8:9">
      <c r="H14400" s="1358"/>
      <c r="I14400" s="1358"/>
    </row>
    <row r="14401" spans="8:9">
      <c r="H14401" s="1358"/>
      <c r="I14401" s="1358"/>
    </row>
    <row r="14402" spans="8:9">
      <c r="H14402" s="1358"/>
      <c r="I14402" s="1358"/>
    </row>
    <row r="14403" spans="8:9">
      <c r="H14403" s="1358"/>
      <c r="I14403" s="1358"/>
    </row>
    <row r="14404" spans="8:9">
      <c r="H14404" s="1358"/>
      <c r="I14404" s="1358"/>
    </row>
    <row r="14405" spans="8:9">
      <c r="H14405" s="1358"/>
      <c r="I14405" s="1358"/>
    </row>
    <row r="14406" spans="8:9">
      <c r="H14406" s="1358"/>
      <c r="I14406" s="1358"/>
    </row>
    <row r="14407" spans="8:9">
      <c r="H14407" s="1358"/>
      <c r="I14407" s="1358"/>
    </row>
    <row r="14408" spans="8:9">
      <c r="H14408" s="1358"/>
      <c r="I14408" s="1358"/>
    </row>
    <row r="14409" spans="8:9">
      <c r="H14409" s="1358"/>
      <c r="I14409" s="1358"/>
    </row>
    <row r="14410" spans="8:9">
      <c r="H14410" s="1358"/>
      <c r="I14410" s="1358"/>
    </row>
    <row r="14411" spans="8:9">
      <c r="H14411" s="1358"/>
      <c r="I14411" s="1358"/>
    </row>
    <row r="14412" spans="8:9">
      <c r="H14412" s="1358"/>
      <c r="I14412" s="1358"/>
    </row>
    <row r="14413" spans="8:9">
      <c r="H14413" s="1358"/>
      <c r="I14413" s="1358"/>
    </row>
    <row r="14414" spans="8:9">
      <c r="H14414" s="1358"/>
      <c r="I14414" s="1358"/>
    </row>
    <row r="14415" spans="8:9">
      <c r="H14415" s="1358"/>
      <c r="I14415" s="1358"/>
    </row>
    <row r="14416" spans="8:9">
      <c r="H14416" s="1358"/>
      <c r="I14416" s="1358"/>
    </row>
    <row r="14417" spans="8:9">
      <c r="H14417" s="1358"/>
      <c r="I14417" s="1358"/>
    </row>
    <row r="14418" spans="8:9">
      <c r="H14418" s="1358"/>
      <c r="I14418" s="1358"/>
    </row>
    <row r="14419" spans="8:9">
      <c r="H14419" s="1358"/>
      <c r="I14419" s="1358"/>
    </row>
    <row r="14420" spans="8:9">
      <c r="H14420" s="1358"/>
      <c r="I14420" s="1358"/>
    </row>
    <row r="14421" spans="8:9">
      <c r="H14421" s="1358"/>
      <c r="I14421" s="1358"/>
    </row>
    <row r="14422" spans="8:9">
      <c r="H14422" s="1358"/>
      <c r="I14422" s="1358"/>
    </row>
    <row r="14423" spans="8:9">
      <c r="H14423" s="1358"/>
      <c r="I14423" s="1358"/>
    </row>
    <row r="14424" spans="8:9">
      <c r="H14424" s="1358"/>
      <c r="I14424" s="1358"/>
    </row>
    <row r="14425" spans="8:9">
      <c r="H14425" s="1358"/>
      <c r="I14425" s="1358"/>
    </row>
    <row r="14426" spans="8:9">
      <c r="H14426" s="1358"/>
      <c r="I14426" s="1358"/>
    </row>
    <row r="14427" spans="8:9">
      <c r="H14427" s="1358"/>
      <c r="I14427" s="1358"/>
    </row>
    <row r="14428" spans="8:9">
      <c r="H14428" s="1358"/>
      <c r="I14428" s="1358"/>
    </row>
    <row r="14429" spans="8:9">
      <c r="H14429" s="1358"/>
      <c r="I14429" s="1358"/>
    </row>
    <row r="14430" spans="8:9">
      <c r="H14430" s="1358"/>
      <c r="I14430" s="1358"/>
    </row>
    <row r="14431" spans="8:9">
      <c r="H14431" s="1358"/>
      <c r="I14431" s="1358"/>
    </row>
    <row r="14432" spans="8:9">
      <c r="H14432" s="1358"/>
      <c r="I14432" s="1358"/>
    </row>
    <row r="14433" spans="8:9">
      <c r="H14433" s="1358"/>
      <c r="I14433" s="1358"/>
    </row>
    <row r="14434" spans="8:9">
      <c r="H14434" s="1358"/>
      <c r="I14434" s="1358"/>
    </row>
    <row r="14435" spans="8:9">
      <c r="H14435" s="1358"/>
      <c r="I14435" s="1358"/>
    </row>
    <row r="14436" spans="8:9">
      <c r="H14436" s="1358"/>
      <c r="I14436" s="1358"/>
    </row>
    <row r="14437" spans="8:9">
      <c r="H14437" s="1358"/>
      <c r="I14437" s="1358"/>
    </row>
    <row r="14438" spans="8:9">
      <c r="H14438" s="1358"/>
      <c r="I14438" s="1358"/>
    </row>
    <row r="14439" spans="8:9">
      <c r="H14439" s="1358"/>
      <c r="I14439" s="1358"/>
    </row>
    <row r="14440" spans="8:9">
      <c r="H14440" s="1358"/>
      <c r="I14440" s="1358"/>
    </row>
    <row r="14441" spans="8:9">
      <c r="H14441" s="1358"/>
      <c r="I14441" s="1358"/>
    </row>
    <row r="14442" spans="8:9">
      <c r="H14442" s="1358"/>
      <c r="I14442" s="1358"/>
    </row>
    <row r="14443" spans="8:9">
      <c r="H14443" s="1358"/>
      <c r="I14443" s="1358"/>
    </row>
    <row r="14444" spans="8:9">
      <c r="H14444" s="1358"/>
      <c r="I14444" s="1358"/>
    </row>
    <row r="14445" spans="8:9">
      <c r="H14445" s="1358"/>
      <c r="I14445" s="1358"/>
    </row>
    <row r="14446" spans="8:9">
      <c r="H14446" s="1358"/>
      <c r="I14446" s="1358"/>
    </row>
    <row r="14447" spans="8:9">
      <c r="H14447" s="1358"/>
      <c r="I14447" s="1358"/>
    </row>
    <row r="14448" spans="8:9">
      <c r="H14448" s="1358"/>
      <c r="I14448" s="1358"/>
    </row>
    <row r="14449" spans="8:9">
      <c r="H14449" s="1358"/>
      <c r="I14449" s="1358"/>
    </row>
    <row r="14450" spans="8:9">
      <c r="H14450" s="1358"/>
      <c r="I14450" s="1358"/>
    </row>
    <row r="14451" spans="8:9">
      <c r="H14451" s="1358"/>
      <c r="I14451" s="1358"/>
    </row>
    <row r="14452" spans="8:9">
      <c r="H14452" s="1358"/>
      <c r="I14452" s="1358"/>
    </row>
    <row r="14453" spans="8:9">
      <c r="H14453" s="1358"/>
      <c r="I14453" s="1358"/>
    </row>
    <row r="14454" spans="8:9">
      <c r="H14454" s="1358"/>
      <c r="I14454" s="1358"/>
    </row>
    <row r="14455" spans="8:9">
      <c r="H14455" s="1358"/>
      <c r="I14455" s="1358"/>
    </row>
    <row r="14456" spans="8:9">
      <c r="H14456" s="1358"/>
      <c r="I14456" s="1358"/>
    </row>
    <row r="14457" spans="8:9">
      <c r="H14457" s="1358"/>
      <c r="I14457" s="1358"/>
    </row>
    <row r="14458" spans="8:9">
      <c r="H14458" s="1358"/>
      <c r="I14458" s="1358"/>
    </row>
    <row r="14459" spans="8:9">
      <c r="H14459" s="1358"/>
      <c r="I14459" s="1358"/>
    </row>
    <row r="14460" spans="8:9">
      <c r="H14460" s="1358"/>
      <c r="I14460" s="1358"/>
    </row>
    <row r="14461" spans="8:9">
      <c r="H14461" s="1358"/>
      <c r="I14461" s="1358"/>
    </row>
    <row r="14462" spans="8:9">
      <c r="H14462" s="1358"/>
      <c r="I14462" s="1358"/>
    </row>
    <row r="14463" spans="8:9">
      <c r="H14463" s="1358"/>
      <c r="I14463" s="1358"/>
    </row>
    <row r="14464" spans="8:9">
      <c r="H14464" s="1358"/>
      <c r="I14464" s="1358"/>
    </row>
    <row r="14465" spans="8:9">
      <c r="H14465" s="1358"/>
      <c r="I14465" s="1358"/>
    </row>
    <row r="14466" spans="8:9">
      <c r="H14466" s="1358"/>
      <c r="I14466" s="1358"/>
    </row>
    <row r="14467" spans="8:9">
      <c r="H14467" s="1358"/>
      <c r="I14467" s="1358"/>
    </row>
    <row r="14468" spans="8:9">
      <c r="H14468" s="1358"/>
      <c r="I14468" s="1358"/>
    </row>
    <row r="14469" spans="8:9">
      <c r="H14469" s="1358"/>
      <c r="I14469" s="1358"/>
    </row>
    <row r="14470" spans="8:9">
      <c r="H14470" s="1358"/>
      <c r="I14470" s="1358"/>
    </row>
    <row r="14471" spans="8:9">
      <c r="H14471" s="1358"/>
      <c r="I14471" s="1358"/>
    </row>
    <row r="14472" spans="8:9">
      <c r="H14472" s="1358"/>
      <c r="I14472" s="1358"/>
    </row>
    <row r="14473" spans="8:9">
      <c r="H14473" s="1358"/>
      <c r="I14473" s="1358"/>
    </row>
    <row r="14474" spans="8:9">
      <c r="H14474" s="1358"/>
      <c r="I14474" s="1358"/>
    </row>
    <row r="14475" spans="8:9">
      <c r="H14475" s="1358"/>
      <c r="I14475" s="1358"/>
    </row>
    <row r="14476" spans="8:9">
      <c r="H14476" s="1358"/>
      <c r="I14476" s="1358"/>
    </row>
    <row r="14477" spans="8:9">
      <c r="H14477" s="1358"/>
      <c r="I14477" s="1358"/>
    </row>
    <row r="14478" spans="8:9">
      <c r="H14478" s="1358"/>
      <c r="I14478" s="1358"/>
    </row>
    <row r="14479" spans="8:9">
      <c r="H14479" s="1358"/>
      <c r="I14479" s="1358"/>
    </row>
    <row r="14480" spans="8:9">
      <c r="H14480" s="1358"/>
      <c r="I14480" s="1358"/>
    </row>
    <row r="14481" spans="8:9">
      <c r="H14481" s="1358"/>
      <c r="I14481" s="1358"/>
    </row>
    <row r="14482" spans="8:9">
      <c r="H14482" s="1358"/>
      <c r="I14482" s="1358"/>
    </row>
    <row r="14483" spans="8:9">
      <c r="H14483" s="1358"/>
      <c r="I14483" s="1358"/>
    </row>
    <row r="14484" spans="8:9">
      <c r="H14484" s="1358"/>
      <c r="I14484" s="1358"/>
    </row>
    <row r="14485" spans="8:9">
      <c r="H14485" s="1358"/>
      <c r="I14485" s="1358"/>
    </row>
    <row r="14486" spans="8:9">
      <c r="H14486" s="1358"/>
      <c r="I14486" s="1358"/>
    </row>
    <row r="14487" spans="8:9">
      <c r="H14487" s="1358"/>
      <c r="I14487" s="1358"/>
    </row>
    <row r="14488" spans="8:9">
      <c r="H14488" s="1358"/>
      <c r="I14488" s="1358"/>
    </row>
    <row r="14489" spans="8:9">
      <c r="H14489" s="1358"/>
      <c r="I14489" s="1358"/>
    </row>
    <row r="14490" spans="8:9">
      <c r="H14490" s="1358"/>
      <c r="I14490" s="1358"/>
    </row>
    <row r="14491" spans="8:9">
      <c r="H14491" s="1358"/>
      <c r="I14491" s="1358"/>
    </row>
    <row r="14492" spans="8:9">
      <c r="H14492" s="1358"/>
      <c r="I14492" s="1358"/>
    </row>
    <row r="14493" spans="8:9">
      <c r="H14493" s="1358"/>
      <c r="I14493" s="1358"/>
    </row>
    <row r="14494" spans="8:9">
      <c r="H14494" s="1358"/>
      <c r="I14494" s="1358"/>
    </row>
    <row r="14495" spans="8:9">
      <c r="H14495" s="1358"/>
      <c r="I14495" s="1358"/>
    </row>
    <row r="14496" spans="8:9">
      <c r="H14496" s="1358"/>
      <c r="I14496" s="1358"/>
    </row>
    <row r="14497" spans="8:9">
      <c r="H14497" s="1358"/>
      <c r="I14497" s="1358"/>
    </row>
    <row r="14498" spans="8:9">
      <c r="H14498" s="1358"/>
      <c r="I14498" s="1358"/>
    </row>
    <row r="14499" spans="8:9">
      <c r="H14499" s="1358"/>
      <c r="I14499" s="1358"/>
    </row>
    <row r="14500" spans="8:9">
      <c r="H14500" s="1358"/>
      <c r="I14500" s="1358"/>
    </row>
    <row r="14501" spans="8:9">
      <c r="H14501" s="1358"/>
      <c r="I14501" s="1358"/>
    </row>
    <row r="14502" spans="8:9">
      <c r="H14502" s="1358"/>
      <c r="I14502" s="1358"/>
    </row>
    <row r="14503" spans="8:9">
      <c r="H14503" s="1358"/>
      <c r="I14503" s="1358"/>
    </row>
    <row r="14504" spans="8:9">
      <c r="H14504" s="1358"/>
      <c r="I14504" s="1358"/>
    </row>
    <row r="14505" spans="8:9">
      <c r="H14505" s="1358"/>
      <c r="I14505" s="1358"/>
    </row>
    <row r="14506" spans="8:9">
      <c r="H14506" s="1358"/>
      <c r="I14506" s="1358"/>
    </row>
    <row r="14507" spans="8:9">
      <c r="H14507" s="1358"/>
      <c r="I14507" s="1358"/>
    </row>
    <row r="14508" spans="8:9">
      <c r="H14508" s="1358"/>
      <c r="I14508" s="1358"/>
    </row>
    <row r="14509" spans="8:9">
      <c r="H14509" s="1358"/>
      <c r="I14509" s="1358"/>
    </row>
    <row r="14510" spans="8:9">
      <c r="H14510" s="1358"/>
      <c r="I14510" s="1358"/>
    </row>
    <row r="14511" spans="8:9">
      <c r="H14511" s="1358"/>
      <c r="I14511" s="1358"/>
    </row>
    <row r="14512" spans="8:9">
      <c r="H14512" s="1358"/>
      <c r="I14512" s="1358"/>
    </row>
    <row r="14513" spans="8:9">
      <c r="H14513" s="1358"/>
      <c r="I14513" s="1358"/>
    </row>
    <row r="14514" spans="8:9">
      <c r="H14514" s="1358"/>
      <c r="I14514" s="1358"/>
    </row>
    <row r="14515" spans="8:9">
      <c r="H14515" s="1358"/>
      <c r="I14515" s="1358"/>
    </row>
    <row r="14516" spans="8:9">
      <c r="H14516" s="1358"/>
      <c r="I14516" s="1358"/>
    </row>
    <row r="14517" spans="8:9">
      <c r="H14517" s="1358"/>
      <c r="I14517" s="1358"/>
    </row>
    <row r="14518" spans="8:9">
      <c r="H14518" s="1358"/>
      <c r="I14518" s="1358"/>
    </row>
    <row r="14519" spans="8:9">
      <c r="H14519" s="1358"/>
      <c r="I14519" s="1358"/>
    </row>
    <row r="14520" spans="8:9">
      <c r="H14520" s="1358"/>
      <c r="I14520" s="1358"/>
    </row>
    <row r="14521" spans="8:9">
      <c r="H14521" s="1358"/>
      <c r="I14521" s="1358"/>
    </row>
    <row r="14522" spans="8:9">
      <c r="H14522" s="1358"/>
      <c r="I14522" s="1358"/>
    </row>
    <row r="14523" spans="8:9">
      <c r="H14523" s="1358"/>
      <c r="I14523" s="1358"/>
    </row>
    <row r="14524" spans="8:9">
      <c r="H14524" s="1358"/>
      <c r="I14524" s="1358"/>
    </row>
    <row r="14525" spans="8:9">
      <c r="H14525" s="1358"/>
      <c r="I14525" s="1358"/>
    </row>
    <row r="14526" spans="8:9">
      <c r="H14526" s="1358"/>
      <c r="I14526" s="1358"/>
    </row>
    <row r="14527" spans="8:9">
      <c r="H14527" s="1358"/>
      <c r="I14527" s="1358"/>
    </row>
    <row r="14528" spans="8:9">
      <c r="H14528" s="1358"/>
      <c r="I14528" s="1358"/>
    </row>
    <row r="14529" spans="8:9">
      <c r="H14529" s="1358"/>
      <c r="I14529" s="1358"/>
    </row>
    <row r="14530" spans="8:9">
      <c r="H14530" s="1358"/>
      <c r="I14530" s="1358"/>
    </row>
    <row r="14531" spans="8:9">
      <c r="H14531" s="1358"/>
      <c r="I14531" s="1358"/>
    </row>
    <row r="14532" spans="8:9">
      <c r="H14532" s="1358"/>
      <c r="I14532" s="1358"/>
    </row>
    <row r="14533" spans="8:9">
      <c r="H14533" s="1358"/>
      <c r="I14533" s="1358"/>
    </row>
    <row r="14534" spans="8:9">
      <c r="H14534" s="1358"/>
      <c r="I14534" s="1358"/>
    </row>
    <row r="14535" spans="8:9">
      <c r="H14535" s="1358"/>
      <c r="I14535" s="1358"/>
    </row>
    <row r="14536" spans="8:9">
      <c r="H14536" s="1358"/>
      <c r="I14536" s="1358"/>
    </row>
    <row r="14537" spans="8:9">
      <c r="H14537" s="1358"/>
      <c r="I14537" s="1358"/>
    </row>
    <row r="14538" spans="8:9">
      <c r="H14538" s="1358"/>
      <c r="I14538" s="1358"/>
    </row>
    <row r="14539" spans="8:9">
      <c r="H14539" s="1358"/>
      <c r="I14539" s="1358"/>
    </row>
    <row r="14540" spans="8:9">
      <c r="H14540" s="1358"/>
      <c r="I14540" s="1358"/>
    </row>
    <row r="14541" spans="8:9">
      <c r="H14541" s="1358"/>
      <c r="I14541" s="1358"/>
    </row>
    <row r="14542" spans="8:9">
      <c r="H14542" s="1358"/>
      <c r="I14542" s="1358"/>
    </row>
    <row r="14543" spans="8:9">
      <c r="H14543" s="1358"/>
      <c r="I14543" s="1358"/>
    </row>
    <row r="14544" spans="8:9">
      <c r="H14544" s="1358"/>
      <c r="I14544" s="1358"/>
    </row>
    <row r="14545" spans="8:9">
      <c r="H14545" s="1358"/>
      <c r="I14545" s="1358"/>
    </row>
    <row r="14546" spans="8:9">
      <c r="H14546" s="1358"/>
      <c r="I14546" s="1358"/>
    </row>
    <row r="14547" spans="8:9">
      <c r="H14547" s="1358"/>
      <c r="I14547" s="1358"/>
    </row>
    <row r="14548" spans="8:9">
      <c r="H14548" s="1358"/>
      <c r="I14548" s="1358"/>
    </row>
    <row r="14549" spans="8:9">
      <c r="H14549" s="1358"/>
      <c r="I14549" s="1358"/>
    </row>
    <row r="14550" spans="8:9">
      <c r="H14550" s="1358"/>
      <c r="I14550" s="1358"/>
    </row>
    <row r="14551" spans="8:9">
      <c r="H14551" s="1358"/>
      <c r="I14551" s="1358"/>
    </row>
    <row r="14552" spans="8:9">
      <c r="H14552" s="1358"/>
      <c r="I14552" s="1358"/>
    </row>
    <row r="14553" spans="8:9">
      <c r="H14553" s="1358"/>
      <c r="I14553" s="1358"/>
    </row>
    <row r="14554" spans="8:9">
      <c r="H14554" s="1358"/>
      <c r="I14554" s="1358"/>
    </row>
    <row r="14555" spans="8:9">
      <c r="H14555" s="1358"/>
      <c r="I14555" s="1358"/>
    </row>
    <row r="14556" spans="8:9">
      <c r="H14556" s="1358"/>
      <c r="I14556" s="1358"/>
    </row>
    <row r="14557" spans="8:9">
      <c r="H14557" s="1358"/>
      <c r="I14557" s="1358"/>
    </row>
    <row r="14558" spans="8:9">
      <c r="H14558" s="1358"/>
      <c r="I14558" s="1358"/>
    </row>
    <row r="14559" spans="8:9">
      <c r="H14559" s="1358"/>
      <c r="I14559" s="1358"/>
    </row>
    <row r="14560" spans="8:9">
      <c r="H14560" s="1358"/>
      <c r="I14560" s="1358"/>
    </row>
    <row r="14561" spans="8:9">
      <c r="H14561" s="1358"/>
      <c r="I14561" s="1358"/>
    </row>
    <row r="14562" spans="8:9">
      <c r="H14562" s="1358"/>
      <c r="I14562" s="1358"/>
    </row>
    <row r="14563" spans="8:9">
      <c r="H14563" s="1358"/>
      <c r="I14563" s="1358"/>
    </row>
    <row r="14564" spans="8:9">
      <c r="H14564" s="1358"/>
      <c r="I14564" s="1358"/>
    </row>
    <row r="14565" spans="8:9">
      <c r="H14565" s="1358"/>
      <c r="I14565" s="1358"/>
    </row>
    <row r="14566" spans="8:9">
      <c r="H14566" s="1358"/>
      <c r="I14566" s="1358"/>
    </row>
    <row r="14567" spans="8:9">
      <c r="H14567" s="1358"/>
      <c r="I14567" s="1358"/>
    </row>
    <row r="14568" spans="8:9">
      <c r="H14568" s="1358"/>
      <c r="I14568" s="1358"/>
    </row>
    <row r="14569" spans="8:9">
      <c r="H14569" s="1358"/>
      <c r="I14569" s="1358"/>
    </row>
    <row r="14570" spans="8:9">
      <c r="H14570" s="1358"/>
      <c r="I14570" s="1358"/>
    </row>
    <row r="14571" spans="8:9">
      <c r="H14571" s="1358"/>
      <c r="I14571" s="1358"/>
    </row>
    <row r="14572" spans="8:9">
      <c r="H14572" s="1358"/>
      <c r="I14572" s="1358"/>
    </row>
    <row r="14573" spans="8:9">
      <c r="H14573" s="1358"/>
      <c r="I14573" s="1358"/>
    </row>
    <row r="14574" spans="8:9">
      <c r="H14574" s="1358"/>
      <c r="I14574" s="1358"/>
    </row>
    <row r="14575" spans="8:9">
      <c r="H14575" s="1358"/>
      <c r="I14575" s="1358"/>
    </row>
    <row r="14576" spans="8:9">
      <c r="H14576" s="1358"/>
      <c r="I14576" s="1358"/>
    </row>
    <row r="14577" spans="8:9">
      <c r="H14577" s="1358"/>
      <c r="I14577" s="1358"/>
    </row>
    <row r="14578" spans="8:9">
      <c r="H14578" s="1358"/>
      <c r="I14578" s="1358"/>
    </row>
    <row r="14579" spans="8:9">
      <c r="H14579" s="1358"/>
      <c r="I14579" s="1358"/>
    </row>
    <row r="14580" spans="8:9">
      <c r="H14580" s="1358"/>
      <c r="I14580" s="1358"/>
    </row>
    <row r="14581" spans="8:9">
      <c r="H14581" s="1358"/>
      <c r="I14581" s="1358"/>
    </row>
    <row r="14582" spans="8:9">
      <c r="H14582" s="1358"/>
      <c r="I14582" s="1358"/>
    </row>
    <row r="14583" spans="8:9">
      <c r="H14583" s="1358"/>
      <c r="I14583" s="1358"/>
    </row>
    <row r="14584" spans="8:9">
      <c r="H14584" s="1358"/>
      <c r="I14584" s="1358"/>
    </row>
    <row r="14585" spans="8:9">
      <c r="H14585" s="1358"/>
      <c r="I14585" s="1358"/>
    </row>
    <row r="14586" spans="8:9">
      <c r="H14586" s="1358"/>
      <c r="I14586" s="1358"/>
    </row>
    <row r="14587" spans="8:9">
      <c r="H14587" s="1358"/>
      <c r="I14587" s="1358"/>
    </row>
    <row r="14588" spans="8:9">
      <c r="H14588" s="1358"/>
      <c r="I14588" s="1358"/>
    </row>
    <row r="14589" spans="8:9">
      <c r="H14589" s="1358"/>
      <c r="I14589" s="1358"/>
    </row>
    <row r="14590" spans="8:9">
      <c r="H14590" s="1358"/>
      <c r="I14590" s="1358"/>
    </row>
    <row r="14591" spans="8:9">
      <c r="H14591" s="1358"/>
      <c r="I14591" s="1358"/>
    </row>
    <row r="14592" spans="8:9">
      <c r="H14592" s="1358"/>
      <c r="I14592" s="1358"/>
    </row>
    <row r="14593" spans="8:9">
      <c r="H14593" s="1358"/>
      <c r="I14593" s="1358"/>
    </row>
    <row r="14594" spans="8:9">
      <c r="H14594" s="1358"/>
      <c r="I14594" s="1358"/>
    </row>
    <row r="14595" spans="8:9">
      <c r="H14595" s="1358"/>
      <c r="I14595" s="1358"/>
    </row>
    <row r="14596" spans="8:9">
      <c r="H14596" s="1358"/>
      <c r="I14596" s="1358"/>
    </row>
    <row r="14597" spans="8:9">
      <c r="H14597" s="1358"/>
      <c r="I14597" s="1358"/>
    </row>
    <row r="14598" spans="8:9">
      <c r="H14598" s="1358"/>
      <c r="I14598" s="1358"/>
    </row>
    <row r="14599" spans="8:9">
      <c r="H14599" s="1358"/>
      <c r="I14599" s="1358"/>
    </row>
    <row r="14600" spans="8:9">
      <c r="H14600" s="1358"/>
      <c r="I14600" s="1358"/>
    </row>
    <row r="14601" spans="8:9">
      <c r="H14601" s="1358"/>
      <c r="I14601" s="1358"/>
    </row>
    <row r="14602" spans="8:9">
      <c r="H14602" s="1358"/>
      <c r="I14602" s="1358"/>
    </row>
    <row r="14603" spans="8:9">
      <c r="H14603" s="1358"/>
      <c r="I14603" s="1358"/>
    </row>
    <row r="14604" spans="8:9">
      <c r="H14604" s="1358"/>
      <c r="I14604" s="1358"/>
    </row>
    <row r="14605" spans="8:9">
      <c r="H14605" s="1358"/>
      <c r="I14605" s="1358"/>
    </row>
    <row r="14606" spans="8:9">
      <c r="H14606" s="1358"/>
      <c r="I14606" s="1358"/>
    </row>
    <row r="14607" spans="8:9">
      <c r="H14607" s="1358"/>
      <c r="I14607" s="1358"/>
    </row>
    <row r="14608" spans="8:9">
      <c r="H14608" s="1358"/>
      <c r="I14608" s="1358"/>
    </row>
    <row r="14609" spans="8:9">
      <c r="H14609" s="1358"/>
      <c r="I14609" s="1358"/>
    </row>
    <row r="14610" spans="8:9">
      <c r="H14610" s="1358"/>
      <c r="I14610" s="1358"/>
    </row>
    <row r="14611" spans="8:9">
      <c r="H14611" s="1358"/>
      <c r="I14611" s="1358"/>
    </row>
    <row r="14612" spans="8:9">
      <c r="H14612" s="1358"/>
      <c r="I14612" s="1358"/>
    </row>
    <row r="14613" spans="8:9">
      <c r="H14613" s="1358"/>
      <c r="I14613" s="1358"/>
    </row>
    <row r="14614" spans="8:9">
      <c r="H14614" s="1358"/>
      <c r="I14614" s="1358"/>
    </row>
    <row r="14615" spans="8:9">
      <c r="H14615" s="1358"/>
      <c r="I14615" s="1358"/>
    </row>
    <row r="14616" spans="8:9">
      <c r="H14616" s="1358"/>
      <c r="I14616" s="1358"/>
    </row>
    <row r="14617" spans="8:9">
      <c r="H14617" s="1358"/>
      <c r="I14617" s="1358"/>
    </row>
    <row r="14618" spans="8:9">
      <c r="H14618" s="1358"/>
      <c r="I14618" s="1358"/>
    </row>
    <row r="14619" spans="8:9">
      <c r="H14619" s="1358"/>
      <c r="I14619" s="1358"/>
    </row>
    <row r="14620" spans="8:9">
      <c r="H14620" s="1358"/>
      <c r="I14620" s="1358"/>
    </row>
    <row r="14621" spans="8:9">
      <c r="H14621" s="1358"/>
      <c r="I14621" s="1358"/>
    </row>
    <row r="14622" spans="8:9">
      <c r="H14622" s="1358"/>
      <c r="I14622" s="1358"/>
    </row>
    <row r="14623" spans="8:9">
      <c r="H14623" s="1358"/>
      <c r="I14623" s="1358"/>
    </row>
    <row r="14624" spans="8:9">
      <c r="H14624" s="1358"/>
      <c r="I14624" s="1358"/>
    </row>
    <row r="14625" spans="8:9">
      <c r="H14625" s="1358"/>
      <c r="I14625" s="1358"/>
    </row>
    <row r="14626" spans="8:9">
      <c r="H14626" s="1358"/>
      <c r="I14626" s="1358"/>
    </row>
    <row r="14627" spans="8:9">
      <c r="H14627" s="1358"/>
      <c r="I14627" s="1358"/>
    </row>
    <row r="14628" spans="8:9">
      <c r="H14628" s="1358"/>
      <c r="I14628" s="1358"/>
    </row>
    <row r="14629" spans="8:9">
      <c r="H14629" s="1358"/>
      <c r="I14629" s="1358"/>
    </row>
    <row r="14630" spans="8:9">
      <c r="H14630" s="1358"/>
      <c r="I14630" s="1358"/>
    </row>
    <row r="14631" spans="8:9">
      <c r="H14631" s="1358"/>
      <c r="I14631" s="1358"/>
    </row>
    <row r="14632" spans="8:9">
      <c r="H14632" s="1358"/>
      <c r="I14632" s="1358"/>
    </row>
    <row r="14633" spans="8:9">
      <c r="H14633" s="1358"/>
      <c r="I14633" s="1358"/>
    </row>
    <row r="14634" spans="8:9">
      <c r="H14634" s="1358"/>
      <c r="I14634" s="1358"/>
    </row>
    <row r="14635" spans="8:9">
      <c r="H14635" s="1358"/>
      <c r="I14635" s="1358"/>
    </row>
    <row r="14636" spans="8:9">
      <c r="H14636" s="1358"/>
      <c r="I14636" s="1358"/>
    </row>
    <row r="14637" spans="8:9">
      <c r="H14637" s="1358"/>
      <c r="I14637" s="1358"/>
    </row>
    <row r="14638" spans="8:9">
      <c r="H14638" s="1358"/>
      <c r="I14638" s="1358"/>
    </row>
    <row r="14639" spans="8:9">
      <c r="H14639" s="1358"/>
      <c r="I14639" s="1358"/>
    </row>
    <row r="14640" spans="8:9">
      <c r="H14640" s="1358"/>
      <c r="I14640" s="1358"/>
    </row>
    <row r="14641" spans="8:9">
      <c r="H14641" s="1358"/>
      <c r="I14641" s="1358"/>
    </row>
    <row r="14642" spans="8:9">
      <c r="H14642" s="1358"/>
      <c r="I14642" s="1358"/>
    </row>
    <row r="14643" spans="8:9">
      <c r="H14643" s="1358"/>
      <c r="I14643" s="1358"/>
    </row>
    <row r="14644" spans="8:9">
      <c r="H14644" s="1358"/>
      <c r="I14644" s="1358"/>
    </row>
    <row r="14645" spans="8:9">
      <c r="H14645" s="1358"/>
      <c r="I14645" s="1358"/>
    </row>
    <row r="14646" spans="8:9">
      <c r="H14646" s="1358"/>
      <c r="I14646" s="1358"/>
    </row>
    <row r="14647" spans="8:9">
      <c r="H14647" s="1358"/>
      <c r="I14647" s="1358"/>
    </row>
    <row r="14648" spans="8:9">
      <c r="H14648" s="1358"/>
      <c r="I14648" s="1358"/>
    </row>
    <row r="14649" spans="8:9">
      <c r="H14649" s="1358"/>
      <c r="I14649" s="1358"/>
    </row>
    <row r="14650" spans="8:9">
      <c r="H14650" s="1358"/>
      <c r="I14650" s="1358"/>
    </row>
    <row r="14651" spans="8:9">
      <c r="H14651" s="1358"/>
      <c r="I14651" s="1358"/>
    </row>
    <row r="14652" spans="8:9">
      <c r="H14652" s="1358"/>
      <c r="I14652" s="1358"/>
    </row>
    <row r="14653" spans="8:9">
      <c r="H14653" s="1358"/>
      <c r="I14653" s="1358"/>
    </row>
    <row r="14654" spans="8:9">
      <c r="H14654" s="1358"/>
      <c r="I14654" s="1358"/>
    </row>
    <row r="14655" spans="8:9">
      <c r="H14655" s="1358"/>
      <c r="I14655" s="1358"/>
    </row>
    <row r="14656" spans="8:9">
      <c r="H14656" s="1358"/>
      <c r="I14656" s="1358"/>
    </row>
    <row r="14657" spans="8:9">
      <c r="H14657" s="1358"/>
      <c r="I14657" s="1358"/>
    </row>
    <row r="14658" spans="8:9">
      <c r="H14658" s="1358"/>
      <c r="I14658" s="1358"/>
    </row>
    <row r="14659" spans="8:9">
      <c r="H14659" s="1358"/>
      <c r="I14659" s="1358"/>
    </row>
    <row r="14660" spans="8:9">
      <c r="H14660" s="1358"/>
      <c r="I14660" s="1358"/>
    </row>
    <row r="14661" spans="8:9">
      <c r="H14661" s="1358"/>
      <c r="I14661" s="1358"/>
    </row>
    <row r="14662" spans="8:9">
      <c r="H14662" s="1358"/>
      <c r="I14662" s="1358"/>
    </row>
    <row r="14663" spans="8:9">
      <c r="H14663" s="1358"/>
      <c r="I14663" s="1358"/>
    </row>
    <row r="14664" spans="8:9">
      <c r="H14664" s="1358"/>
      <c r="I14664" s="1358"/>
    </row>
    <row r="14665" spans="8:9">
      <c r="H14665" s="1358"/>
      <c r="I14665" s="1358"/>
    </row>
    <row r="14666" spans="8:9">
      <c r="H14666" s="1358"/>
      <c r="I14666" s="1358"/>
    </row>
    <row r="14667" spans="8:9">
      <c r="H14667" s="1358"/>
      <c r="I14667" s="1358"/>
    </row>
    <row r="14668" spans="8:9">
      <c r="H14668" s="1358"/>
      <c r="I14668" s="1358"/>
    </row>
    <row r="14669" spans="8:9">
      <c r="H14669" s="1358"/>
      <c r="I14669" s="1358"/>
    </row>
    <row r="14670" spans="8:9">
      <c r="H14670" s="1358"/>
      <c r="I14670" s="1358"/>
    </row>
    <row r="14671" spans="8:9">
      <c r="H14671" s="1358"/>
      <c r="I14671" s="1358"/>
    </row>
    <row r="14672" spans="8:9">
      <c r="H14672" s="1358"/>
      <c r="I14672" s="1358"/>
    </row>
    <row r="14673" spans="8:9">
      <c r="H14673" s="1358"/>
      <c r="I14673" s="1358"/>
    </row>
    <row r="14674" spans="8:9">
      <c r="H14674" s="1358"/>
      <c r="I14674" s="1358"/>
    </row>
    <row r="14675" spans="8:9">
      <c r="H14675" s="1358"/>
      <c r="I14675" s="1358"/>
    </row>
    <row r="14676" spans="8:9">
      <c r="H14676" s="1358"/>
      <c r="I14676" s="1358"/>
    </row>
    <row r="14677" spans="8:9">
      <c r="H14677" s="1358"/>
      <c r="I14677" s="1358"/>
    </row>
    <row r="14678" spans="8:9">
      <c r="H14678" s="1358"/>
      <c r="I14678" s="1358"/>
    </row>
    <row r="14679" spans="8:9">
      <c r="H14679" s="1358"/>
      <c r="I14679" s="1358"/>
    </row>
    <row r="14680" spans="8:9">
      <c r="H14680" s="1358"/>
      <c r="I14680" s="1358"/>
    </row>
    <row r="14681" spans="8:9">
      <c r="H14681" s="1358"/>
      <c r="I14681" s="1358"/>
    </row>
    <row r="14682" spans="8:9">
      <c r="H14682" s="1358"/>
      <c r="I14682" s="1358"/>
    </row>
    <row r="14683" spans="8:9">
      <c r="H14683" s="1358"/>
      <c r="I14683" s="1358"/>
    </row>
    <row r="14684" spans="8:9">
      <c r="H14684" s="1358"/>
      <c r="I14684" s="1358"/>
    </row>
    <row r="14685" spans="8:9">
      <c r="H14685" s="1358"/>
      <c r="I14685" s="1358"/>
    </row>
    <row r="14686" spans="8:9">
      <c r="H14686" s="1358"/>
      <c r="I14686" s="1358"/>
    </row>
    <row r="14687" spans="8:9">
      <c r="H14687" s="1358"/>
      <c r="I14687" s="1358"/>
    </row>
    <row r="14688" spans="8:9">
      <c r="H14688" s="1358"/>
      <c r="I14688" s="1358"/>
    </row>
    <row r="14689" spans="8:9">
      <c r="H14689" s="1358"/>
      <c r="I14689" s="1358"/>
    </row>
    <row r="14690" spans="8:9">
      <c r="H14690" s="1358"/>
      <c r="I14690" s="1358"/>
    </row>
    <row r="14691" spans="8:9">
      <c r="H14691" s="1358"/>
      <c r="I14691" s="1358"/>
    </row>
    <row r="14692" spans="8:9">
      <c r="H14692" s="1358"/>
      <c r="I14692" s="1358"/>
    </row>
    <row r="14693" spans="8:9">
      <c r="H14693" s="1358"/>
      <c r="I14693" s="1358"/>
    </row>
    <row r="14694" spans="8:9">
      <c r="H14694" s="1358"/>
      <c r="I14694" s="1358"/>
    </row>
    <row r="14695" spans="8:9">
      <c r="H14695" s="1358"/>
      <c r="I14695" s="1358"/>
    </row>
    <row r="14696" spans="8:9">
      <c r="H14696" s="1358"/>
      <c r="I14696" s="1358"/>
    </row>
    <row r="14697" spans="8:9">
      <c r="H14697" s="1358"/>
      <c r="I14697" s="1358"/>
    </row>
    <row r="14698" spans="8:9">
      <c r="H14698" s="1358"/>
      <c r="I14698" s="1358"/>
    </row>
    <row r="14699" spans="8:9">
      <c r="H14699" s="1358"/>
      <c r="I14699" s="1358"/>
    </row>
    <row r="14700" spans="8:9">
      <c r="H14700" s="1358"/>
      <c r="I14700" s="1358"/>
    </row>
    <row r="14701" spans="8:9">
      <c r="H14701" s="1358"/>
      <c r="I14701" s="1358"/>
    </row>
    <row r="14702" spans="8:9">
      <c r="H14702" s="1358"/>
      <c r="I14702" s="1358"/>
    </row>
    <row r="14703" spans="8:9">
      <c r="H14703" s="1358"/>
      <c r="I14703" s="1358"/>
    </row>
    <row r="14704" spans="8:9">
      <c r="H14704" s="1358"/>
      <c r="I14704" s="1358"/>
    </row>
    <row r="14705" spans="8:9">
      <c r="H14705" s="1358"/>
      <c r="I14705" s="1358"/>
    </row>
    <row r="14706" spans="8:9">
      <c r="H14706" s="1358"/>
      <c r="I14706" s="1358"/>
    </row>
    <row r="14707" spans="8:9">
      <c r="H14707" s="1358"/>
      <c r="I14707" s="1358"/>
    </row>
    <row r="14708" spans="8:9">
      <c r="H14708" s="1358"/>
      <c r="I14708" s="1358"/>
    </row>
    <row r="14709" spans="8:9">
      <c r="H14709" s="1358"/>
      <c r="I14709" s="1358"/>
    </row>
    <row r="14710" spans="8:9">
      <c r="H14710" s="1358"/>
      <c r="I14710" s="1358"/>
    </row>
    <row r="14711" spans="8:9">
      <c r="H14711" s="1358"/>
      <c r="I14711" s="1358"/>
    </row>
    <row r="14712" spans="8:9">
      <c r="H14712" s="1358"/>
      <c r="I14712" s="1358"/>
    </row>
    <row r="14713" spans="8:9">
      <c r="H14713" s="1358"/>
      <c r="I14713" s="1358"/>
    </row>
    <row r="14714" spans="8:9">
      <c r="H14714" s="1358"/>
      <c r="I14714" s="1358"/>
    </row>
    <row r="14715" spans="8:9">
      <c r="H14715" s="1358"/>
      <c r="I14715" s="1358"/>
    </row>
    <row r="14716" spans="8:9">
      <c r="H14716" s="1358"/>
      <c r="I14716" s="1358"/>
    </row>
    <row r="14717" spans="8:9">
      <c r="H14717" s="1358"/>
      <c r="I14717" s="1358"/>
    </row>
    <row r="14718" spans="8:9">
      <c r="H14718" s="1358"/>
      <c r="I14718" s="1358"/>
    </row>
    <row r="14719" spans="8:9">
      <c r="H14719" s="1358"/>
      <c r="I14719" s="1358"/>
    </row>
    <row r="14720" spans="8:9">
      <c r="H14720" s="1358"/>
      <c r="I14720" s="1358"/>
    </row>
    <row r="14721" spans="8:9">
      <c r="H14721" s="1358"/>
      <c r="I14721" s="1358"/>
    </row>
    <row r="14722" spans="8:9">
      <c r="H14722" s="1358"/>
      <c r="I14722" s="1358"/>
    </row>
    <row r="14723" spans="8:9">
      <c r="H14723" s="1358"/>
      <c r="I14723" s="1358"/>
    </row>
    <row r="14724" spans="8:9">
      <c r="H14724" s="1358"/>
      <c r="I14724" s="1358"/>
    </row>
    <row r="14725" spans="8:9">
      <c r="H14725" s="1358"/>
      <c r="I14725" s="1358"/>
    </row>
    <row r="14726" spans="8:9">
      <c r="H14726" s="1358"/>
      <c r="I14726" s="1358"/>
    </row>
    <row r="14727" spans="8:9">
      <c r="H14727" s="1358"/>
      <c r="I14727" s="1358"/>
    </row>
    <row r="14728" spans="8:9">
      <c r="H14728" s="1358"/>
      <c r="I14728" s="1358"/>
    </row>
    <row r="14729" spans="8:9">
      <c r="H14729" s="1358"/>
      <c r="I14729" s="1358"/>
    </row>
    <row r="14730" spans="8:9">
      <c r="H14730" s="1358"/>
      <c r="I14730" s="1358"/>
    </row>
    <row r="14731" spans="8:9">
      <c r="H14731" s="1358"/>
      <c r="I14731" s="1358"/>
    </row>
    <row r="14732" spans="8:9">
      <c r="H14732" s="1358"/>
      <c r="I14732" s="1358"/>
    </row>
    <row r="14733" spans="8:9">
      <c r="H14733" s="1358"/>
      <c r="I14733" s="1358"/>
    </row>
    <row r="14734" spans="8:9">
      <c r="H14734" s="1358"/>
      <c r="I14734" s="1358"/>
    </row>
    <row r="14735" spans="8:9">
      <c r="H14735" s="1358"/>
      <c r="I14735" s="1358"/>
    </row>
    <row r="14736" spans="8:9">
      <c r="H14736" s="1358"/>
      <c r="I14736" s="1358"/>
    </row>
    <row r="14737" spans="8:9">
      <c r="H14737" s="1358"/>
      <c r="I14737" s="1358"/>
    </row>
    <row r="14738" spans="8:9">
      <c r="H14738" s="1358"/>
      <c r="I14738" s="1358"/>
    </row>
    <row r="14739" spans="8:9">
      <c r="H14739" s="1358"/>
      <c r="I14739" s="1358"/>
    </row>
    <row r="14740" spans="8:9">
      <c r="H14740" s="1358"/>
      <c r="I14740" s="1358"/>
    </row>
    <row r="14741" spans="8:9">
      <c r="H14741" s="1358"/>
      <c r="I14741" s="1358"/>
    </row>
    <row r="14742" spans="8:9">
      <c r="H14742" s="1358"/>
      <c r="I14742" s="1358"/>
    </row>
    <row r="14743" spans="8:9">
      <c r="H14743" s="1358"/>
      <c r="I14743" s="1358"/>
    </row>
    <row r="14744" spans="8:9">
      <c r="H14744" s="1358"/>
      <c r="I14744" s="1358"/>
    </row>
    <row r="14745" spans="8:9">
      <c r="H14745" s="1358"/>
      <c r="I14745" s="1358"/>
    </row>
    <row r="14746" spans="8:9">
      <c r="H14746" s="1358"/>
      <c r="I14746" s="1358"/>
    </row>
    <row r="14747" spans="8:9">
      <c r="H14747" s="1358"/>
      <c r="I14747" s="1358"/>
    </row>
    <row r="14748" spans="8:9">
      <c r="H14748" s="1358"/>
      <c r="I14748" s="1358"/>
    </row>
    <row r="14749" spans="8:9">
      <c r="H14749" s="1358"/>
      <c r="I14749" s="1358"/>
    </row>
    <row r="14750" spans="8:9">
      <c r="H14750" s="1358"/>
      <c r="I14750" s="1358"/>
    </row>
    <row r="14751" spans="8:9">
      <c r="H14751" s="1358"/>
      <c r="I14751" s="1358"/>
    </row>
    <row r="14752" spans="8:9">
      <c r="H14752" s="1358"/>
      <c r="I14752" s="1358"/>
    </row>
    <row r="14753" spans="8:9">
      <c r="H14753" s="1358"/>
      <c r="I14753" s="1358"/>
    </row>
    <row r="14754" spans="8:9">
      <c r="H14754" s="1358"/>
      <c r="I14754" s="1358"/>
    </row>
    <row r="14755" spans="8:9">
      <c r="H14755" s="1358"/>
      <c r="I14755" s="1358"/>
    </row>
    <row r="14756" spans="8:9">
      <c r="H14756" s="1358"/>
      <c r="I14756" s="1358"/>
    </row>
    <row r="14757" spans="8:9">
      <c r="H14757" s="1358"/>
      <c r="I14757" s="1358"/>
    </row>
    <row r="14758" spans="8:9">
      <c r="H14758" s="1358"/>
      <c r="I14758" s="1358"/>
    </row>
    <row r="14759" spans="8:9">
      <c r="H14759" s="1358"/>
      <c r="I14759" s="1358"/>
    </row>
    <row r="14760" spans="8:9">
      <c r="H14760" s="1358"/>
      <c r="I14760" s="1358"/>
    </row>
    <row r="14761" spans="8:9">
      <c r="H14761" s="1358"/>
      <c r="I14761" s="1358"/>
    </row>
    <row r="14762" spans="8:9">
      <c r="H14762" s="1358"/>
      <c r="I14762" s="1358"/>
    </row>
    <row r="14763" spans="8:9">
      <c r="H14763" s="1358"/>
      <c r="I14763" s="1358"/>
    </row>
    <row r="14764" spans="8:9">
      <c r="H14764" s="1358"/>
      <c r="I14764" s="1358"/>
    </row>
    <row r="14765" spans="8:9">
      <c r="H14765" s="1358"/>
      <c r="I14765" s="1358"/>
    </row>
    <row r="14766" spans="8:9">
      <c r="H14766" s="1358"/>
      <c r="I14766" s="1358"/>
    </row>
    <row r="14767" spans="8:9">
      <c r="H14767" s="1358"/>
      <c r="I14767" s="1358"/>
    </row>
    <row r="14768" spans="8:9">
      <c r="H14768" s="1358"/>
      <c r="I14768" s="1358"/>
    </row>
    <row r="14769" spans="8:9">
      <c r="H14769" s="1358"/>
      <c r="I14769" s="1358"/>
    </row>
    <row r="14770" spans="8:9">
      <c r="H14770" s="1358"/>
      <c r="I14770" s="1358"/>
    </row>
    <row r="14771" spans="8:9">
      <c r="H14771" s="1358"/>
      <c r="I14771" s="1358"/>
    </row>
    <row r="14772" spans="8:9">
      <c r="H14772" s="1358"/>
      <c r="I14772" s="1358"/>
    </row>
    <row r="14773" spans="8:9">
      <c r="H14773" s="1358"/>
      <c r="I14773" s="1358"/>
    </row>
    <row r="14774" spans="8:9">
      <c r="H14774" s="1358"/>
      <c r="I14774" s="1358"/>
    </row>
    <row r="14775" spans="8:9">
      <c r="H14775" s="1358"/>
      <c r="I14775" s="1358"/>
    </row>
    <row r="14776" spans="8:9">
      <c r="H14776" s="1358"/>
      <c r="I14776" s="1358"/>
    </row>
    <row r="14777" spans="8:9">
      <c r="H14777" s="1358"/>
      <c r="I14777" s="1358"/>
    </row>
    <row r="14778" spans="8:9">
      <c r="H14778" s="1358"/>
      <c r="I14778" s="1358"/>
    </row>
    <row r="14779" spans="8:9">
      <c r="H14779" s="1358"/>
      <c r="I14779" s="1358"/>
    </row>
    <row r="14780" spans="8:9">
      <c r="H14780" s="1358"/>
      <c r="I14780" s="1358"/>
    </row>
    <row r="14781" spans="8:9">
      <c r="H14781" s="1358"/>
      <c r="I14781" s="1358"/>
    </row>
    <row r="14782" spans="8:9">
      <c r="H14782" s="1358"/>
      <c r="I14782" s="1358"/>
    </row>
    <row r="14783" spans="8:9">
      <c r="H14783" s="1358"/>
      <c r="I14783" s="1358"/>
    </row>
    <row r="14784" spans="8:9">
      <c r="H14784" s="1358"/>
      <c r="I14784" s="1358"/>
    </row>
    <row r="14785" spans="8:9">
      <c r="H14785" s="1358"/>
      <c r="I14785" s="1358"/>
    </row>
    <row r="14786" spans="8:9">
      <c r="H14786" s="1358"/>
      <c r="I14786" s="1358"/>
    </row>
    <row r="14787" spans="8:9">
      <c r="H14787" s="1358"/>
      <c r="I14787" s="1358"/>
    </row>
    <row r="14788" spans="8:9">
      <c r="H14788" s="1358"/>
      <c r="I14788" s="1358"/>
    </row>
    <row r="14789" spans="8:9">
      <c r="H14789" s="1358"/>
      <c r="I14789" s="1358"/>
    </row>
    <row r="14790" spans="8:9">
      <c r="H14790" s="1358"/>
      <c r="I14790" s="1358"/>
    </row>
    <row r="14791" spans="8:9">
      <c r="H14791" s="1358"/>
      <c r="I14791" s="1358"/>
    </row>
    <row r="14792" spans="8:9">
      <c r="H14792" s="1358"/>
      <c r="I14792" s="1358"/>
    </row>
    <row r="14793" spans="8:9">
      <c r="H14793" s="1358"/>
      <c r="I14793" s="1358"/>
    </row>
    <row r="14794" spans="8:9">
      <c r="H14794" s="1358"/>
      <c r="I14794" s="1358"/>
    </row>
    <row r="14795" spans="8:9">
      <c r="H14795" s="1358"/>
      <c r="I14795" s="1358"/>
    </row>
    <row r="14796" spans="8:9">
      <c r="H14796" s="1358"/>
      <c r="I14796" s="1358"/>
    </row>
    <row r="14797" spans="8:9">
      <c r="H14797" s="1358"/>
      <c r="I14797" s="1358"/>
    </row>
    <row r="14798" spans="8:9">
      <c r="H14798" s="1358"/>
      <c r="I14798" s="1358"/>
    </row>
    <row r="14799" spans="8:9">
      <c r="H14799" s="1358"/>
      <c r="I14799" s="1358"/>
    </row>
    <row r="14800" spans="8:9">
      <c r="H14800" s="1358"/>
      <c r="I14800" s="1358"/>
    </row>
    <row r="14801" spans="8:9">
      <c r="H14801" s="1358"/>
      <c r="I14801" s="1358"/>
    </row>
    <row r="14802" spans="8:9">
      <c r="H14802" s="1358"/>
      <c r="I14802" s="1358"/>
    </row>
    <row r="14803" spans="8:9">
      <c r="H14803" s="1358"/>
      <c r="I14803" s="1358"/>
    </row>
    <row r="14804" spans="8:9">
      <c r="H14804" s="1358"/>
      <c r="I14804" s="1358"/>
    </row>
    <row r="14805" spans="8:9">
      <c r="H14805" s="1358"/>
      <c r="I14805" s="1358"/>
    </row>
    <row r="14806" spans="8:9">
      <c r="H14806" s="1358"/>
      <c r="I14806" s="1358"/>
    </row>
    <row r="14807" spans="8:9">
      <c r="H14807" s="1358"/>
      <c r="I14807" s="1358"/>
    </row>
    <row r="14808" spans="8:9">
      <c r="H14808" s="1358"/>
      <c r="I14808" s="1358"/>
    </row>
    <row r="14809" spans="8:9">
      <c r="H14809" s="1358"/>
      <c r="I14809" s="1358"/>
    </row>
    <row r="14810" spans="8:9">
      <c r="H14810" s="1358"/>
      <c r="I14810" s="1358"/>
    </row>
    <row r="14811" spans="8:9">
      <c r="H14811" s="1358"/>
      <c r="I14811" s="1358"/>
    </row>
    <row r="14812" spans="8:9">
      <c r="H14812" s="1358"/>
      <c r="I14812" s="1358"/>
    </row>
    <row r="14813" spans="8:9">
      <c r="H14813" s="1358"/>
      <c r="I14813" s="1358"/>
    </row>
    <row r="14814" spans="8:9">
      <c r="H14814" s="1358"/>
      <c r="I14814" s="1358"/>
    </row>
    <row r="14815" spans="8:9">
      <c r="H14815" s="1358"/>
      <c r="I14815" s="1358"/>
    </row>
    <row r="14816" spans="8:9">
      <c r="H14816" s="1358"/>
      <c r="I14816" s="1358"/>
    </row>
    <row r="14817" spans="8:9">
      <c r="H14817" s="1358"/>
      <c r="I14817" s="1358"/>
    </row>
    <row r="14818" spans="8:9">
      <c r="H14818" s="1358"/>
      <c r="I14818" s="1358"/>
    </row>
    <row r="14819" spans="8:9">
      <c r="H14819" s="1358"/>
      <c r="I14819" s="1358"/>
    </row>
    <row r="14820" spans="8:9">
      <c r="H14820" s="1358"/>
      <c r="I14820" s="1358"/>
    </row>
    <row r="14821" spans="8:9">
      <c r="H14821" s="1358"/>
      <c r="I14821" s="1358"/>
    </row>
    <row r="14822" spans="8:9">
      <c r="H14822" s="1358"/>
      <c r="I14822" s="1358"/>
    </row>
    <row r="14823" spans="8:9">
      <c r="H14823" s="1358"/>
      <c r="I14823" s="1358"/>
    </row>
    <row r="14824" spans="8:9">
      <c r="H14824" s="1358"/>
      <c r="I14824" s="1358"/>
    </row>
    <row r="14825" spans="8:9">
      <c r="H14825" s="1358"/>
      <c r="I14825" s="1358"/>
    </row>
    <row r="14826" spans="8:9">
      <c r="H14826" s="1358"/>
      <c r="I14826" s="1358"/>
    </row>
    <row r="14827" spans="8:9">
      <c r="H14827" s="1358"/>
      <c r="I14827" s="1358"/>
    </row>
    <row r="14828" spans="8:9">
      <c r="H14828" s="1358"/>
      <c r="I14828" s="1358"/>
    </row>
    <row r="14829" spans="8:9">
      <c r="H14829" s="1358"/>
      <c r="I14829" s="1358"/>
    </row>
    <row r="14830" spans="8:9">
      <c r="H14830" s="1358"/>
      <c r="I14830" s="1358"/>
    </row>
    <row r="14831" spans="8:9">
      <c r="H14831" s="1358"/>
      <c r="I14831" s="1358"/>
    </row>
    <row r="14832" spans="8:9">
      <c r="H14832" s="1358"/>
      <c r="I14832" s="1358"/>
    </row>
    <row r="14833" spans="8:9">
      <c r="H14833" s="1358"/>
      <c r="I14833" s="1358"/>
    </row>
    <row r="14834" spans="8:9">
      <c r="H14834" s="1358"/>
      <c r="I14834" s="1358"/>
    </row>
    <row r="14835" spans="8:9">
      <c r="H14835" s="1358"/>
      <c r="I14835" s="1358"/>
    </row>
    <row r="14836" spans="8:9">
      <c r="H14836" s="1358"/>
      <c r="I14836" s="1358"/>
    </row>
    <row r="14837" spans="8:9">
      <c r="H14837" s="1358"/>
      <c r="I14837" s="1358"/>
    </row>
    <row r="14838" spans="8:9">
      <c r="H14838" s="1358"/>
      <c r="I14838" s="1358"/>
    </row>
    <row r="14839" spans="8:9">
      <c r="H14839" s="1358"/>
      <c r="I14839" s="1358"/>
    </row>
    <row r="14840" spans="8:9">
      <c r="H14840" s="1358"/>
      <c r="I14840" s="1358"/>
    </row>
    <row r="14841" spans="8:9">
      <c r="H14841" s="1358"/>
      <c r="I14841" s="1358"/>
    </row>
    <row r="14842" spans="8:9">
      <c r="H14842" s="1358"/>
      <c r="I14842" s="1358"/>
    </row>
    <row r="14843" spans="8:9">
      <c r="H14843" s="1358"/>
      <c r="I14843" s="1358"/>
    </row>
    <row r="14844" spans="8:9">
      <c r="H14844" s="1358"/>
      <c r="I14844" s="1358"/>
    </row>
    <row r="14845" spans="8:9">
      <c r="H14845" s="1358"/>
      <c r="I14845" s="1358"/>
    </row>
    <row r="14846" spans="8:9">
      <c r="H14846" s="1358"/>
      <c r="I14846" s="1358"/>
    </row>
    <row r="14847" spans="8:9">
      <c r="H14847" s="1358"/>
      <c r="I14847" s="1358"/>
    </row>
    <row r="14848" spans="8:9">
      <c r="H14848" s="1358"/>
      <c r="I14848" s="1358"/>
    </row>
    <row r="14849" spans="8:9">
      <c r="H14849" s="1358"/>
      <c r="I14849" s="1358"/>
    </row>
    <row r="14850" spans="8:9">
      <c r="H14850" s="1358"/>
      <c r="I14850" s="1358"/>
    </row>
    <row r="14851" spans="8:9">
      <c r="H14851" s="1358"/>
      <c r="I14851" s="1358"/>
    </row>
    <row r="14852" spans="8:9">
      <c r="H14852" s="1358"/>
      <c r="I14852" s="1358"/>
    </row>
    <row r="14853" spans="8:9">
      <c r="H14853" s="1358"/>
      <c r="I14853" s="1358"/>
    </row>
    <row r="14854" spans="8:9">
      <c r="H14854" s="1358"/>
      <c r="I14854" s="1358"/>
    </row>
    <row r="14855" spans="8:9">
      <c r="H14855" s="1358"/>
      <c r="I14855" s="1358"/>
    </row>
    <row r="14856" spans="8:9">
      <c r="H14856" s="1358"/>
      <c r="I14856" s="1358"/>
    </row>
    <row r="14857" spans="8:9">
      <c r="H14857" s="1358"/>
      <c r="I14857" s="1358"/>
    </row>
    <row r="14858" spans="8:9">
      <c r="H14858" s="1358"/>
      <c r="I14858" s="1358"/>
    </row>
    <row r="14859" spans="8:9">
      <c r="H14859" s="1358"/>
      <c r="I14859" s="1358"/>
    </row>
    <row r="14860" spans="8:9">
      <c r="H14860" s="1358"/>
      <c r="I14860" s="1358"/>
    </row>
    <row r="14861" spans="8:9">
      <c r="H14861" s="1358"/>
      <c r="I14861" s="1358"/>
    </row>
    <row r="14862" spans="8:9">
      <c r="H14862" s="1358"/>
      <c r="I14862" s="1358"/>
    </row>
    <row r="14863" spans="8:9">
      <c r="H14863" s="1358"/>
      <c r="I14863" s="1358"/>
    </row>
    <row r="14864" spans="8:9">
      <c r="H14864" s="1358"/>
      <c r="I14864" s="1358"/>
    </row>
    <row r="14865" spans="8:9">
      <c r="H14865" s="1358"/>
      <c r="I14865" s="1358"/>
    </row>
    <row r="14866" spans="8:9">
      <c r="H14866" s="1358"/>
      <c r="I14866" s="1358"/>
    </row>
    <row r="14867" spans="8:9">
      <c r="H14867" s="1358"/>
      <c r="I14867" s="1358"/>
    </row>
    <row r="14868" spans="8:9">
      <c r="H14868" s="1358"/>
      <c r="I14868" s="1358"/>
    </row>
    <row r="14869" spans="8:9">
      <c r="H14869" s="1358"/>
      <c r="I14869" s="1358"/>
    </row>
    <row r="14870" spans="8:9">
      <c r="H14870" s="1358"/>
      <c r="I14870" s="1358"/>
    </row>
    <row r="14871" spans="8:9">
      <c r="H14871" s="1358"/>
      <c r="I14871" s="1358"/>
    </row>
    <row r="14872" spans="8:9">
      <c r="H14872" s="1358"/>
      <c r="I14872" s="1358"/>
    </row>
    <row r="14873" spans="8:9">
      <c r="H14873" s="1358"/>
      <c r="I14873" s="1358"/>
    </row>
    <row r="14874" spans="8:9">
      <c r="H14874" s="1358"/>
      <c r="I14874" s="1358"/>
    </row>
    <row r="14875" spans="8:9">
      <c r="H14875" s="1358"/>
      <c r="I14875" s="1358"/>
    </row>
    <row r="14876" spans="8:9">
      <c r="H14876" s="1358"/>
      <c r="I14876" s="1358"/>
    </row>
    <row r="14877" spans="8:9">
      <c r="H14877" s="1358"/>
      <c r="I14877" s="1358"/>
    </row>
    <row r="14878" spans="8:9">
      <c r="H14878" s="1358"/>
      <c r="I14878" s="1358"/>
    </row>
    <row r="14879" spans="8:9">
      <c r="H14879" s="1358"/>
      <c r="I14879" s="1358"/>
    </row>
    <row r="14880" spans="8:9">
      <c r="H14880" s="1358"/>
      <c r="I14880" s="1358"/>
    </row>
    <row r="14881" spans="8:9">
      <c r="H14881" s="1358"/>
      <c r="I14881" s="1358"/>
    </row>
    <row r="14882" spans="8:9">
      <c r="H14882" s="1358"/>
      <c r="I14882" s="1358"/>
    </row>
    <row r="14883" spans="8:9">
      <c r="H14883" s="1358"/>
      <c r="I14883" s="1358"/>
    </row>
    <row r="14884" spans="8:9">
      <c r="H14884" s="1358"/>
      <c r="I14884" s="1358"/>
    </row>
    <row r="14885" spans="8:9">
      <c r="H14885" s="1358"/>
      <c r="I14885" s="1358"/>
    </row>
    <row r="14886" spans="8:9">
      <c r="H14886" s="1358"/>
      <c r="I14886" s="1358"/>
    </row>
    <row r="14887" spans="8:9">
      <c r="H14887" s="1358"/>
      <c r="I14887" s="1358"/>
    </row>
    <row r="14888" spans="8:9">
      <c r="H14888" s="1358"/>
      <c r="I14888" s="1358"/>
    </row>
    <row r="14889" spans="8:9">
      <c r="H14889" s="1358"/>
      <c r="I14889" s="1358"/>
    </row>
    <row r="14890" spans="8:9">
      <c r="H14890" s="1358"/>
      <c r="I14890" s="1358"/>
    </row>
    <row r="14891" spans="8:9">
      <c r="H14891" s="1358"/>
      <c r="I14891" s="1358"/>
    </row>
    <row r="14892" spans="8:9">
      <c r="H14892" s="1358"/>
      <c r="I14892" s="1358"/>
    </row>
    <row r="14893" spans="8:9">
      <c r="H14893" s="1358"/>
      <c r="I14893" s="1358"/>
    </row>
    <row r="14894" spans="8:9">
      <c r="H14894" s="1358"/>
      <c r="I14894" s="1358"/>
    </row>
    <row r="14895" spans="8:9">
      <c r="H14895" s="1358"/>
      <c r="I14895" s="1358"/>
    </row>
    <row r="14896" spans="8:9">
      <c r="H14896" s="1358"/>
      <c r="I14896" s="1358"/>
    </row>
    <row r="14897" spans="8:9">
      <c r="H14897" s="1358"/>
      <c r="I14897" s="1358"/>
    </row>
    <row r="14898" spans="8:9">
      <c r="H14898" s="1358"/>
      <c r="I14898" s="1358"/>
    </row>
    <row r="14899" spans="8:9">
      <c r="H14899" s="1358"/>
      <c r="I14899" s="1358"/>
    </row>
    <row r="14900" spans="8:9">
      <c r="H14900" s="1358"/>
      <c r="I14900" s="1358"/>
    </row>
    <row r="14901" spans="8:9">
      <c r="H14901" s="1358"/>
      <c r="I14901" s="1358"/>
    </row>
    <row r="14902" spans="8:9">
      <c r="H14902" s="1358"/>
      <c r="I14902" s="1358"/>
    </row>
    <row r="14903" spans="8:9">
      <c r="H14903" s="1358"/>
      <c r="I14903" s="1358"/>
    </row>
    <row r="14904" spans="8:9">
      <c r="H14904" s="1358"/>
      <c r="I14904" s="1358"/>
    </row>
    <row r="14905" spans="8:9">
      <c r="H14905" s="1358"/>
      <c r="I14905" s="1358"/>
    </row>
    <row r="14906" spans="8:9">
      <c r="H14906" s="1358"/>
      <c r="I14906" s="1358"/>
    </row>
    <row r="14907" spans="8:9">
      <c r="H14907" s="1358"/>
      <c r="I14907" s="1358"/>
    </row>
    <row r="14908" spans="8:9">
      <c r="H14908" s="1358"/>
      <c r="I14908" s="1358"/>
    </row>
    <row r="14909" spans="8:9">
      <c r="H14909" s="1358"/>
      <c r="I14909" s="1358"/>
    </row>
    <row r="14910" spans="8:9">
      <c r="H14910" s="1358"/>
      <c r="I14910" s="1358"/>
    </row>
    <row r="14911" spans="8:9">
      <c r="H14911" s="1358"/>
      <c r="I14911" s="1358"/>
    </row>
    <row r="14912" spans="8:9">
      <c r="H14912" s="1358"/>
      <c r="I14912" s="1358"/>
    </row>
    <row r="14913" spans="8:9">
      <c r="H14913" s="1358"/>
      <c r="I14913" s="1358"/>
    </row>
    <row r="14914" spans="8:9">
      <c r="H14914" s="1358"/>
      <c r="I14914" s="1358"/>
    </row>
    <row r="14915" spans="8:9">
      <c r="H14915" s="1358"/>
      <c r="I14915" s="1358"/>
    </row>
    <row r="14916" spans="8:9">
      <c r="H14916" s="1358"/>
      <c r="I14916" s="1358"/>
    </row>
    <row r="14917" spans="8:9">
      <c r="H14917" s="1358"/>
      <c r="I14917" s="1358"/>
    </row>
    <row r="14918" spans="8:9">
      <c r="H14918" s="1358"/>
      <c r="I14918" s="1358"/>
    </row>
    <row r="14919" spans="8:9">
      <c r="H14919" s="1358"/>
      <c r="I14919" s="1358"/>
    </row>
    <row r="14920" spans="8:9">
      <c r="H14920" s="1358"/>
      <c r="I14920" s="1358"/>
    </row>
    <row r="14921" spans="8:9">
      <c r="H14921" s="1358"/>
      <c r="I14921" s="1358"/>
    </row>
    <row r="14922" spans="8:9">
      <c r="H14922" s="1358"/>
      <c r="I14922" s="1358"/>
    </row>
    <row r="14923" spans="8:9">
      <c r="H14923" s="1358"/>
      <c r="I14923" s="1358"/>
    </row>
    <row r="14924" spans="8:9">
      <c r="H14924" s="1358"/>
      <c r="I14924" s="1358"/>
    </row>
    <row r="14925" spans="8:9">
      <c r="H14925" s="1358"/>
      <c r="I14925" s="1358"/>
    </row>
    <row r="14926" spans="8:9">
      <c r="H14926" s="1358"/>
      <c r="I14926" s="1358"/>
    </row>
    <row r="14927" spans="8:9">
      <c r="H14927" s="1358"/>
      <c r="I14927" s="1358"/>
    </row>
    <row r="14928" spans="8:9">
      <c r="H14928" s="1358"/>
      <c r="I14928" s="1358"/>
    </row>
    <row r="14929" spans="8:9">
      <c r="H14929" s="1358"/>
      <c r="I14929" s="1358"/>
    </row>
    <row r="14930" spans="8:9">
      <c r="H14930" s="1358"/>
      <c r="I14930" s="1358"/>
    </row>
    <row r="14931" spans="8:9">
      <c r="H14931" s="1358"/>
      <c r="I14931" s="1358"/>
    </row>
    <row r="14932" spans="8:9">
      <c r="H14932" s="1358"/>
      <c r="I14932" s="1358"/>
    </row>
    <row r="14933" spans="8:9">
      <c r="H14933" s="1358"/>
      <c r="I14933" s="1358"/>
    </row>
    <row r="14934" spans="8:9">
      <c r="H14934" s="1358"/>
      <c r="I14934" s="1358"/>
    </row>
    <row r="14935" spans="8:9">
      <c r="H14935" s="1358"/>
      <c r="I14935" s="1358"/>
    </row>
    <row r="14936" spans="8:9">
      <c r="H14936" s="1358"/>
      <c r="I14936" s="1358"/>
    </row>
    <row r="14937" spans="8:9">
      <c r="H14937" s="1358"/>
      <c r="I14937" s="1358"/>
    </row>
    <row r="14938" spans="8:9">
      <c r="H14938" s="1358"/>
      <c r="I14938" s="1358"/>
    </row>
    <row r="14939" spans="8:9">
      <c r="H14939" s="1358"/>
      <c r="I14939" s="1358"/>
    </row>
    <row r="14940" spans="8:9">
      <c r="H14940" s="1358"/>
      <c r="I14940" s="1358"/>
    </row>
    <row r="14941" spans="8:9">
      <c r="H14941" s="1358"/>
      <c r="I14941" s="1358"/>
    </row>
    <row r="14942" spans="8:9">
      <c r="H14942" s="1358"/>
      <c r="I14942" s="1358"/>
    </row>
    <row r="14943" spans="8:9">
      <c r="H14943" s="1358"/>
      <c r="I14943" s="1358"/>
    </row>
    <row r="14944" spans="8:9">
      <c r="H14944" s="1358"/>
      <c r="I14944" s="1358"/>
    </row>
    <row r="14945" spans="8:9">
      <c r="H14945" s="1358"/>
      <c r="I14945" s="1358"/>
    </row>
    <row r="14946" spans="8:9">
      <c r="H14946" s="1358"/>
      <c r="I14946" s="1358"/>
    </row>
    <row r="14947" spans="8:9">
      <c r="H14947" s="1358"/>
      <c r="I14947" s="1358"/>
    </row>
    <row r="14948" spans="8:9">
      <c r="H14948" s="1358"/>
      <c r="I14948" s="1358"/>
    </row>
    <row r="14949" spans="8:9">
      <c r="H14949" s="1358"/>
      <c r="I14949" s="1358"/>
    </row>
    <row r="14950" spans="8:9">
      <c r="H14950" s="1358"/>
      <c r="I14950" s="1358"/>
    </row>
    <row r="14951" spans="8:9">
      <c r="H14951" s="1358"/>
      <c r="I14951" s="1358"/>
    </row>
    <row r="14952" spans="8:9">
      <c r="H14952" s="1358"/>
      <c r="I14952" s="1358"/>
    </row>
    <row r="14953" spans="8:9">
      <c r="H14953" s="1358"/>
      <c r="I14953" s="1358"/>
    </row>
    <row r="14954" spans="8:9">
      <c r="H14954" s="1358"/>
      <c r="I14954" s="1358"/>
    </row>
    <row r="14955" spans="8:9">
      <c r="H14955" s="1358"/>
      <c r="I14955" s="1358"/>
    </row>
    <row r="14956" spans="8:9">
      <c r="H14956" s="1358"/>
      <c r="I14956" s="1358"/>
    </row>
    <row r="14957" spans="8:9">
      <c r="H14957" s="1358"/>
      <c r="I14957" s="1358"/>
    </row>
    <row r="14958" spans="8:9">
      <c r="H14958" s="1358"/>
      <c r="I14958" s="1358"/>
    </row>
    <row r="14959" spans="8:9">
      <c r="H14959" s="1358"/>
      <c r="I14959" s="1358"/>
    </row>
    <row r="14960" spans="8:9">
      <c r="H14960" s="1358"/>
      <c r="I14960" s="1358"/>
    </row>
    <row r="14961" spans="8:9">
      <c r="H14961" s="1358"/>
      <c r="I14961" s="1358"/>
    </row>
    <row r="14962" spans="8:9">
      <c r="H14962" s="1358"/>
      <c r="I14962" s="1358"/>
    </row>
    <row r="14963" spans="8:9">
      <c r="H14963" s="1358"/>
      <c r="I14963" s="1358"/>
    </row>
    <row r="14964" spans="8:9">
      <c r="H14964" s="1358"/>
      <c r="I14964" s="1358"/>
    </row>
    <row r="14965" spans="8:9">
      <c r="H14965" s="1358"/>
      <c r="I14965" s="1358"/>
    </row>
    <row r="14966" spans="8:9">
      <c r="H14966" s="1358"/>
      <c r="I14966" s="1358"/>
    </row>
    <row r="14967" spans="8:9">
      <c r="H14967" s="1358"/>
      <c r="I14967" s="1358"/>
    </row>
    <row r="14968" spans="8:9">
      <c r="H14968" s="1358"/>
      <c r="I14968" s="1358"/>
    </row>
    <row r="14969" spans="8:9">
      <c r="H14969" s="1358"/>
      <c r="I14969" s="1358"/>
    </row>
    <row r="14970" spans="8:9">
      <c r="H14970" s="1358"/>
      <c r="I14970" s="1358"/>
    </row>
    <row r="14971" spans="8:9">
      <c r="H14971" s="1358"/>
      <c r="I14971" s="1358"/>
    </row>
    <row r="14972" spans="8:9">
      <c r="H14972" s="1358"/>
      <c r="I14972" s="1358"/>
    </row>
    <row r="14973" spans="8:9">
      <c r="H14973" s="1358"/>
      <c r="I14973" s="1358"/>
    </row>
    <row r="14974" spans="8:9">
      <c r="H14974" s="1358"/>
      <c r="I14974" s="1358"/>
    </row>
    <row r="14975" spans="8:9">
      <c r="H14975" s="1358"/>
      <c r="I14975" s="1358"/>
    </row>
    <row r="14976" spans="8:9">
      <c r="H14976" s="1358"/>
      <c r="I14976" s="1358"/>
    </row>
    <row r="14977" spans="8:9">
      <c r="H14977" s="1358"/>
      <c r="I14977" s="1358"/>
    </row>
    <row r="14978" spans="8:9">
      <c r="H14978" s="1358"/>
      <c r="I14978" s="1358"/>
    </row>
    <row r="14979" spans="8:9">
      <c r="H14979" s="1358"/>
      <c r="I14979" s="1358"/>
    </row>
    <row r="14980" spans="8:9">
      <c r="H14980" s="1358"/>
      <c r="I14980" s="1358"/>
    </row>
    <row r="14981" spans="8:9">
      <c r="H14981" s="1358"/>
      <c r="I14981" s="1358"/>
    </row>
    <row r="14982" spans="8:9">
      <c r="H14982" s="1358"/>
      <c r="I14982" s="1358"/>
    </row>
    <row r="14983" spans="8:9">
      <c r="H14983" s="1358"/>
      <c r="I14983" s="1358"/>
    </row>
    <row r="14984" spans="8:9">
      <c r="H14984" s="1358"/>
      <c r="I14984" s="1358"/>
    </row>
    <row r="14985" spans="8:9">
      <c r="H14985" s="1358"/>
      <c r="I14985" s="1358"/>
    </row>
    <row r="14986" spans="8:9">
      <c r="H14986" s="1358"/>
      <c r="I14986" s="1358"/>
    </row>
    <row r="14987" spans="8:9">
      <c r="H14987" s="1358"/>
      <c r="I14987" s="1358"/>
    </row>
    <row r="14988" spans="8:9">
      <c r="H14988" s="1358"/>
      <c r="I14988" s="1358"/>
    </row>
    <row r="14989" spans="8:9">
      <c r="H14989" s="1358"/>
      <c r="I14989" s="1358"/>
    </row>
    <row r="14990" spans="8:9">
      <c r="H14990" s="1358"/>
      <c r="I14990" s="1358"/>
    </row>
    <row r="14991" spans="8:9">
      <c r="H14991" s="1358"/>
      <c r="I14991" s="1358"/>
    </row>
    <row r="14992" spans="8:9">
      <c r="H14992" s="1358"/>
      <c r="I14992" s="1358"/>
    </row>
    <row r="14993" spans="8:9">
      <c r="H14993" s="1358"/>
      <c r="I14993" s="1358"/>
    </row>
    <row r="14994" spans="8:9">
      <c r="H14994" s="1358"/>
      <c r="I14994" s="1358"/>
    </row>
    <row r="14995" spans="8:9">
      <c r="H14995" s="1358"/>
      <c r="I14995" s="1358"/>
    </row>
    <row r="14996" spans="8:9">
      <c r="H14996" s="1358"/>
      <c r="I14996" s="1358"/>
    </row>
    <row r="14997" spans="8:9">
      <c r="H14997" s="1358"/>
      <c r="I14997" s="1358"/>
    </row>
    <row r="14998" spans="8:9">
      <c r="H14998" s="1358"/>
      <c r="I14998" s="1358"/>
    </row>
    <row r="14999" spans="8:9">
      <c r="H14999" s="1358"/>
      <c r="I14999" s="1358"/>
    </row>
    <row r="15000" spans="8:9">
      <c r="H15000" s="1358"/>
      <c r="I15000" s="1358"/>
    </row>
    <row r="15001" spans="8:9">
      <c r="H15001" s="1358"/>
      <c r="I15001" s="1358"/>
    </row>
    <row r="15002" spans="8:9">
      <c r="H15002" s="1358"/>
      <c r="I15002" s="1358"/>
    </row>
    <row r="15003" spans="8:9">
      <c r="H15003" s="1358"/>
      <c r="I15003" s="1358"/>
    </row>
    <row r="15004" spans="8:9">
      <c r="H15004" s="1358"/>
      <c r="I15004" s="1358"/>
    </row>
    <row r="15005" spans="8:9">
      <c r="H15005" s="1358"/>
      <c r="I15005" s="1358"/>
    </row>
    <row r="15006" spans="8:9">
      <c r="H15006" s="1358"/>
      <c r="I15006" s="1358"/>
    </row>
    <row r="15007" spans="8:9">
      <c r="H15007" s="1358"/>
      <c r="I15007" s="1358"/>
    </row>
    <row r="15008" spans="8:9">
      <c r="H15008" s="1358"/>
      <c r="I15008" s="1358"/>
    </row>
    <row r="15009" spans="8:9">
      <c r="H15009" s="1358"/>
      <c r="I15009" s="1358"/>
    </row>
    <row r="15010" spans="8:9">
      <c r="H15010" s="1358"/>
      <c r="I15010" s="1358"/>
    </row>
    <row r="15011" spans="8:9">
      <c r="H15011" s="1358"/>
      <c r="I15011" s="1358"/>
    </row>
    <row r="15012" spans="8:9">
      <c r="H15012" s="1358"/>
      <c r="I15012" s="1358"/>
    </row>
    <row r="15013" spans="8:9">
      <c r="H15013" s="1358"/>
      <c r="I15013" s="1358"/>
    </row>
    <row r="15014" spans="8:9">
      <c r="H15014" s="1358"/>
      <c r="I15014" s="1358"/>
    </row>
    <row r="15015" spans="8:9">
      <c r="H15015" s="1358"/>
      <c r="I15015" s="1358"/>
    </row>
    <row r="15016" spans="8:9">
      <c r="H15016" s="1358"/>
      <c r="I15016" s="1358"/>
    </row>
    <row r="15017" spans="8:9">
      <c r="H15017" s="1358"/>
      <c r="I15017" s="1358"/>
    </row>
    <row r="15018" spans="8:9">
      <c r="H15018" s="1358"/>
      <c r="I15018" s="1358"/>
    </row>
    <row r="15019" spans="8:9">
      <c r="H15019" s="1358"/>
      <c r="I15019" s="1358"/>
    </row>
    <row r="15020" spans="8:9">
      <c r="H15020" s="1358"/>
      <c r="I15020" s="1358"/>
    </row>
    <row r="15021" spans="8:9">
      <c r="H15021" s="1358"/>
      <c r="I15021" s="1358"/>
    </row>
    <row r="15022" spans="8:9">
      <c r="H15022" s="1358"/>
      <c r="I15022" s="1358"/>
    </row>
    <row r="15023" spans="8:9">
      <c r="H15023" s="1358"/>
      <c r="I15023" s="1358"/>
    </row>
    <row r="15024" spans="8:9">
      <c r="H15024" s="1358"/>
      <c r="I15024" s="1358"/>
    </row>
    <row r="15025" spans="8:9">
      <c r="H15025" s="1358"/>
      <c r="I15025" s="1358"/>
    </row>
    <row r="15026" spans="8:9">
      <c r="H15026" s="1358"/>
      <c r="I15026" s="1358"/>
    </row>
    <row r="15027" spans="8:9">
      <c r="H15027" s="1358"/>
      <c r="I15027" s="1358"/>
    </row>
    <row r="15028" spans="8:9">
      <c r="H15028" s="1358"/>
      <c r="I15028" s="1358"/>
    </row>
    <row r="15029" spans="8:9">
      <c r="H15029" s="1358"/>
      <c r="I15029" s="1358"/>
    </row>
    <row r="15030" spans="8:9">
      <c r="H15030" s="1358"/>
      <c r="I15030" s="1358"/>
    </row>
    <row r="15031" spans="8:9">
      <c r="H15031" s="1358"/>
      <c r="I15031" s="1358"/>
    </row>
    <row r="15032" spans="8:9">
      <c r="H15032" s="1358"/>
      <c r="I15032" s="1358"/>
    </row>
    <row r="15033" spans="8:9">
      <c r="H15033" s="1358"/>
      <c r="I15033" s="1358"/>
    </row>
    <row r="15034" spans="8:9">
      <c r="H15034" s="1358"/>
      <c r="I15034" s="1358"/>
    </row>
    <row r="15035" spans="8:9">
      <c r="H15035" s="1358"/>
      <c r="I15035" s="1358"/>
    </row>
    <row r="15036" spans="8:9">
      <c r="H15036" s="1358"/>
      <c r="I15036" s="1358"/>
    </row>
    <row r="15037" spans="8:9">
      <c r="H15037" s="1358"/>
      <c r="I15037" s="1358"/>
    </row>
    <row r="15038" spans="8:9">
      <c r="H15038" s="1358"/>
      <c r="I15038" s="1358"/>
    </row>
    <row r="15039" spans="8:9">
      <c r="H15039" s="1358"/>
      <c r="I15039" s="1358"/>
    </row>
    <row r="15040" spans="8:9">
      <c r="H15040" s="1358"/>
      <c r="I15040" s="1358"/>
    </row>
    <row r="15041" spans="8:9">
      <c r="H15041" s="1358"/>
      <c r="I15041" s="1358"/>
    </row>
    <row r="15042" spans="8:9">
      <c r="H15042" s="1358"/>
      <c r="I15042" s="1358"/>
    </row>
    <row r="15043" spans="8:9">
      <c r="H15043" s="1358"/>
      <c r="I15043" s="1358"/>
    </row>
    <row r="15044" spans="8:9">
      <c r="H15044" s="1358"/>
      <c r="I15044" s="1358"/>
    </row>
    <row r="15045" spans="8:9">
      <c r="H15045" s="1358"/>
      <c r="I15045" s="1358"/>
    </row>
    <row r="15046" spans="8:9">
      <c r="H15046" s="1358"/>
      <c r="I15046" s="1358"/>
    </row>
    <row r="15047" spans="8:9">
      <c r="H15047" s="1358"/>
      <c r="I15047" s="1358"/>
    </row>
    <row r="15048" spans="8:9">
      <c r="H15048" s="1358"/>
      <c r="I15048" s="1358"/>
    </row>
    <row r="15049" spans="8:9">
      <c r="H15049" s="1358"/>
      <c r="I15049" s="1358"/>
    </row>
    <row r="15050" spans="8:9">
      <c r="H15050" s="1358"/>
      <c r="I15050" s="1358"/>
    </row>
    <row r="15051" spans="8:9">
      <c r="H15051" s="1358"/>
      <c r="I15051" s="1358"/>
    </row>
    <row r="15052" spans="8:9">
      <c r="H15052" s="1358"/>
      <c r="I15052" s="1358"/>
    </row>
    <row r="15053" spans="8:9">
      <c r="H15053" s="1358"/>
      <c r="I15053" s="1358"/>
    </row>
    <row r="15054" spans="8:9">
      <c r="H15054" s="1358"/>
      <c r="I15054" s="1358"/>
    </row>
    <row r="15055" spans="8:9">
      <c r="H15055" s="1358"/>
      <c r="I15055" s="1358"/>
    </row>
    <row r="15056" spans="8:9">
      <c r="H15056" s="1358"/>
      <c r="I15056" s="1358"/>
    </row>
    <row r="15057" spans="8:9">
      <c r="H15057" s="1358"/>
      <c r="I15057" s="1358"/>
    </row>
    <row r="15058" spans="8:9">
      <c r="H15058" s="1358"/>
      <c r="I15058" s="1358"/>
    </row>
    <row r="15059" spans="8:9">
      <c r="H15059" s="1358"/>
      <c r="I15059" s="1358"/>
    </row>
    <row r="15060" spans="8:9">
      <c r="H15060" s="1358"/>
      <c r="I15060" s="1358"/>
    </row>
    <row r="15061" spans="8:9">
      <c r="H15061" s="1358"/>
      <c r="I15061" s="1358"/>
    </row>
    <row r="15062" spans="8:9">
      <c r="H15062" s="1358"/>
      <c r="I15062" s="1358"/>
    </row>
    <row r="15063" spans="8:9">
      <c r="H15063" s="1358"/>
      <c r="I15063" s="1358"/>
    </row>
    <row r="15064" spans="8:9">
      <c r="H15064" s="1358"/>
      <c r="I15064" s="1358"/>
    </row>
    <row r="15065" spans="8:9">
      <c r="H15065" s="1358"/>
      <c r="I15065" s="1358"/>
    </row>
    <row r="15066" spans="8:9">
      <c r="H15066" s="1358"/>
      <c r="I15066" s="1358"/>
    </row>
    <row r="15067" spans="8:9">
      <c r="H15067" s="1358"/>
      <c r="I15067" s="1358"/>
    </row>
    <row r="15068" spans="8:9">
      <c r="H15068" s="1358"/>
      <c r="I15068" s="1358"/>
    </row>
    <row r="15069" spans="8:9">
      <c r="H15069" s="1358"/>
      <c r="I15069" s="1358"/>
    </row>
    <row r="15070" spans="8:9">
      <c r="H15070" s="1358"/>
      <c r="I15070" s="1358"/>
    </row>
    <row r="15071" spans="8:9">
      <c r="H15071" s="1358"/>
      <c r="I15071" s="1358"/>
    </row>
    <row r="15072" spans="8:9">
      <c r="H15072" s="1358"/>
      <c r="I15072" s="1358"/>
    </row>
    <row r="15073" spans="8:9">
      <c r="H15073" s="1358"/>
      <c r="I15073" s="1358"/>
    </row>
    <row r="15074" spans="8:9">
      <c r="H15074" s="1358"/>
      <c r="I15074" s="1358"/>
    </row>
    <row r="15075" spans="8:9">
      <c r="H15075" s="1358"/>
      <c r="I15075" s="1358"/>
    </row>
    <row r="15076" spans="8:9">
      <c r="H15076" s="1358"/>
      <c r="I15076" s="1358"/>
    </row>
    <row r="15077" spans="8:9">
      <c r="H15077" s="1358"/>
      <c r="I15077" s="1358"/>
    </row>
    <row r="15078" spans="8:9">
      <c r="H15078" s="1358"/>
      <c r="I15078" s="1358"/>
    </row>
    <row r="15079" spans="8:9">
      <c r="H15079" s="1358"/>
      <c r="I15079" s="1358"/>
    </row>
    <row r="15080" spans="8:9">
      <c r="H15080" s="1358"/>
      <c r="I15080" s="1358"/>
    </row>
    <row r="15081" spans="8:9">
      <c r="H15081" s="1358"/>
      <c r="I15081" s="1358"/>
    </row>
    <row r="15082" spans="8:9">
      <c r="H15082" s="1358"/>
      <c r="I15082" s="1358"/>
    </row>
    <row r="15083" spans="8:9">
      <c r="H15083" s="1358"/>
      <c r="I15083" s="1358"/>
    </row>
    <row r="15084" spans="8:9">
      <c r="H15084" s="1358"/>
      <c r="I15084" s="1358"/>
    </row>
    <row r="15085" spans="8:9">
      <c r="H15085" s="1358"/>
      <c r="I15085" s="1358"/>
    </row>
    <row r="15086" spans="8:9">
      <c r="H15086" s="1358"/>
      <c r="I15086" s="1358"/>
    </row>
    <row r="15087" spans="8:9">
      <c r="H15087" s="1358"/>
      <c r="I15087" s="1358"/>
    </row>
    <row r="15088" spans="8:9">
      <c r="H15088" s="1358"/>
      <c r="I15088" s="1358"/>
    </row>
    <row r="15089" spans="8:9">
      <c r="H15089" s="1358"/>
      <c r="I15089" s="1358"/>
    </row>
    <row r="15090" spans="8:9">
      <c r="H15090" s="1358"/>
      <c r="I15090" s="1358"/>
    </row>
    <row r="15091" spans="8:9">
      <c r="H15091" s="1358"/>
      <c r="I15091" s="1358"/>
    </row>
    <row r="15092" spans="8:9">
      <c r="H15092" s="1358"/>
      <c r="I15092" s="1358"/>
    </row>
    <row r="15093" spans="8:9">
      <c r="H15093" s="1358"/>
      <c r="I15093" s="1358"/>
    </row>
    <row r="15094" spans="8:9">
      <c r="H15094" s="1358"/>
      <c r="I15094" s="1358"/>
    </row>
    <row r="15095" spans="8:9">
      <c r="H15095" s="1358"/>
      <c r="I15095" s="1358"/>
    </row>
    <row r="15096" spans="8:9">
      <c r="H15096" s="1358"/>
      <c r="I15096" s="1358"/>
    </row>
    <row r="15097" spans="8:9">
      <c r="H15097" s="1358"/>
      <c r="I15097" s="1358"/>
    </row>
    <row r="15098" spans="8:9">
      <c r="H15098" s="1358"/>
      <c r="I15098" s="1358"/>
    </row>
    <row r="15099" spans="8:9">
      <c r="H15099" s="1358"/>
      <c r="I15099" s="1358"/>
    </row>
    <row r="15100" spans="8:9">
      <c r="H15100" s="1358"/>
      <c r="I15100" s="1358"/>
    </row>
    <row r="15101" spans="8:9">
      <c r="H15101" s="1358"/>
      <c r="I15101" s="1358"/>
    </row>
    <row r="15102" spans="8:9">
      <c r="H15102" s="1358"/>
      <c r="I15102" s="1358"/>
    </row>
    <row r="15103" spans="8:9">
      <c r="H15103" s="1358"/>
      <c r="I15103" s="1358"/>
    </row>
    <row r="15104" spans="8:9">
      <c r="H15104" s="1358"/>
      <c r="I15104" s="1358"/>
    </row>
    <row r="15105" spans="8:9">
      <c r="H15105" s="1358"/>
      <c r="I15105" s="1358"/>
    </row>
    <row r="15106" spans="8:9">
      <c r="H15106" s="1358"/>
      <c r="I15106" s="1358"/>
    </row>
    <row r="15107" spans="8:9">
      <c r="H15107" s="1358"/>
      <c r="I15107" s="1358"/>
    </row>
    <row r="15108" spans="8:9">
      <c r="H15108" s="1358"/>
      <c r="I15108" s="1358"/>
    </row>
    <row r="15109" spans="8:9">
      <c r="H15109" s="1358"/>
      <c r="I15109" s="1358"/>
    </row>
    <row r="15110" spans="8:9">
      <c r="H15110" s="1358"/>
      <c r="I15110" s="1358"/>
    </row>
    <row r="15111" spans="8:9">
      <c r="H15111" s="1358"/>
      <c r="I15111" s="1358"/>
    </row>
    <row r="15112" spans="8:9">
      <c r="H15112" s="1358"/>
      <c r="I15112" s="1358"/>
    </row>
    <row r="15113" spans="8:9">
      <c r="H15113" s="1358"/>
      <c r="I15113" s="1358"/>
    </row>
    <row r="15114" spans="8:9">
      <c r="H15114" s="1358"/>
      <c r="I15114" s="1358"/>
    </row>
    <row r="15115" spans="8:9">
      <c r="H15115" s="1358"/>
      <c r="I15115" s="1358"/>
    </row>
    <row r="15116" spans="8:9">
      <c r="H15116" s="1358"/>
      <c r="I15116" s="1358"/>
    </row>
    <row r="15117" spans="8:9">
      <c r="H15117" s="1358"/>
      <c r="I15117" s="1358"/>
    </row>
    <row r="15118" spans="8:9">
      <c r="H15118" s="1358"/>
      <c r="I15118" s="1358"/>
    </row>
    <row r="15119" spans="8:9">
      <c r="H15119" s="1358"/>
      <c r="I15119" s="1358"/>
    </row>
    <row r="15120" spans="8:9">
      <c r="H15120" s="1358"/>
      <c r="I15120" s="1358"/>
    </row>
    <row r="15121" spans="8:9">
      <c r="H15121" s="1358"/>
      <c r="I15121" s="1358"/>
    </row>
    <row r="15122" spans="8:9">
      <c r="H15122" s="1358"/>
      <c r="I15122" s="1358"/>
    </row>
    <row r="15123" spans="8:9">
      <c r="H15123" s="1358"/>
      <c r="I15123" s="1358"/>
    </row>
    <row r="15124" spans="8:9">
      <c r="H15124" s="1358"/>
      <c r="I15124" s="1358"/>
    </row>
    <row r="15125" spans="8:9">
      <c r="H15125" s="1358"/>
      <c r="I15125" s="1358"/>
    </row>
    <row r="15126" spans="8:9">
      <c r="H15126" s="1358"/>
      <c r="I15126" s="1358"/>
    </row>
    <row r="15127" spans="8:9">
      <c r="H15127" s="1358"/>
      <c r="I15127" s="1358"/>
    </row>
    <row r="15128" spans="8:9">
      <c r="H15128" s="1358"/>
      <c r="I15128" s="1358"/>
    </row>
    <row r="15129" spans="8:9">
      <c r="H15129" s="1358"/>
      <c r="I15129" s="1358"/>
    </row>
    <row r="15130" spans="8:9">
      <c r="H15130" s="1358"/>
      <c r="I15130" s="1358"/>
    </row>
    <row r="15131" spans="8:9">
      <c r="H15131" s="1358"/>
      <c r="I15131" s="1358"/>
    </row>
    <row r="15132" spans="8:9">
      <c r="H15132" s="1358"/>
      <c r="I15132" s="1358"/>
    </row>
    <row r="15133" spans="8:9">
      <c r="H15133" s="1358"/>
      <c r="I15133" s="1358"/>
    </row>
    <row r="15134" spans="8:9">
      <c r="H15134" s="1358"/>
      <c r="I15134" s="1358"/>
    </row>
    <row r="15135" spans="8:9">
      <c r="H15135" s="1358"/>
      <c r="I15135" s="1358"/>
    </row>
    <row r="15136" spans="8:9">
      <c r="H15136" s="1358"/>
      <c r="I15136" s="1358"/>
    </row>
    <row r="15137" spans="8:9">
      <c r="H15137" s="1358"/>
      <c r="I15137" s="1358"/>
    </row>
    <row r="15138" spans="8:9">
      <c r="H15138" s="1358"/>
      <c r="I15138" s="1358"/>
    </row>
    <row r="15139" spans="8:9">
      <c r="H15139" s="1358"/>
      <c r="I15139" s="1358"/>
    </row>
    <row r="15140" spans="8:9">
      <c r="H15140" s="1358"/>
      <c r="I15140" s="1358"/>
    </row>
    <row r="15141" spans="8:9">
      <c r="H15141" s="1358"/>
      <c r="I15141" s="1358"/>
    </row>
    <row r="15142" spans="8:9">
      <c r="H15142" s="1358"/>
      <c r="I15142" s="1358"/>
    </row>
    <row r="15143" spans="8:9">
      <c r="H15143" s="1358"/>
      <c r="I15143" s="1358"/>
    </row>
    <row r="15144" spans="8:9">
      <c r="H15144" s="1358"/>
      <c r="I15144" s="1358"/>
    </row>
    <row r="15145" spans="8:9">
      <c r="H15145" s="1358"/>
      <c r="I15145" s="1358"/>
    </row>
    <row r="15146" spans="8:9">
      <c r="H15146" s="1358"/>
      <c r="I15146" s="1358"/>
    </row>
    <row r="15147" spans="8:9">
      <c r="H15147" s="1358"/>
      <c r="I15147" s="1358"/>
    </row>
    <row r="15148" spans="8:9">
      <c r="H15148" s="1358"/>
      <c r="I15148" s="1358"/>
    </row>
    <row r="15149" spans="8:9">
      <c r="H15149" s="1358"/>
      <c r="I15149" s="1358"/>
    </row>
    <row r="15150" spans="8:9">
      <c r="H15150" s="1358"/>
      <c r="I15150" s="1358"/>
    </row>
    <row r="15151" spans="8:9">
      <c r="H15151" s="1358"/>
      <c r="I15151" s="1358"/>
    </row>
    <row r="15152" spans="8:9">
      <c r="H15152" s="1358"/>
      <c r="I15152" s="1358"/>
    </row>
    <row r="15153" spans="8:9">
      <c r="H15153" s="1358"/>
      <c r="I15153" s="1358"/>
    </row>
    <row r="15154" spans="8:9">
      <c r="H15154" s="1358"/>
      <c r="I15154" s="1358"/>
    </row>
    <row r="15155" spans="8:9">
      <c r="H15155" s="1358"/>
      <c r="I15155" s="1358"/>
    </row>
    <row r="15156" spans="8:9">
      <c r="H15156" s="1358"/>
      <c r="I15156" s="1358"/>
    </row>
    <row r="15157" spans="8:9">
      <c r="H15157" s="1358"/>
      <c r="I15157" s="1358"/>
    </row>
    <row r="15158" spans="8:9">
      <c r="H15158" s="1358"/>
      <c r="I15158" s="1358"/>
    </row>
    <row r="15159" spans="8:9">
      <c r="H15159" s="1358"/>
      <c r="I15159" s="1358"/>
    </row>
    <row r="15160" spans="8:9">
      <c r="H15160" s="1358"/>
      <c r="I15160" s="1358"/>
    </row>
    <row r="15161" spans="8:9">
      <c r="H15161" s="1358"/>
      <c r="I15161" s="1358"/>
    </row>
    <row r="15162" spans="8:9">
      <c r="H15162" s="1358"/>
      <c r="I15162" s="1358"/>
    </row>
    <row r="15163" spans="8:9">
      <c r="H15163" s="1358"/>
      <c r="I15163" s="1358"/>
    </row>
    <row r="15164" spans="8:9">
      <c r="H15164" s="1358"/>
      <c r="I15164" s="1358"/>
    </row>
    <row r="15165" spans="8:9">
      <c r="H15165" s="1358"/>
      <c r="I15165" s="1358"/>
    </row>
    <row r="15166" spans="8:9">
      <c r="H15166" s="1358"/>
      <c r="I15166" s="1358"/>
    </row>
    <row r="15167" spans="8:9">
      <c r="H15167" s="1358"/>
      <c r="I15167" s="1358"/>
    </row>
    <row r="15168" spans="8:9">
      <c r="H15168" s="1358"/>
      <c r="I15168" s="1358"/>
    </row>
    <row r="15169" spans="8:9">
      <c r="H15169" s="1358"/>
      <c r="I15169" s="1358"/>
    </row>
    <row r="15170" spans="8:9">
      <c r="H15170" s="1358"/>
      <c r="I15170" s="1358"/>
    </row>
    <row r="15171" spans="8:9">
      <c r="H15171" s="1358"/>
      <c r="I15171" s="1358"/>
    </row>
    <row r="15172" spans="8:9">
      <c r="H15172" s="1358"/>
      <c r="I15172" s="1358"/>
    </row>
    <row r="15173" spans="8:9">
      <c r="H15173" s="1358"/>
      <c r="I15173" s="1358"/>
    </row>
    <row r="15174" spans="8:9">
      <c r="H15174" s="1358"/>
      <c r="I15174" s="1358"/>
    </row>
    <row r="15175" spans="8:9">
      <c r="H15175" s="1358"/>
      <c r="I15175" s="1358"/>
    </row>
    <row r="15176" spans="8:9">
      <c r="H15176" s="1358"/>
      <c r="I15176" s="1358"/>
    </row>
    <row r="15177" spans="8:9">
      <c r="H15177" s="1358"/>
      <c r="I15177" s="1358"/>
    </row>
    <row r="15178" spans="8:9">
      <c r="H15178" s="1358"/>
      <c r="I15178" s="1358"/>
    </row>
    <row r="15179" spans="8:9">
      <c r="H15179" s="1358"/>
      <c r="I15179" s="1358"/>
    </row>
    <row r="15180" spans="8:9">
      <c r="H15180" s="1358"/>
      <c r="I15180" s="1358"/>
    </row>
    <row r="15181" spans="8:9">
      <c r="H15181" s="1358"/>
      <c r="I15181" s="1358"/>
    </row>
    <row r="15182" spans="8:9">
      <c r="H15182" s="1358"/>
      <c r="I15182" s="1358"/>
    </row>
    <row r="15183" spans="8:9">
      <c r="H15183" s="1358"/>
      <c r="I15183" s="1358"/>
    </row>
    <row r="15184" spans="8:9">
      <c r="H15184" s="1358"/>
      <c r="I15184" s="1358"/>
    </row>
    <row r="15185" spans="8:9">
      <c r="H15185" s="1358"/>
      <c r="I15185" s="1358"/>
    </row>
    <row r="15186" spans="8:9">
      <c r="H15186" s="1358"/>
      <c r="I15186" s="1358"/>
    </row>
    <row r="15187" spans="8:9">
      <c r="H15187" s="1358"/>
      <c r="I15187" s="1358"/>
    </row>
    <row r="15188" spans="8:9">
      <c r="H15188" s="1358"/>
      <c r="I15188" s="1358"/>
    </row>
    <row r="15189" spans="8:9">
      <c r="H15189" s="1358"/>
      <c r="I15189" s="1358"/>
    </row>
    <row r="15190" spans="8:9">
      <c r="H15190" s="1358"/>
      <c r="I15190" s="1358"/>
    </row>
    <row r="15191" spans="8:9">
      <c r="H15191" s="1358"/>
      <c r="I15191" s="1358"/>
    </row>
    <row r="15192" spans="8:9">
      <c r="H15192" s="1358"/>
      <c r="I15192" s="1358"/>
    </row>
    <row r="15193" spans="8:9">
      <c r="H15193" s="1358"/>
      <c r="I15193" s="1358"/>
    </row>
    <row r="15194" spans="8:9">
      <c r="H15194" s="1358"/>
      <c r="I15194" s="1358"/>
    </row>
    <row r="15195" spans="8:9">
      <c r="H15195" s="1358"/>
      <c r="I15195" s="1358"/>
    </row>
    <row r="15196" spans="8:9">
      <c r="H15196" s="1358"/>
      <c r="I15196" s="1358"/>
    </row>
    <row r="15197" spans="8:9">
      <c r="H15197" s="1358"/>
      <c r="I15197" s="1358"/>
    </row>
    <row r="15198" spans="8:9">
      <c r="H15198" s="1358"/>
      <c r="I15198" s="1358"/>
    </row>
    <row r="15199" spans="8:9">
      <c r="H15199" s="1358"/>
      <c r="I15199" s="1358"/>
    </row>
    <row r="15200" spans="8:9">
      <c r="H15200" s="1358"/>
      <c r="I15200" s="1358"/>
    </row>
    <row r="15201" spans="8:9">
      <c r="H15201" s="1358"/>
      <c r="I15201" s="1358"/>
    </row>
    <row r="15202" spans="8:9">
      <c r="H15202" s="1358"/>
      <c r="I15202" s="1358"/>
    </row>
    <row r="15203" spans="8:9">
      <c r="H15203" s="1358"/>
      <c r="I15203" s="1358"/>
    </row>
    <row r="15204" spans="8:9">
      <c r="H15204" s="1358"/>
      <c r="I15204" s="1358"/>
    </row>
    <row r="15205" spans="8:9">
      <c r="H15205" s="1358"/>
      <c r="I15205" s="1358"/>
    </row>
    <row r="15206" spans="8:9">
      <c r="H15206" s="1358"/>
      <c r="I15206" s="1358"/>
    </row>
    <row r="15207" spans="8:9">
      <c r="H15207" s="1358"/>
      <c r="I15207" s="1358"/>
    </row>
    <row r="15208" spans="8:9">
      <c r="H15208" s="1358"/>
      <c r="I15208" s="1358"/>
    </row>
    <row r="15209" spans="8:9">
      <c r="H15209" s="1358"/>
      <c r="I15209" s="1358"/>
    </row>
    <row r="15210" spans="8:9">
      <c r="H15210" s="1358"/>
      <c r="I15210" s="1358"/>
    </row>
    <row r="15211" spans="8:9">
      <c r="H15211" s="1358"/>
      <c r="I15211" s="1358"/>
    </row>
    <row r="15212" spans="8:9">
      <c r="H15212" s="1358"/>
      <c r="I15212" s="1358"/>
    </row>
    <row r="15213" spans="8:9">
      <c r="H15213" s="1358"/>
      <c r="I15213" s="1358"/>
    </row>
    <row r="15214" spans="8:9">
      <c r="H15214" s="1358"/>
      <c r="I15214" s="1358"/>
    </row>
    <row r="15215" spans="8:9">
      <c r="H15215" s="1358"/>
      <c r="I15215" s="1358"/>
    </row>
    <row r="15216" spans="8:9">
      <c r="H15216" s="1358"/>
      <c r="I15216" s="1358"/>
    </row>
    <row r="15217" spans="8:9">
      <c r="H15217" s="1358"/>
      <c r="I15217" s="1358"/>
    </row>
    <row r="15218" spans="8:9">
      <c r="H15218" s="1358"/>
      <c r="I15218" s="1358"/>
    </row>
    <row r="15219" spans="8:9">
      <c r="H15219" s="1358"/>
      <c r="I15219" s="1358"/>
    </row>
    <row r="15220" spans="8:9">
      <c r="H15220" s="1358"/>
      <c r="I15220" s="1358"/>
    </row>
    <row r="15221" spans="8:9">
      <c r="H15221" s="1358"/>
      <c r="I15221" s="1358"/>
    </row>
    <row r="15222" spans="8:9">
      <c r="H15222" s="1358"/>
      <c r="I15222" s="1358"/>
    </row>
    <row r="15223" spans="8:9">
      <c r="H15223" s="1358"/>
      <c r="I15223" s="1358"/>
    </row>
    <row r="15224" spans="8:9">
      <c r="H15224" s="1358"/>
      <c r="I15224" s="1358"/>
    </row>
    <row r="15225" spans="8:9">
      <c r="H15225" s="1358"/>
      <c r="I15225" s="1358"/>
    </row>
    <row r="15226" spans="8:9">
      <c r="H15226" s="1358"/>
      <c r="I15226" s="1358"/>
    </row>
    <row r="15227" spans="8:9">
      <c r="H15227" s="1358"/>
      <c r="I15227" s="1358"/>
    </row>
    <row r="15228" spans="8:9">
      <c r="H15228" s="1358"/>
      <c r="I15228" s="1358"/>
    </row>
    <row r="15229" spans="8:9">
      <c r="H15229" s="1358"/>
      <c r="I15229" s="1358"/>
    </row>
    <row r="15230" spans="8:9">
      <c r="H15230" s="1358"/>
      <c r="I15230" s="1358"/>
    </row>
    <row r="15231" spans="8:9">
      <c r="H15231" s="1358"/>
      <c r="I15231" s="1358"/>
    </row>
    <row r="15232" spans="8:9">
      <c r="H15232" s="1358"/>
      <c r="I15232" s="1358"/>
    </row>
    <row r="15233" spans="8:9">
      <c r="H15233" s="1358"/>
      <c r="I15233" s="1358"/>
    </row>
    <row r="15234" spans="8:9">
      <c r="H15234" s="1358"/>
      <c r="I15234" s="1358"/>
    </row>
    <row r="15235" spans="8:9">
      <c r="H15235" s="1358"/>
      <c r="I15235" s="1358"/>
    </row>
    <row r="15236" spans="8:9">
      <c r="H15236" s="1358"/>
      <c r="I15236" s="1358"/>
    </row>
    <row r="15237" spans="8:9">
      <c r="H15237" s="1358"/>
      <c r="I15237" s="1358"/>
    </row>
    <row r="15238" spans="8:9">
      <c r="H15238" s="1358"/>
      <c r="I15238" s="1358"/>
    </row>
    <row r="15239" spans="8:9">
      <c r="H15239" s="1358"/>
      <c r="I15239" s="1358"/>
    </row>
    <row r="15240" spans="8:9">
      <c r="H15240" s="1358"/>
      <c r="I15240" s="1358"/>
    </row>
    <row r="15241" spans="8:9">
      <c r="H15241" s="1358"/>
      <c r="I15241" s="1358"/>
    </row>
    <row r="15242" spans="8:9">
      <c r="H15242" s="1358"/>
      <c r="I15242" s="1358"/>
    </row>
    <row r="15243" spans="8:9">
      <c r="H15243" s="1358"/>
      <c r="I15243" s="1358"/>
    </row>
    <row r="15244" spans="8:9">
      <c r="H15244" s="1358"/>
      <c r="I15244" s="1358"/>
    </row>
    <row r="15245" spans="8:9">
      <c r="H15245" s="1358"/>
      <c r="I15245" s="1358"/>
    </row>
    <row r="15246" spans="8:9">
      <c r="H15246" s="1358"/>
      <c r="I15246" s="1358"/>
    </row>
    <row r="15247" spans="8:9">
      <c r="H15247" s="1358"/>
      <c r="I15247" s="1358"/>
    </row>
    <row r="15248" spans="8:9">
      <c r="H15248" s="1358"/>
      <c r="I15248" s="1358"/>
    </row>
    <row r="15249" spans="8:9">
      <c r="H15249" s="1358"/>
      <c r="I15249" s="1358"/>
    </row>
    <row r="15250" spans="8:9">
      <c r="H15250" s="1358"/>
      <c r="I15250" s="1358"/>
    </row>
    <row r="15251" spans="8:9">
      <c r="H15251" s="1358"/>
      <c r="I15251" s="1358"/>
    </row>
    <row r="15252" spans="8:9">
      <c r="H15252" s="1358"/>
      <c r="I15252" s="1358"/>
    </row>
    <row r="15253" spans="8:9">
      <c r="H15253" s="1358"/>
      <c r="I15253" s="1358"/>
    </row>
    <row r="15254" spans="8:9">
      <c r="H15254" s="1358"/>
      <c r="I15254" s="1358"/>
    </row>
    <row r="15255" spans="8:9">
      <c r="H15255" s="1358"/>
      <c r="I15255" s="1358"/>
    </row>
    <row r="15256" spans="8:9">
      <c r="H15256" s="1358"/>
      <c r="I15256" s="1358"/>
    </row>
    <row r="15257" spans="8:9">
      <c r="H15257" s="1358"/>
      <c r="I15257" s="1358"/>
    </row>
    <row r="15258" spans="8:9">
      <c r="H15258" s="1358"/>
      <c r="I15258" s="1358"/>
    </row>
    <row r="15259" spans="8:9">
      <c r="H15259" s="1358"/>
      <c r="I15259" s="1358"/>
    </row>
    <row r="15260" spans="8:9">
      <c r="H15260" s="1358"/>
      <c r="I15260" s="1358"/>
    </row>
    <row r="15261" spans="8:9">
      <c r="H15261" s="1358"/>
      <c r="I15261" s="1358"/>
    </row>
    <row r="15262" spans="8:9">
      <c r="H15262" s="1358"/>
      <c r="I15262" s="1358"/>
    </row>
    <row r="15263" spans="8:9">
      <c r="H15263" s="1358"/>
      <c r="I15263" s="1358"/>
    </row>
    <row r="15264" spans="8:9">
      <c r="H15264" s="1358"/>
      <c r="I15264" s="1358"/>
    </row>
    <row r="15265" spans="8:9">
      <c r="H15265" s="1358"/>
      <c r="I15265" s="1358"/>
    </row>
    <row r="15266" spans="8:9">
      <c r="H15266" s="1358"/>
      <c r="I15266" s="1358"/>
    </row>
    <row r="15267" spans="8:9">
      <c r="H15267" s="1358"/>
      <c r="I15267" s="1358"/>
    </row>
    <row r="15268" spans="8:9">
      <c r="H15268" s="1358"/>
      <c r="I15268" s="1358"/>
    </row>
    <row r="15269" spans="8:9">
      <c r="H15269" s="1358"/>
      <c r="I15269" s="1358"/>
    </row>
    <row r="15270" spans="8:9">
      <c r="H15270" s="1358"/>
      <c r="I15270" s="1358"/>
    </row>
    <row r="15271" spans="8:9">
      <c r="H15271" s="1358"/>
      <c r="I15271" s="1358"/>
    </row>
    <row r="15272" spans="8:9">
      <c r="H15272" s="1358"/>
      <c r="I15272" s="1358"/>
    </row>
    <row r="15273" spans="8:9">
      <c r="H15273" s="1358"/>
      <c r="I15273" s="1358"/>
    </row>
    <row r="15274" spans="8:9">
      <c r="H15274" s="1358"/>
      <c r="I15274" s="1358"/>
    </row>
    <row r="15275" spans="8:9">
      <c r="H15275" s="1358"/>
      <c r="I15275" s="1358"/>
    </row>
    <row r="15276" spans="8:9">
      <c r="H15276" s="1358"/>
      <c r="I15276" s="1358"/>
    </row>
    <row r="15277" spans="8:9">
      <c r="H15277" s="1358"/>
      <c r="I15277" s="1358"/>
    </row>
    <row r="15278" spans="8:9">
      <c r="H15278" s="1358"/>
      <c r="I15278" s="1358"/>
    </row>
    <row r="15279" spans="8:9">
      <c r="H15279" s="1358"/>
      <c r="I15279" s="1358"/>
    </row>
    <row r="15280" spans="8:9">
      <c r="H15280" s="1358"/>
      <c r="I15280" s="1358"/>
    </row>
    <row r="15281" spans="8:9">
      <c r="H15281" s="1358"/>
      <c r="I15281" s="1358"/>
    </row>
    <row r="15282" spans="8:9">
      <c r="H15282" s="1358"/>
      <c r="I15282" s="1358"/>
    </row>
    <row r="15283" spans="8:9">
      <c r="H15283" s="1358"/>
      <c r="I15283" s="1358"/>
    </row>
    <row r="15284" spans="8:9">
      <c r="H15284" s="1358"/>
      <c r="I15284" s="1358"/>
    </row>
    <row r="15285" spans="8:9">
      <c r="H15285" s="1358"/>
      <c r="I15285" s="1358"/>
    </row>
    <row r="15286" spans="8:9">
      <c r="H15286" s="1358"/>
      <c r="I15286" s="1358"/>
    </row>
    <row r="15287" spans="8:9">
      <c r="H15287" s="1358"/>
      <c r="I15287" s="1358"/>
    </row>
    <row r="15288" spans="8:9">
      <c r="H15288" s="1358"/>
      <c r="I15288" s="1358"/>
    </row>
    <row r="15289" spans="8:9">
      <c r="H15289" s="1358"/>
      <c r="I15289" s="1358"/>
    </row>
    <row r="15290" spans="8:9">
      <c r="H15290" s="1358"/>
      <c r="I15290" s="1358"/>
    </row>
    <row r="15291" spans="8:9">
      <c r="H15291" s="1358"/>
      <c r="I15291" s="1358"/>
    </row>
    <row r="15292" spans="8:9">
      <c r="H15292" s="1358"/>
      <c r="I15292" s="1358"/>
    </row>
    <row r="15293" spans="8:9">
      <c r="H15293" s="1358"/>
      <c r="I15293" s="1358"/>
    </row>
    <row r="15294" spans="8:9">
      <c r="H15294" s="1358"/>
      <c r="I15294" s="1358"/>
    </row>
    <row r="15295" spans="8:9">
      <c r="H15295" s="1358"/>
      <c r="I15295" s="1358"/>
    </row>
    <row r="15296" spans="8:9">
      <c r="H15296" s="1358"/>
      <c r="I15296" s="1358"/>
    </row>
    <row r="15297" spans="8:9">
      <c r="H15297" s="1358"/>
      <c r="I15297" s="1358"/>
    </row>
    <row r="15298" spans="8:9">
      <c r="H15298" s="1358"/>
      <c r="I15298" s="1358"/>
    </row>
    <row r="15299" spans="8:9">
      <c r="H15299" s="1358"/>
      <c r="I15299" s="1358"/>
    </row>
    <row r="15300" spans="8:9">
      <c r="H15300" s="1358"/>
      <c r="I15300" s="1358"/>
    </row>
    <row r="15301" spans="8:9">
      <c r="H15301" s="1358"/>
      <c r="I15301" s="1358"/>
    </row>
    <row r="15302" spans="8:9">
      <c r="H15302" s="1358"/>
      <c r="I15302" s="1358"/>
    </row>
    <row r="15303" spans="8:9">
      <c r="H15303" s="1358"/>
      <c r="I15303" s="1358"/>
    </row>
    <row r="15304" spans="8:9">
      <c r="H15304" s="1358"/>
      <c r="I15304" s="1358"/>
    </row>
    <row r="15305" spans="8:9">
      <c r="H15305" s="1358"/>
      <c r="I15305" s="1358"/>
    </row>
    <row r="15306" spans="8:9">
      <c r="H15306" s="1358"/>
      <c r="I15306" s="1358"/>
    </row>
    <row r="15307" spans="8:9">
      <c r="H15307" s="1358"/>
      <c r="I15307" s="1358"/>
    </row>
    <row r="15308" spans="8:9">
      <c r="H15308" s="1358"/>
      <c r="I15308" s="1358"/>
    </row>
    <row r="15309" spans="8:9">
      <c r="H15309" s="1358"/>
      <c r="I15309" s="1358"/>
    </row>
    <row r="15310" spans="8:9">
      <c r="H15310" s="1358"/>
      <c r="I15310" s="1358"/>
    </row>
    <row r="15311" spans="8:9">
      <c r="H15311" s="1358"/>
      <c r="I15311" s="1358"/>
    </row>
    <row r="15312" spans="8:9">
      <c r="H15312" s="1358"/>
      <c r="I15312" s="1358"/>
    </row>
    <row r="15313" spans="8:9">
      <c r="H15313" s="1358"/>
      <c r="I15313" s="1358"/>
    </row>
    <row r="15314" spans="8:9">
      <c r="H15314" s="1358"/>
      <c r="I15314" s="1358"/>
    </row>
    <row r="15315" spans="8:9">
      <c r="H15315" s="1358"/>
      <c r="I15315" s="1358"/>
    </row>
    <row r="15316" spans="8:9">
      <c r="H15316" s="1358"/>
      <c r="I15316" s="1358"/>
    </row>
    <row r="15317" spans="8:9">
      <c r="H15317" s="1358"/>
      <c r="I15317" s="1358"/>
    </row>
    <row r="15318" spans="8:9">
      <c r="H15318" s="1358"/>
      <c r="I15318" s="1358"/>
    </row>
    <row r="15319" spans="8:9">
      <c r="H15319" s="1358"/>
      <c r="I15319" s="1358"/>
    </row>
    <row r="15320" spans="8:9">
      <c r="H15320" s="1358"/>
      <c r="I15320" s="1358"/>
    </row>
    <row r="15321" spans="8:9">
      <c r="H15321" s="1358"/>
      <c r="I15321" s="1358"/>
    </row>
    <row r="15322" spans="8:9">
      <c r="H15322" s="1358"/>
      <c r="I15322" s="1358"/>
    </row>
    <row r="15323" spans="8:9">
      <c r="H15323" s="1358"/>
      <c r="I15323" s="1358"/>
    </row>
    <row r="15324" spans="8:9">
      <c r="H15324" s="1358"/>
      <c r="I15324" s="1358"/>
    </row>
    <row r="15325" spans="8:9">
      <c r="H15325" s="1358"/>
      <c r="I15325" s="1358"/>
    </row>
    <row r="15326" spans="8:9">
      <c r="H15326" s="1358"/>
      <c r="I15326" s="1358"/>
    </row>
    <row r="15327" spans="8:9">
      <c r="H15327" s="1358"/>
      <c r="I15327" s="1358"/>
    </row>
    <row r="15328" spans="8:9">
      <c r="H15328" s="1358"/>
      <c r="I15328" s="1358"/>
    </row>
    <row r="15329" spans="8:9">
      <c r="H15329" s="1358"/>
      <c r="I15329" s="1358"/>
    </row>
    <row r="15330" spans="8:9">
      <c r="H15330" s="1358"/>
      <c r="I15330" s="1358"/>
    </row>
    <row r="15331" spans="8:9">
      <c r="H15331" s="1358"/>
      <c r="I15331" s="1358"/>
    </row>
    <row r="15332" spans="8:9">
      <c r="H15332" s="1358"/>
      <c r="I15332" s="1358"/>
    </row>
    <row r="15333" spans="8:9">
      <c r="H15333" s="1358"/>
      <c r="I15333" s="1358"/>
    </row>
    <row r="15334" spans="8:9">
      <c r="H15334" s="1358"/>
      <c r="I15334" s="1358"/>
    </row>
    <row r="15335" spans="8:9">
      <c r="H15335" s="1358"/>
      <c r="I15335" s="1358"/>
    </row>
    <row r="15336" spans="8:9">
      <c r="H15336" s="1358"/>
      <c r="I15336" s="1358"/>
    </row>
    <row r="15337" spans="8:9">
      <c r="H15337" s="1358"/>
      <c r="I15337" s="1358"/>
    </row>
    <row r="15338" spans="8:9">
      <c r="H15338" s="1358"/>
      <c r="I15338" s="1358"/>
    </row>
    <row r="15339" spans="8:9">
      <c r="H15339" s="1358"/>
      <c r="I15339" s="1358"/>
    </row>
    <row r="15340" spans="8:9">
      <c r="H15340" s="1358"/>
      <c r="I15340" s="1358"/>
    </row>
    <row r="15341" spans="8:9">
      <c r="H15341" s="1358"/>
      <c r="I15341" s="1358"/>
    </row>
    <row r="15342" spans="8:9">
      <c r="H15342" s="1358"/>
      <c r="I15342" s="1358"/>
    </row>
    <row r="15343" spans="8:9">
      <c r="H15343" s="1358"/>
      <c r="I15343" s="1358"/>
    </row>
    <row r="15344" spans="8:9">
      <c r="H15344" s="1358"/>
      <c r="I15344" s="1358"/>
    </row>
    <row r="15345" spans="8:9">
      <c r="H15345" s="1358"/>
      <c r="I15345" s="1358"/>
    </row>
    <row r="15346" spans="8:9">
      <c r="H15346" s="1358"/>
      <c r="I15346" s="1358"/>
    </row>
    <row r="15347" spans="8:9">
      <c r="H15347" s="1358"/>
      <c r="I15347" s="1358"/>
    </row>
    <row r="15348" spans="8:9">
      <c r="H15348" s="1358"/>
      <c r="I15348" s="1358"/>
    </row>
    <row r="15349" spans="8:9">
      <c r="H15349" s="1358"/>
      <c r="I15349" s="1358"/>
    </row>
    <row r="15350" spans="8:9">
      <c r="H15350" s="1358"/>
      <c r="I15350" s="1358"/>
    </row>
    <row r="15351" spans="8:9">
      <c r="H15351" s="1358"/>
      <c r="I15351" s="1358"/>
    </row>
    <row r="15352" spans="8:9">
      <c r="H15352" s="1358"/>
      <c r="I15352" s="1358"/>
    </row>
    <row r="15353" spans="8:9">
      <c r="H15353" s="1358"/>
      <c r="I15353" s="1358"/>
    </row>
    <row r="15354" spans="8:9">
      <c r="H15354" s="1358"/>
      <c r="I15354" s="1358"/>
    </row>
    <row r="15355" spans="8:9">
      <c r="H15355" s="1358"/>
      <c r="I15355" s="1358"/>
    </row>
    <row r="15356" spans="8:9">
      <c r="H15356" s="1358"/>
      <c r="I15356" s="1358"/>
    </row>
    <row r="15357" spans="8:9">
      <c r="H15357" s="1358"/>
      <c r="I15357" s="1358"/>
    </row>
    <row r="15358" spans="8:9">
      <c r="H15358" s="1358"/>
      <c r="I15358" s="1358"/>
    </row>
    <row r="15359" spans="8:9">
      <c r="H15359" s="1358"/>
      <c r="I15359" s="1358"/>
    </row>
    <row r="15360" spans="8:9">
      <c r="H15360" s="1358"/>
      <c r="I15360" s="1358"/>
    </row>
    <row r="15361" spans="8:9">
      <c r="H15361" s="1358"/>
      <c r="I15361" s="1358"/>
    </row>
    <row r="15362" spans="8:9">
      <c r="H15362" s="1358"/>
      <c r="I15362" s="1358"/>
    </row>
    <row r="15363" spans="8:9">
      <c r="H15363" s="1358"/>
      <c r="I15363" s="1358"/>
    </row>
    <row r="15364" spans="8:9">
      <c r="H15364" s="1358"/>
      <c r="I15364" s="1358"/>
    </row>
    <row r="15365" spans="8:9">
      <c r="H15365" s="1358"/>
      <c r="I15365" s="1358"/>
    </row>
    <row r="15366" spans="8:9">
      <c r="H15366" s="1358"/>
      <c r="I15366" s="1358"/>
    </row>
    <row r="15367" spans="8:9">
      <c r="H15367" s="1358"/>
      <c r="I15367" s="1358"/>
    </row>
    <row r="15368" spans="8:9">
      <c r="H15368" s="1358"/>
      <c r="I15368" s="1358"/>
    </row>
    <row r="15369" spans="8:9">
      <c r="H15369" s="1358"/>
      <c r="I15369" s="1358"/>
    </row>
    <row r="15370" spans="8:9">
      <c r="H15370" s="1358"/>
      <c r="I15370" s="1358"/>
    </row>
    <row r="15371" spans="8:9">
      <c r="H15371" s="1358"/>
      <c r="I15371" s="1358"/>
    </row>
    <row r="15372" spans="8:9">
      <c r="H15372" s="1358"/>
      <c r="I15372" s="1358"/>
    </row>
    <row r="15373" spans="8:9">
      <c r="H15373" s="1358"/>
      <c r="I15373" s="1358"/>
    </row>
    <row r="15374" spans="8:9">
      <c r="H15374" s="1358"/>
      <c r="I15374" s="1358"/>
    </row>
    <row r="15375" spans="8:9">
      <c r="H15375" s="1358"/>
      <c r="I15375" s="1358"/>
    </row>
    <row r="15376" spans="8:9">
      <c r="H15376" s="1358"/>
      <c r="I15376" s="1358"/>
    </row>
    <row r="15377" spans="8:9">
      <c r="H15377" s="1358"/>
      <c r="I15377" s="1358"/>
    </row>
    <row r="15378" spans="8:9">
      <c r="H15378" s="1358"/>
      <c r="I15378" s="1358"/>
    </row>
    <row r="15379" spans="8:9">
      <c r="H15379" s="1358"/>
      <c r="I15379" s="1358"/>
    </row>
    <row r="15380" spans="8:9">
      <c r="H15380" s="1358"/>
      <c r="I15380" s="1358"/>
    </row>
    <row r="15381" spans="8:9">
      <c r="H15381" s="1358"/>
      <c r="I15381" s="1358"/>
    </row>
    <row r="15382" spans="8:9">
      <c r="H15382" s="1358"/>
      <c r="I15382" s="1358"/>
    </row>
    <row r="15383" spans="8:9">
      <c r="H15383" s="1358"/>
      <c r="I15383" s="1358"/>
    </row>
    <row r="15384" spans="8:9">
      <c r="H15384" s="1358"/>
      <c r="I15384" s="1358"/>
    </row>
    <row r="15385" spans="8:9">
      <c r="H15385" s="1358"/>
      <c r="I15385" s="1358"/>
    </row>
    <row r="15386" spans="8:9">
      <c r="H15386" s="1358"/>
      <c r="I15386" s="1358"/>
    </row>
    <row r="15387" spans="8:9">
      <c r="H15387" s="1358"/>
      <c r="I15387" s="1358"/>
    </row>
    <row r="15388" spans="8:9">
      <c r="H15388" s="1358"/>
      <c r="I15388" s="1358"/>
    </row>
    <row r="15389" spans="8:9">
      <c r="H15389" s="1358"/>
      <c r="I15389" s="1358"/>
    </row>
    <row r="15390" spans="8:9">
      <c r="H15390" s="1358"/>
      <c r="I15390" s="1358"/>
    </row>
    <row r="15391" spans="8:9">
      <c r="H15391" s="1358"/>
      <c r="I15391" s="1358"/>
    </row>
    <row r="15392" spans="8:9">
      <c r="H15392" s="1358"/>
      <c r="I15392" s="1358"/>
    </row>
    <row r="15393" spans="8:9">
      <c r="H15393" s="1358"/>
      <c r="I15393" s="1358"/>
    </row>
    <row r="15394" spans="8:9">
      <c r="H15394" s="1358"/>
      <c r="I15394" s="1358"/>
    </row>
    <row r="15395" spans="8:9">
      <c r="H15395" s="1358"/>
      <c r="I15395" s="1358"/>
    </row>
    <row r="15396" spans="8:9">
      <c r="H15396" s="1358"/>
      <c r="I15396" s="1358"/>
    </row>
    <row r="15397" spans="8:9">
      <c r="H15397" s="1358"/>
      <c r="I15397" s="1358"/>
    </row>
    <row r="15398" spans="8:9">
      <c r="H15398" s="1358"/>
      <c r="I15398" s="1358"/>
    </row>
    <row r="15399" spans="8:9">
      <c r="H15399" s="1358"/>
      <c r="I15399" s="1358"/>
    </row>
    <row r="15400" spans="8:9">
      <c r="H15400" s="1358"/>
      <c r="I15400" s="1358"/>
    </row>
    <row r="15401" spans="8:9">
      <c r="H15401" s="1358"/>
      <c r="I15401" s="1358"/>
    </row>
    <row r="15402" spans="8:9">
      <c r="H15402" s="1358"/>
      <c r="I15402" s="1358"/>
    </row>
    <row r="15403" spans="8:9">
      <c r="H15403" s="1358"/>
      <c r="I15403" s="1358"/>
    </row>
    <row r="15404" spans="8:9">
      <c r="H15404" s="1358"/>
      <c r="I15404" s="1358"/>
    </row>
    <row r="15405" spans="8:9">
      <c r="H15405" s="1358"/>
      <c r="I15405" s="1358"/>
    </row>
    <row r="15406" spans="8:9">
      <c r="H15406" s="1358"/>
      <c r="I15406" s="1358"/>
    </row>
    <row r="15407" spans="8:9">
      <c r="H15407" s="1358"/>
      <c r="I15407" s="1358"/>
    </row>
    <row r="15408" spans="8:9">
      <c r="H15408" s="1358"/>
      <c r="I15408" s="1358"/>
    </row>
    <row r="15409" spans="8:9">
      <c r="H15409" s="1358"/>
      <c r="I15409" s="1358"/>
    </row>
    <row r="15410" spans="8:9">
      <c r="H15410" s="1358"/>
      <c r="I15410" s="1358"/>
    </row>
    <row r="15411" spans="8:9">
      <c r="H15411" s="1358"/>
      <c r="I15411" s="1358"/>
    </row>
    <row r="15412" spans="8:9">
      <c r="H15412" s="1358"/>
      <c r="I15412" s="1358"/>
    </row>
    <row r="15413" spans="8:9">
      <c r="H15413" s="1358"/>
      <c r="I15413" s="1358"/>
    </row>
    <row r="15414" spans="8:9">
      <c r="H15414" s="1358"/>
      <c r="I15414" s="1358"/>
    </row>
    <row r="15415" spans="8:9">
      <c r="H15415" s="1358"/>
      <c r="I15415" s="1358"/>
    </row>
    <row r="15416" spans="8:9">
      <c r="H15416" s="1358"/>
      <c r="I15416" s="1358"/>
    </row>
    <row r="15417" spans="8:9">
      <c r="H15417" s="1358"/>
      <c r="I15417" s="1358"/>
    </row>
    <row r="15418" spans="8:9">
      <c r="H15418" s="1358"/>
      <c r="I15418" s="1358"/>
    </row>
    <row r="15419" spans="8:9">
      <c r="H15419" s="1358"/>
      <c r="I15419" s="1358"/>
    </row>
    <row r="15420" spans="8:9">
      <c r="H15420" s="1358"/>
      <c r="I15420" s="1358"/>
    </row>
    <row r="15421" spans="8:9">
      <c r="H15421" s="1358"/>
      <c r="I15421" s="1358"/>
    </row>
    <row r="15422" spans="8:9">
      <c r="H15422" s="1358"/>
      <c r="I15422" s="1358"/>
    </row>
    <row r="15423" spans="8:9">
      <c r="H15423" s="1358"/>
      <c r="I15423" s="1358"/>
    </row>
    <row r="15424" spans="8:9">
      <c r="H15424" s="1358"/>
      <c r="I15424" s="1358"/>
    </row>
    <row r="15425" spans="8:9">
      <c r="H15425" s="1358"/>
      <c r="I15425" s="1358"/>
    </row>
    <row r="15426" spans="8:9">
      <c r="H15426" s="1358"/>
      <c r="I15426" s="1358"/>
    </row>
    <row r="15427" spans="8:9">
      <c r="H15427" s="1358"/>
      <c r="I15427" s="1358"/>
    </row>
    <row r="15428" spans="8:9">
      <c r="H15428" s="1358"/>
      <c r="I15428" s="1358"/>
    </row>
    <row r="15429" spans="8:9">
      <c r="H15429" s="1358"/>
      <c r="I15429" s="1358"/>
    </row>
    <row r="15430" spans="8:9">
      <c r="H15430" s="1358"/>
      <c r="I15430" s="1358"/>
    </row>
    <row r="15431" spans="8:9">
      <c r="H15431" s="1358"/>
      <c r="I15431" s="1358"/>
    </row>
    <row r="15432" spans="8:9">
      <c r="H15432" s="1358"/>
      <c r="I15432" s="1358"/>
    </row>
    <row r="15433" spans="8:9">
      <c r="H15433" s="1358"/>
      <c r="I15433" s="1358"/>
    </row>
    <row r="15434" spans="8:9">
      <c r="H15434" s="1358"/>
      <c r="I15434" s="1358"/>
    </row>
    <row r="15435" spans="8:9">
      <c r="H15435" s="1358"/>
      <c r="I15435" s="1358"/>
    </row>
    <row r="15436" spans="8:9">
      <c r="H15436" s="1358"/>
      <c r="I15436" s="1358"/>
    </row>
    <row r="15437" spans="8:9">
      <c r="H15437" s="1358"/>
      <c r="I15437" s="1358"/>
    </row>
    <row r="15438" spans="8:9">
      <c r="H15438" s="1358"/>
      <c r="I15438" s="1358"/>
    </row>
    <row r="15439" spans="8:9">
      <c r="H15439" s="1358"/>
      <c r="I15439" s="1358"/>
    </row>
    <row r="15440" spans="8:9">
      <c r="H15440" s="1358"/>
      <c r="I15440" s="1358"/>
    </row>
    <row r="15441" spans="8:9">
      <c r="H15441" s="1358"/>
      <c r="I15441" s="1358"/>
    </row>
    <row r="15442" spans="8:9">
      <c r="H15442" s="1358"/>
      <c r="I15442" s="1358"/>
    </row>
    <row r="15443" spans="8:9">
      <c r="H15443" s="1358"/>
      <c r="I15443" s="1358"/>
    </row>
    <row r="15444" spans="8:9">
      <c r="H15444" s="1358"/>
      <c r="I15444" s="1358"/>
    </row>
    <row r="15445" spans="8:9">
      <c r="H15445" s="1358"/>
      <c r="I15445" s="1358"/>
    </row>
    <row r="15446" spans="8:9">
      <c r="H15446" s="1358"/>
      <c r="I15446" s="1358"/>
    </row>
    <row r="15447" spans="8:9">
      <c r="H15447" s="1358"/>
      <c r="I15447" s="1358"/>
    </row>
    <row r="15448" spans="8:9">
      <c r="H15448" s="1358"/>
      <c r="I15448" s="1358"/>
    </row>
    <row r="15449" spans="8:9">
      <c r="H15449" s="1358"/>
      <c r="I15449" s="1358"/>
    </row>
    <row r="15450" spans="8:9">
      <c r="H15450" s="1358"/>
      <c r="I15450" s="1358"/>
    </row>
    <row r="15451" spans="8:9">
      <c r="H15451" s="1358"/>
      <c r="I15451" s="1358"/>
    </row>
    <row r="15452" spans="8:9">
      <c r="H15452" s="1358"/>
      <c r="I15452" s="1358"/>
    </row>
    <row r="15453" spans="8:9">
      <c r="H15453" s="1358"/>
      <c r="I15453" s="1358"/>
    </row>
    <row r="15454" spans="8:9">
      <c r="H15454" s="1358"/>
      <c r="I15454" s="1358"/>
    </row>
    <row r="15455" spans="8:9">
      <c r="H15455" s="1358"/>
      <c r="I15455" s="1358"/>
    </row>
    <row r="15456" spans="8:9">
      <c r="H15456" s="1358"/>
      <c r="I15456" s="1358"/>
    </row>
    <row r="15457" spans="8:9">
      <c r="H15457" s="1358"/>
      <c r="I15457" s="1358"/>
    </row>
    <row r="15458" spans="8:9">
      <c r="H15458" s="1358"/>
      <c r="I15458" s="1358"/>
    </row>
    <row r="15459" spans="8:9">
      <c r="H15459" s="1358"/>
      <c r="I15459" s="1358"/>
    </row>
    <row r="15460" spans="8:9">
      <c r="H15460" s="1358"/>
      <c r="I15460" s="1358"/>
    </row>
    <row r="15461" spans="8:9">
      <c r="H15461" s="1358"/>
      <c r="I15461" s="1358"/>
    </row>
    <row r="15462" spans="8:9">
      <c r="H15462" s="1358"/>
      <c r="I15462" s="1358"/>
    </row>
    <row r="15463" spans="8:9">
      <c r="H15463" s="1358"/>
      <c r="I15463" s="1358"/>
    </row>
    <row r="15464" spans="8:9">
      <c r="H15464" s="1358"/>
      <c r="I15464" s="1358"/>
    </row>
    <row r="15465" spans="8:9">
      <c r="H15465" s="1358"/>
      <c r="I15465" s="1358"/>
    </row>
    <row r="15466" spans="8:9">
      <c r="H15466" s="1358"/>
      <c r="I15466" s="1358"/>
    </row>
    <row r="15467" spans="8:9">
      <c r="H15467" s="1358"/>
      <c r="I15467" s="1358"/>
    </row>
    <row r="15468" spans="8:9">
      <c r="H15468" s="1358"/>
      <c r="I15468" s="1358"/>
    </row>
    <row r="15469" spans="8:9">
      <c r="H15469" s="1358"/>
      <c r="I15469" s="1358"/>
    </row>
    <row r="15470" spans="8:9">
      <c r="H15470" s="1358"/>
      <c r="I15470" s="1358"/>
    </row>
    <row r="15471" spans="8:9">
      <c r="H15471" s="1358"/>
      <c r="I15471" s="1358"/>
    </row>
    <row r="15472" spans="8:9">
      <c r="H15472" s="1358"/>
      <c r="I15472" s="1358"/>
    </row>
    <row r="15473" spans="8:9">
      <c r="H15473" s="1358"/>
      <c r="I15473" s="1358"/>
    </row>
    <row r="15474" spans="8:9">
      <c r="H15474" s="1358"/>
      <c r="I15474" s="1358"/>
    </row>
    <row r="15475" spans="8:9">
      <c r="H15475" s="1358"/>
      <c r="I15475" s="1358"/>
    </row>
    <row r="15476" spans="8:9">
      <c r="H15476" s="1358"/>
      <c r="I15476" s="1358"/>
    </row>
    <row r="15477" spans="8:9">
      <c r="H15477" s="1358"/>
      <c r="I15477" s="1358"/>
    </row>
    <row r="15478" spans="8:9">
      <c r="H15478" s="1358"/>
      <c r="I15478" s="1358"/>
    </row>
    <row r="15479" spans="8:9">
      <c r="H15479" s="1358"/>
      <c r="I15479" s="1358"/>
    </row>
    <row r="15480" spans="8:9">
      <c r="H15480" s="1358"/>
      <c r="I15480" s="1358"/>
    </row>
    <row r="15481" spans="8:9">
      <c r="H15481" s="1358"/>
      <c r="I15481" s="1358"/>
    </row>
    <row r="15482" spans="8:9">
      <c r="H15482" s="1358"/>
      <c r="I15482" s="1358"/>
    </row>
    <row r="15483" spans="8:9">
      <c r="H15483" s="1358"/>
      <c r="I15483" s="1358"/>
    </row>
    <row r="15484" spans="8:9">
      <c r="H15484" s="1358"/>
      <c r="I15484" s="1358"/>
    </row>
    <row r="15485" spans="8:9">
      <c r="H15485" s="1358"/>
      <c r="I15485" s="1358"/>
    </row>
    <row r="15486" spans="8:9">
      <c r="H15486" s="1358"/>
      <c r="I15486" s="1358"/>
    </row>
    <row r="15487" spans="8:9">
      <c r="H15487" s="1358"/>
      <c r="I15487" s="1358"/>
    </row>
    <row r="15488" spans="8:9">
      <c r="H15488" s="1358"/>
      <c r="I15488" s="1358"/>
    </row>
    <row r="15489" spans="8:9">
      <c r="H15489" s="1358"/>
      <c r="I15489" s="1358"/>
    </row>
    <row r="15490" spans="8:9">
      <c r="H15490" s="1358"/>
      <c r="I15490" s="1358"/>
    </row>
    <row r="15491" spans="8:9">
      <c r="H15491" s="1358"/>
      <c r="I15491" s="1358"/>
    </row>
    <row r="15492" spans="8:9">
      <c r="H15492" s="1358"/>
      <c r="I15492" s="1358"/>
    </row>
    <row r="15493" spans="8:9">
      <c r="H15493" s="1358"/>
      <c r="I15493" s="1358"/>
    </row>
    <row r="15494" spans="8:9">
      <c r="H15494" s="1358"/>
      <c r="I15494" s="1358"/>
    </row>
    <row r="15495" spans="8:9">
      <c r="H15495" s="1358"/>
      <c r="I15495" s="1358"/>
    </row>
    <row r="15496" spans="8:9">
      <c r="H15496" s="1358"/>
      <c r="I15496" s="1358"/>
    </row>
    <row r="15497" spans="8:9">
      <c r="H15497" s="1358"/>
      <c r="I15497" s="1358"/>
    </row>
    <row r="15498" spans="8:9">
      <c r="H15498" s="1358"/>
      <c r="I15498" s="1358"/>
    </row>
    <row r="15499" spans="8:9">
      <c r="H15499" s="1358"/>
      <c r="I15499" s="1358"/>
    </row>
    <row r="15500" spans="8:9">
      <c r="H15500" s="1358"/>
      <c r="I15500" s="1358"/>
    </row>
    <row r="15501" spans="8:9">
      <c r="H15501" s="1358"/>
      <c r="I15501" s="1358"/>
    </row>
    <row r="15502" spans="8:9">
      <c r="H15502" s="1358"/>
      <c r="I15502" s="1358"/>
    </row>
    <row r="15503" spans="8:9">
      <c r="H15503" s="1358"/>
      <c r="I15503" s="1358"/>
    </row>
    <row r="15504" spans="8:9">
      <c r="H15504" s="1358"/>
      <c r="I15504" s="1358"/>
    </row>
    <row r="15505" spans="8:9">
      <c r="H15505" s="1358"/>
      <c r="I15505" s="1358"/>
    </row>
    <row r="15506" spans="8:9">
      <c r="H15506" s="1358"/>
      <c r="I15506" s="1358"/>
    </row>
    <row r="15507" spans="8:9">
      <c r="H15507" s="1358"/>
      <c r="I15507" s="1358"/>
    </row>
    <row r="15508" spans="8:9">
      <c r="H15508" s="1358"/>
      <c r="I15508" s="1358"/>
    </row>
    <row r="15509" spans="8:9">
      <c r="H15509" s="1358"/>
      <c r="I15509" s="1358"/>
    </row>
    <row r="15510" spans="8:9">
      <c r="H15510" s="1358"/>
      <c r="I15510" s="1358"/>
    </row>
    <row r="15511" spans="8:9">
      <c r="H15511" s="1358"/>
      <c r="I15511" s="1358"/>
    </row>
    <row r="15512" spans="8:9">
      <c r="H15512" s="1358"/>
      <c r="I15512" s="1358"/>
    </row>
    <row r="15513" spans="8:9">
      <c r="H15513" s="1358"/>
      <c r="I15513" s="1358"/>
    </row>
    <row r="15514" spans="8:9">
      <c r="H15514" s="1358"/>
      <c r="I15514" s="1358"/>
    </row>
    <row r="15515" spans="8:9">
      <c r="H15515" s="1358"/>
      <c r="I15515" s="1358"/>
    </row>
    <row r="15516" spans="8:9">
      <c r="H15516" s="1358"/>
      <c r="I15516" s="1358"/>
    </row>
    <row r="15517" spans="8:9">
      <c r="H15517" s="1358"/>
      <c r="I15517" s="1358"/>
    </row>
    <row r="15518" spans="8:9">
      <c r="H15518" s="1358"/>
      <c r="I15518" s="1358"/>
    </row>
    <row r="15519" spans="8:9">
      <c r="H15519" s="1358"/>
      <c r="I15519" s="1358"/>
    </row>
    <row r="15520" spans="8:9">
      <c r="H15520" s="1358"/>
      <c r="I15520" s="1358"/>
    </row>
    <row r="15521" spans="8:9">
      <c r="H15521" s="1358"/>
      <c r="I15521" s="1358"/>
    </row>
    <row r="15522" spans="8:9">
      <c r="H15522" s="1358"/>
      <c r="I15522" s="1358"/>
    </row>
    <row r="15523" spans="8:9">
      <c r="H15523" s="1358"/>
      <c r="I15523" s="1358"/>
    </row>
    <row r="15524" spans="8:9">
      <c r="H15524" s="1358"/>
      <c r="I15524" s="1358"/>
    </row>
    <row r="15525" spans="8:9">
      <c r="H15525" s="1358"/>
      <c r="I15525" s="1358"/>
    </row>
    <row r="15526" spans="8:9">
      <c r="H15526" s="1358"/>
      <c r="I15526" s="1358"/>
    </row>
    <row r="15527" spans="8:9">
      <c r="H15527" s="1358"/>
      <c r="I15527" s="1358"/>
    </row>
    <row r="15528" spans="8:9">
      <c r="H15528" s="1358"/>
      <c r="I15528" s="1358"/>
    </row>
    <row r="15529" spans="8:9">
      <c r="H15529" s="1358"/>
      <c r="I15529" s="1358"/>
    </row>
    <row r="15530" spans="8:9">
      <c r="H15530" s="1358"/>
      <c r="I15530" s="1358"/>
    </row>
    <row r="15531" spans="8:9">
      <c r="H15531" s="1358"/>
      <c r="I15531" s="1358"/>
    </row>
    <row r="15532" spans="8:9">
      <c r="H15532" s="1358"/>
      <c r="I15532" s="1358"/>
    </row>
    <row r="15533" spans="8:9">
      <c r="H15533" s="1358"/>
      <c r="I15533" s="1358"/>
    </row>
    <row r="15534" spans="8:9">
      <c r="H15534" s="1358"/>
      <c r="I15534" s="1358"/>
    </row>
    <row r="15535" spans="8:9">
      <c r="H15535" s="1358"/>
      <c r="I15535" s="1358"/>
    </row>
    <row r="15536" spans="8:9">
      <c r="H15536" s="1358"/>
      <c r="I15536" s="1358"/>
    </row>
    <row r="15537" spans="8:9">
      <c r="H15537" s="1358"/>
      <c r="I15537" s="1358"/>
    </row>
    <row r="15538" spans="8:9">
      <c r="H15538" s="1358"/>
      <c r="I15538" s="1358"/>
    </row>
    <row r="15539" spans="8:9">
      <c r="H15539" s="1358"/>
      <c r="I15539" s="1358"/>
    </row>
    <row r="15540" spans="8:9">
      <c r="H15540" s="1358"/>
      <c r="I15540" s="1358"/>
    </row>
    <row r="15541" spans="8:9">
      <c r="H15541" s="1358"/>
      <c r="I15541" s="1358"/>
    </row>
    <row r="15542" spans="8:9">
      <c r="H15542" s="1358"/>
      <c r="I15542" s="1358"/>
    </row>
    <row r="15543" spans="8:9">
      <c r="H15543" s="1358"/>
      <c r="I15543" s="1358"/>
    </row>
    <row r="15544" spans="8:9">
      <c r="H15544" s="1358"/>
      <c r="I15544" s="1358"/>
    </row>
    <row r="15545" spans="8:9">
      <c r="H15545" s="1358"/>
      <c r="I15545" s="1358"/>
    </row>
    <row r="15546" spans="8:9">
      <c r="H15546" s="1358"/>
      <c r="I15546" s="1358"/>
    </row>
    <row r="15547" spans="8:9">
      <c r="H15547" s="1358"/>
      <c r="I15547" s="1358"/>
    </row>
    <row r="15548" spans="8:9">
      <c r="H15548" s="1358"/>
      <c r="I15548" s="1358"/>
    </row>
    <row r="15549" spans="8:9">
      <c r="H15549" s="1358"/>
      <c r="I15549" s="1358"/>
    </row>
    <row r="15550" spans="8:9">
      <c r="H15550" s="1358"/>
      <c r="I15550" s="1358"/>
    </row>
    <row r="15551" spans="8:9">
      <c r="H15551" s="1358"/>
      <c r="I15551" s="1358"/>
    </row>
    <row r="15552" spans="8:9">
      <c r="H15552" s="1358"/>
      <c r="I15552" s="1358"/>
    </row>
    <row r="15553" spans="8:9">
      <c r="H15553" s="1358"/>
      <c r="I15553" s="1358"/>
    </row>
    <row r="15554" spans="8:9">
      <c r="H15554" s="1358"/>
      <c r="I15554" s="1358"/>
    </row>
    <row r="15555" spans="8:9">
      <c r="H15555" s="1358"/>
      <c r="I15555" s="1358"/>
    </row>
    <row r="15556" spans="8:9">
      <c r="H15556" s="1358"/>
      <c r="I15556" s="1358"/>
    </row>
    <row r="15557" spans="8:9">
      <c r="H15557" s="1358"/>
      <c r="I15557" s="1358"/>
    </row>
    <row r="15558" spans="8:9">
      <c r="H15558" s="1358"/>
      <c r="I15558" s="1358"/>
    </row>
    <row r="15559" spans="8:9">
      <c r="H15559" s="1358"/>
      <c r="I15559" s="1358"/>
    </row>
    <row r="15560" spans="8:9">
      <c r="H15560" s="1358"/>
      <c r="I15560" s="1358"/>
    </row>
    <row r="15561" spans="8:9">
      <c r="H15561" s="1358"/>
      <c r="I15561" s="1358"/>
    </row>
    <row r="15562" spans="8:9">
      <c r="H15562" s="1358"/>
      <c r="I15562" s="1358"/>
    </row>
    <row r="15563" spans="8:9">
      <c r="H15563" s="1358"/>
      <c r="I15563" s="1358"/>
    </row>
    <row r="15564" spans="8:9">
      <c r="H15564" s="1358"/>
      <c r="I15564" s="1358"/>
    </row>
    <row r="15565" spans="8:9">
      <c r="H15565" s="1358"/>
      <c r="I15565" s="1358"/>
    </row>
    <row r="15566" spans="8:9">
      <c r="H15566" s="1358"/>
      <c r="I15566" s="1358"/>
    </row>
    <row r="15567" spans="8:9">
      <c r="H15567" s="1358"/>
      <c r="I15567" s="1358"/>
    </row>
    <row r="15568" spans="8:9">
      <c r="H15568" s="1358"/>
      <c r="I15568" s="1358"/>
    </row>
    <row r="15569" spans="8:9">
      <c r="H15569" s="1358"/>
      <c r="I15569" s="1358"/>
    </row>
    <row r="15570" spans="8:9">
      <c r="H15570" s="1358"/>
      <c r="I15570" s="1358"/>
    </row>
    <row r="15571" spans="8:9">
      <c r="H15571" s="1358"/>
      <c r="I15571" s="1358"/>
    </row>
    <row r="15572" spans="8:9">
      <c r="H15572" s="1358"/>
      <c r="I15572" s="1358"/>
    </row>
    <row r="15573" spans="8:9">
      <c r="H15573" s="1358"/>
      <c r="I15573" s="1358"/>
    </row>
    <row r="15574" spans="8:9">
      <c r="H15574" s="1358"/>
      <c r="I15574" s="1358"/>
    </row>
    <row r="15575" spans="8:9">
      <c r="H15575" s="1358"/>
      <c r="I15575" s="1358"/>
    </row>
    <row r="15576" spans="8:9">
      <c r="H15576" s="1358"/>
      <c r="I15576" s="1358"/>
    </row>
    <row r="15577" spans="8:9">
      <c r="H15577" s="1358"/>
      <c r="I15577" s="1358"/>
    </row>
    <row r="15578" spans="8:9">
      <c r="H15578" s="1358"/>
      <c r="I15578" s="1358"/>
    </row>
    <row r="15579" spans="8:9">
      <c r="H15579" s="1358"/>
      <c r="I15579" s="1358"/>
    </row>
    <row r="15580" spans="8:9">
      <c r="H15580" s="1358"/>
      <c r="I15580" s="1358"/>
    </row>
    <row r="15581" spans="8:9">
      <c r="H15581" s="1358"/>
      <c r="I15581" s="1358"/>
    </row>
    <row r="15582" spans="8:9">
      <c r="H15582" s="1358"/>
      <c r="I15582" s="1358"/>
    </row>
    <row r="15583" spans="8:9">
      <c r="H15583" s="1358"/>
      <c r="I15583" s="1358"/>
    </row>
    <row r="15584" spans="8:9">
      <c r="H15584" s="1358"/>
      <c r="I15584" s="1358"/>
    </row>
    <row r="15585" spans="8:9">
      <c r="H15585" s="1358"/>
      <c r="I15585" s="1358"/>
    </row>
    <row r="15586" spans="8:9">
      <c r="H15586" s="1358"/>
      <c r="I15586" s="1358"/>
    </row>
    <row r="15587" spans="8:9">
      <c r="H15587" s="1358"/>
      <c r="I15587" s="1358"/>
    </row>
    <row r="15588" spans="8:9">
      <c r="H15588" s="1358"/>
      <c r="I15588" s="1358"/>
    </row>
    <row r="15589" spans="8:9">
      <c r="H15589" s="1358"/>
      <c r="I15589" s="1358"/>
    </row>
    <row r="15590" spans="8:9">
      <c r="H15590" s="1358"/>
      <c r="I15590" s="1358"/>
    </row>
    <row r="15591" spans="8:9">
      <c r="H15591" s="1358"/>
      <c r="I15591" s="1358"/>
    </row>
    <row r="15592" spans="8:9">
      <c r="H15592" s="1358"/>
      <c r="I15592" s="1358"/>
    </row>
    <row r="15593" spans="8:9">
      <c r="H15593" s="1358"/>
      <c r="I15593" s="1358"/>
    </row>
    <row r="15594" spans="8:9">
      <c r="H15594" s="1358"/>
      <c r="I15594" s="1358"/>
    </row>
    <row r="15595" spans="8:9">
      <c r="H15595" s="1358"/>
      <c r="I15595" s="1358"/>
    </row>
    <row r="15596" spans="8:9">
      <c r="H15596" s="1358"/>
      <c r="I15596" s="1358"/>
    </row>
    <row r="15597" spans="8:9">
      <c r="H15597" s="1358"/>
      <c r="I15597" s="1358"/>
    </row>
    <row r="15598" spans="8:9">
      <c r="H15598" s="1358"/>
      <c r="I15598" s="1358"/>
    </row>
    <row r="15599" spans="8:9">
      <c r="H15599" s="1358"/>
      <c r="I15599" s="1358"/>
    </row>
    <row r="15600" spans="8:9">
      <c r="H15600" s="1358"/>
      <c r="I15600" s="1358"/>
    </row>
    <row r="15601" spans="8:9">
      <c r="H15601" s="1358"/>
      <c r="I15601" s="1358"/>
    </row>
    <row r="15602" spans="8:9">
      <c r="H15602" s="1358"/>
      <c r="I15602" s="1358"/>
    </row>
    <row r="15603" spans="8:9">
      <c r="H15603" s="1358"/>
      <c r="I15603" s="1358"/>
    </row>
    <row r="15604" spans="8:9">
      <c r="H15604" s="1358"/>
      <c r="I15604" s="1358"/>
    </row>
    <row r="15605" spans="8:9">
      <c r="H15605" s="1358"/>
      <c r="I15605" s="1358"/>
    </row>
    <row r="15606" spans="8:9">
      <c r="H15606" s="1358"/>
      <c r="I15606" s="1358"/>
    </row>
    <row r="15607" spans="8:9">
      <c r="H15607" s="1358"/>
      <c r="I15607" s="1358"/>
    </row>
    <row r="15608" spans="8:9">
      <c r="H15608" s="1358"/>
      <c r="I15608" s="1358"/>
    </row>
    <row r="15609" spans="8:9">
      <c r="H15609" s="1358"/>
      <c r="I15609" s="1358"/>
    </row>
    <row r="15610" spans="8:9">
      <c r="H15610" s="1358"/>
      <c r="I15610" s="1358"/>
    </row>
    <row r="15611" spans="8:9">
      <c r="H15611" s="1358"/>
      <c r="I15611" s="1358"/>
    </row>
    <row r="15612" spans="8:9">
      <c r="H15612" s="1358"/>
      <c r="I15612" s="1358"/>
    </row>
    <row r="15613" spans="8:9">
      <c r="H15613" s="1358"/>
      <c r="I15613" s="1358"/>
    </row>
    <row r="15614" spans="8:9">
      <c r="H15614" s="1358"/>
      <c r="I15614" s="1358"/>
    </row>
    <row r="15615" spans="8:9">
      <c r="H15615" s="1358"/>
      <c r="I15615" s="1358"/>
    </row>
    <row r="15616" spans="8:9">
      <c r="H15616" s="1358"/>
      <c r="I15616" s="1358"/>
    </row>
    <row r="15617" spans="8:9">
      <c r="H15617" s="1358"/>
      <c r="I15617" s="1358"/>
    </row>
    <row r="15618" spans="8:9">
      <c r="H15618" s="1358"/>
      <c r="I15618" s="1358"/>
    </row>
    <row r="15619" spans="8:9">
      <c r="H15619" s="1358"/>
      <c r="I15619" s="1358"/>
    </row>
    <row r="15620" spans="8:9">
      <c r="H15620" s="1358"/>
      <c r="I15620" s="1358"/>
    </row>
    <row r="15621" spans="8:9">
      <c r="H15621" s="1358"/>
      <c r="I15621" s="1358"/>
    </row>
    <row r="15622" spans="8:9">
      <c r="H15622" s="1358"/>
      <c r="I15622" s="1358"/>
    </row>
    <row r="15623" spans="8:9">
      <c r="H15623" s="1358"/>
      <c r="I15623" s="1358"/>
    </row>
    <row r="15624" spans="8:9">
      <c r="H15624" s="1358"/>
      <c r="I15624" s="1358"/>
    </row>
    <row r="15625" spans="8:9">
      <c r="H15625" s="1358"/>
      <c r="I15625" s="1358"/>
    </row>
    <row r="15626" spans="8:9">
      <c r="H15626" s="1358"/>
      <c r="I15626" s="1358"/>
    </row>
    <row r="15627" spans="8:9">
      <c r="H15627" s="1358"/>
      <c r="I15627" s="1358"/>
    </row>
    <row r="15628" spans="8:9">
      <c r="H15628" s="1358"/>
      <c r="I15628" s="1358"/>
    </row>
    <row r="15629" spans="8:9">
      <c r="H15629" s="1358"/>
      <c r="I15629" s="1358"/>
    </row>
    <row r="15630" spans="8:9">
      <c r="H15630" s="1358"/>
      <c r="I15630" s="1358"/>
    </row>
    <row r="15631" spans="8:9">
      <c r="H15631" s="1358"/>
      <c r="I15631" s="1358"/>
    </row>
    <row r="15632" spans="8:9">
      <c r="H15632" s="1358"/>
      <c r="I15632" s="1358"/>
    </row>
    <row r="15633" spans="8:9">
      <c r="H15633" s="1358"/>
      <c r="I15633" s="1358"/>
    </row>
    <row r="15634" spans="8:9">
      <c r="H15634" s="1358"/>
      <c r="I15634" s="1358"/>
    </row>
    <row r="15635" spans="8:9">
      <c r="H15635" s="1358"/>
      <c r="I15635" s="1358"/>
    </row>
    <row r="15636" spans="8:9">
      <c r="H15636" s="1358"/>
      <c r="I15636" s="1358"/>
    </row>
    <row r="15637" spans="8:9">
      <c r="H15637" s="1358"/>
      <c r="I15637" s="1358"/>
    </row>
    <row r="15638" spans="8:9">
      <c r="H15638" s="1358"/>
      <c r="I15638" s="1358"/>
    </row>
    <row r="15639" spans="8:9">
      <c r="H15639" s="1358"/>
      <c r="I15639" s="1358"/>
    </row>
    <row r="15640" spans="8:9">
      <c r="H15640" s="1358"/>
      <c r="I15640" s="1358"/>
    </row>
    <row r="15641" spans="8:9">
      <c r="H15641" s="1358"/>
      <c r="I15641" s="1358"/>
    </row>
    <row r="15642" spans="8:9">
      <c r="H15642" s="1358"/>
      <c r="I15642" s="1358"/>
    </row>
    <row r="15643" spans="8:9">
      <c r="H15643" s="1358"/>
      <c r="I15643" s="1358"/>
    </row>
    <row r="15644" spans="8:9">
      <c r="H15644" s="1358"/>
      <c r="I15644" s="1358"/>
    </row>
    <row r="15645" spans="8:9">
      <c r="H15645" s="1358"/>
      <c r="I15645" s="1358"/>
    </row>
    <row r="15646" spans="8:9">
      <c r="H15646" s="1358"/>
      <c r="I15646" s="1358"/>
    </row>
    <row r="15647" spans="8:9">
      <c r="H15647" s="1358"/>
      <c r="I15647" s="1358"/>
    </row>
    <row r="15648" spans="8:9">
      <c r="H15648" s="1358"/>
      <c r="I15648" s="1358"/>
    </row>
    <row r="15649" spans="8:9">
      <c r="H15649" s="1358"/>
      <c r="I15649" s="1358"/>
    </row>
    <row r="15650" spans="8:9">
      <c r="H15650" s="1358"/>
      <c r="I15650" s="1358"/>
    </row>
    <row r="15651" spans="8:9">
      <c r="H15651" s="1358"/>
      <c r="I15651" s="1358"/>
    </row>
    <row r="15652" spans="8:9">
      <c r="H15652" s="1358"/>
      <c r="I15652" s="1358"/>
    </row>
    <row r="15653" spans="8:9">
      <c r="H15653" s="1358"/>
      <c r="I15653" s="1358"/>
    </row>
    <row r="15654" spans="8:9">
      <c r="H15654" s="1358"/>
      <c r="I15654" s="1358"/>
    </row>
    <row r="15655" spans="8:9">
      <c r="H15655" s="1358"/>
      <c r="I15655" s="1358"/>
    </row>
    <row r="15656" spans="8:9">
      <c r="H15656" s="1358"/>
      <c r="I15656" s="1358"/>
    </row>
    <row r="15657" spans="8:9">
      <c r="H15657" s="1358"/>
      <c r="I15657" s="1358"/>
    </row>
    <row r="15658" spans="8:9">
      <c r="H15658" s="1358"/>
      <c r="I15658" s="1358"/>
    </row>
    <row r="15659" spans="8:9">
      <c r="H15659" s="1358"/>
      <c r="I15659" s="1358"/>
    </row>
    <row r="15660" spans="8:9">
      <c r="H15660" s="1358"/>
      <c r="I15660" s="1358"/>
    </row>
    <row r="15661" spans="8:9">
      <c r="H15661" s="1358"/>
      <c r="I15661" s="1358"/>
    </row>
    <row r="15662" spans="8:9">
      <c r="H15662" s="1358"/>
      <c r="I15662" s="1358"/>
    </row>
    <row r="15663" spans="8:9">
      <c r="H15663" s="1358"/>
      <c r="I15663" s="1358"/>
    </row>
    <row r="15664" spans="8:9">
      <c r="H15664" s="1358"/>
      <c r="I15664" s="1358"/>
    </row>
    <row r="15665" spans="8:9">
      <c r="H15665" s="1358"/>
      <c r="I15665" s="1358"/>
    </row>
    <row r="15666" spans="8:9">
      <c r="H15666" s="1358"/>
      <c r="I15666" s="1358"/>
    </row>
    <row r="15667" spans="8:9">
      <c r="H15667" s="1358"/>
      <c r="I15667" s="1358"/>
    </row>
    <row r="15668" spans="8:9">
      <c r="H15668" s="1358"/>
      <c r="I15668" s="1358"/>
    </row>
    <row r="15669" spans="8:9">
      <c r="H15669" s="1358"/>
      <c r="I15669" s="1358"/>
    </row>
    <row r="15670" spans="8:9">
      <c r="H15670" s="1358"/>
      <c r="I15670" s="1358"/>
    </row>
    <row r="15671" spans="8:9">
      <c r="H15671" s="1358"/>
      <c r="I15671" s="1358"/>
    </row>
    <row r="15672" spans="8:9">
      <c r="H15672" s="1358"/>
      <c r="I15672" s="1358"/>
    </row>
    <row r="15673" spans="8:9">
      <c r="H15673" s="1358"/>
      <c r="I15673" s="1358"/>
    </row>
    <row r="15674" spans="8:9">
      <c r="H15674" s="1358"/>
      <c r="I15674" s="1358"/>
    </row>
    <row r="15675" spans="8:9">
      <c r="H15675" s="1358"/>
      <c r="I15675" s="1358"/>
    </row>
    <row r="15676" spans="8:9">
      <c r="H15676" s="1358"/>
      <c r="I15676" s="1358"/>
    </row>
    <row r="15677" spans="8:9">
      <c r="H15677" s="1358"/>
      <c r="I15677" s="1358"/>
    </row>
    <row r="15678" spans="8:9">
      <c r="H15678" s="1358"/>
      <c r="I15678" s="1358"/>
    </row>
    <row r="15679" spans="8:9">
      <c r="H15679" s="1358"/>
      <c r="I15679" s="1358"/>
    </row>
    <row r="15680" spans="8:9">
      <c r="H15680" s="1358"/>
      <c r="I15680" s="1358"/>
    </row>
    <row r="15681" spans="8:9">
      <c r="H15681" s="1358"/>
      <c r="I15681" s="1358"/>
    </row>
    <row r="15682" spans="8:9">
      <c r="H15682" s="1358"/>
      <c r="I15682" s="1358"/>
    </row>
    <row r="15683" spans="8:9">
      <c r="H15683" s="1358"/>
      <c r="I15683" s="1358"/>
    </row>
    <row r="15684" spans="8:9">
      <c r="H15684" s="1358"/>
      <c r="I15684" s="1358"/>
    </row>
    <row r="15685" spans="8:9">
      <c r="H15685" s="1358"/>
      <c r="I15685" s="1358"/>
    </row>
    <row r="15686" spans="8:9">
      <c r="H15686" s="1358"/>
      <c r="I15686" s="1358"/>
    </row>
    <row r="15687" spans="8:9">
      <c r="H15687" s="1358"/>
      <c r="I15687" s="1358"/>
    </row>
    <row r="15688" spans="8:9">
      <c r="H15688" s="1358"/>
      <c r="I15688" s="1358"/>
    </row>
    <row r="15689" spans="8:9">
      <c r="H15689" s="1358"/>
      <c r="I15689" s="1358"/>
    </row>
    <row r="15690" spans="8:9">
      <c r="H15690" s="1358"/>
      <c r="I15690" s="1358"/>
    </row>
    <row r="15691" spans="8:9">
      <c r="H15691" s="1358"/>
      <c r="I15691" s="1358"/>
    </row>
    <row r="15692" spans="8:9">
      <c r="H15692" s="1358"/>
      <c r="I15692" s="1358"/>
    </row>
    <row r="15693" spans="8:9">
      <c r="H15693" s="1358"/>
      <c r="I15693" s="1358"/>
    </row>
    <row r="15694" spans="8:9">
      <c r="H15694" s="1358"/>
      <c r="I15694" s="1358"/>
    </row>
    <row r="15695" spans="8:9">
      <c r="H15695" s="1358"/>
      <c r="I15695" s="1358"/>
    </row>
    <row r="15696" spans="8:9">
      <c r="H15696" s="1358"/>
      <c r="I15696" s="1358"/>
    </row>
    <row r="15697" spans="8:9">
      <c r="H15697" s="1358"/>
      <c r="I15697" s="1358"/>
    </row>
    <row r="15698" spans="8:9">
      <c r="H15698" s="1358"/>
      <c r="I15698" s="1358"/>
    </row>
    <row r="15699" spans="8:9">
      <c r="H15699" s="1358"/>
      <c r="I15699" s="1358"/>
    </row>
    <row r="15700" spans="8:9">
      <c r="H15700" s="1358"/>
      <c r="I15700" s="1358"/>
    </row>
    <row r="15701" spans="8:9">
      <c r="H15701" s="1358"/>
      <c r="I15701" s="1358"/>
    </row>
    <row r="15702" spans="8:9">
      <c r="H15702" s="1358"/>
      <c r="I15702" s="1358"/>
    </row>
    <row r="15703" spans="8:9">
      <c r="H15703" s="1358"/>
      <c r="I15703" s="1358"/>
    </row>
    <row r="15704" spans="8:9">
      <c r="H15704" s="1358"/>
      <c r="I15704" s="1358"/>
    </row>
    <row r="15705" spans="8:9">
      <c r="H15705" s="1358"/>
      <c r="I15705" s="1358"/>
    </row>
    <row r="15706" spans="8:9">
      <c r="H15706" s="1358"/>
      <c r="I15706" s="1358"/>
    </row>
    <row r="15707" spans="8:9">
      <c r="H15707" s="1358"/>
      <c r="I15707" s="1358"/>
    </row>
    <row r="15708" spans="8:9">
      <c r="H15708" s="1358"/>
      <c r="I15708" s="1358"/>
    </row>
    <row r="15709" spans="8:9">
      <c r="H15709" s="1358"/>
      <c r="I15709" s="1358"/>
    </row>
    <row r="15710" spans="8:9">
      <c r="H15710" s="1358"/>
      <c r="I15710" s="1358"/>
    </row>
    <row r="15711" spans="8:9">
      <c r="H15711" s="1358"/>
      <c r="I15711" s="1358"/>
    </row>
    <row r="15712" spans="8:9">
      <c r="H15712" s="1358"/>
      <c r="I15712" s="1358"/>
    </row>
    <row r="15713" spans="8:9">
      <c r="H15713" s="1358"/>
      <c r="I15713" s="1358"/>
    </row>
    <row r="15714" spans="8:9">
      <c r="H15714" s="1358"/>
      <c r="I15714" s="1358"/>
    </row>
    <row r="15715" spans="8:9">
      <c r="H15715" s="1358"/>
      <c r="I15715" s="1358"/>
    </row>
    <row r="15716" spans="8:9">
      <c r="H15716" s="1358"/>
      <c r="I15716" s="1358"/>
    </row>
    <row r="15717" spans="8:9">
      <c r="H15717" s="1358"/>
      <c r="I15717" s="1358"/>
    </row>
    <row r="15718" spans="8:9">
      <c r="H15718" s="1358"/>
      <c r="I15718" s="1358"/>
    </row>
    <row r="15719" spans="8:9">
      <c r="H15719" s="1358"/>
      <c r="I15719" s="1358"/>
    </row>
    <row r="15720" spans="8:9">
      <c r="H15720" s="1358"/>
      <c r="I15720" s="1358"/>
    </row>
    <row r="15721" spans="8:9">
      <c r="H15721" s="1358"/>
      <c r="I15721" s="1358"/>
    </row>
    <row r="15722" spans="8:9">
      <c r="H15722" s="1358"/>
      <c r="I15722" s="1358"/>
    </row>
    <row r="15723" spans="8:9">
      <c r="H15723" s="1358"/>
      <c r="I15723" s="1358"/>
    </row>
    <row r="15724" spans="8:9">
      <c r="H15724" s="1358"/>
      <c r="I15724" s="1358"/>
    </row>
    <row r="15725" spans="8:9">
      <c r="H15725" s="1358"/>
      <c r="I15725" s="1358"/>
    </row>
    <row r="15726" spans="8:9">
      <c r="H15726" s="1358"/>
      <c r="I15726" s="1358"/>
    </row>
    <row r="15727" spans="8:9">
      <c r="H15727" s="1358"/>
      <c r="I15727" s="1358"/>
    </row>
    <row r="15728" spans="8:9">
      <c r="H15728" s="1358"/>
      <c r="I15728" s="1358"/>
    </row>
    <row r="15729" spans="8:9">
      <c r="H15729" s="1358"/>
      <c r="I15729" s="1358"/>
    </row>
    <row r="15730" spans="8:9">
      <c r="H15730" s="1358"/>
      <c r="I15730" s="1358"/>
    </row>
    <row r="15731" spans="8:9">
      <c r="H15731" s="1358"/>
      <c r="I15731" s="1358"/>
    </row>
    <row r="15732" spans="8:9">
      <c r="H15732" s="1358"/>
      <c r="I15732" s="1358"/>
    </row>
    <row r="15733" spans="8:9">
      <c r="H15733" s="1358"/>
      <c r="I15733" s="1358"/>
    </row>
    <row r="15734" spans="8:9">
      <c r="H15734" s="1358"/>
      <c r="I15734" s="1358"/>
    </row>
    <row r="15735" spans="8:9">
      <c r="H15735" s="1358"/>
      <c r="I15735" s="1358"/>
    </row>
    <row r="15736" spans="8:9">
      <c r="H15736" s="1358"/>
      <c r="I15736" s="1358"/>
    </row>
    <row r="15737" spans="8:9">
      <c r="H15737" s="1358"/>
      <c r="I15737" s="1358"/>
    </row>
    <row r="15738" spans="8:9">
      <c r="H15738" s="1358"/>
      <c r="I15738" s="1358"/>
    </row>
    <row r="15739" spans="8:9">
      <c r="H15739" s="1358"/>
      <c r="I15739" s="1358"/>
    </row>
    <row r="15740" spans="8:9">
      <c r="H15740" s="1358"/>
      <c r="I15740" s="1358"/>
    </row>
    <row r="15741" spans="8:9">
      <c r="H15741" s="1358"/>
      <c r="I15741" s="1358"/>
    </row>
    <row r="15742" spans="8:9">
      <c r="H15742" s="1358"/>
      <c r="I15742" s="1358"/>
    </row>
    <row r="15743" spans="8:9">
      <c r="H15743" s="1358"/>
      <c r="I15743" s="1358"/>
    </row>
    <row r="15744" spans="8:9">
      <c r="H15744" s="1358"/>
      <c r="I15744" s="1358"/>
    </row>
    <row r="15745" spans="8:9">
      <c r="H15745" s="1358"/>
      <c r="I15745" s="1358"/>
    </row>
    <row r="15746" spans="8:9">
      <c r="H15746" s="1358"/>
      <c r="I15746" s="1358"/>
    </row>
    <row r="15747" spans="8:9">
      <c r="H15747" s="1358"/>
      <c r="I15747" s="1358"/>
    </row>
    <row r="15748" spans="8:9">
      <c r="H15748" s="1358"/>
      <c r="I15748" s="1358"/>
    </row>
    <row r="15749" spans="8:9">
      <c r="H15749" s="1358"/>
      <c r="I15749" s="1358"/>
    </row>
    <row r="15750" spans="8:9">
      <c r="H15750" s="1358"/>
      <c r="I15750" s="1358"/>
    </row>
    <row r="15751" spans="8:9">
      <c r="H15751" s="1358"/>
      <c r="I15751" s="1358"/>
    </row>
    <row r="15752" spans="8:9">
      <c r="H15752" s="1358"/>
      <c r="I15752" s="1358"/>
    </row>
    <row r="15753" spans="8:9">
      <c r="H15753" s="1358"/>
      <c r="I15753" s="1358"/>
    </row>
    <row r="15754" spans="8:9">
      <c r="H15754" s="1358"/>
      <c r="I15754" s="1358"/>
    </row>
    <row r="15755" spans="8:9">
      <c r="H15755" s="1358"/>
      <c r="I15755" s="1358"/>
    </row>
    <row r="15756" spans="8:9">
      <c r="H15756" s="1358"/>
      <c r="I15756" s="1358"/>
    </row>
    <row r="15757" spans="8:9">
      <c r="H15757" s="1358"/>
      <c r="I15757" s="1358"/>
    </row>
    <row r="15758" spans="8:9">
      <c r="H15758" s="1358"/>
      <c r="I15758" s="1358"/>
    </row>
    <row r="15759" spans="8:9">
      <c r="H15759" s="1358"/>
      <c r="I15759" s="1358"/>
    </row>
    <row r="15760" spans="8:9">
      <c r="H15760" s="1358"/>
      <c r="I15760" s="1358"/>
    </row>
    <row r="15761" spans="8:9">
      <c r="H15761" s="1358"/>
      <c r="I15761" s="1358"/>
    </row>
    <row r="15762" spans="8:9">
      <c r="H15762" s="1358"/>
      <c r="I15762" s="1358"/>
    </row>
    <row r="15763" spans="8:9">
      <c r="H15763" s="1358"/>
      <c r="I15763" s="1358"/>
    </row>
    <row r="15764" spans="8:9">
      <c r="H15764" s="1358"/>
      <c r="I15764" s="1358"/>
    </row>
    <row r="15765" spans="8:9">
      <c r="H15765" s="1358"/>
      <c r="I15765" s="1358"/>
    </row>
    <row r="15766" spans="8:9">
      <c r="H15766" s="1358"/>
      <c r="I15766" s="1358"/>
    </row>
    <row r="15767" spans="8:9">
      <c r="H15767" s="1358"/>
      <c r="I15767" s="1358"/>
    </row>
    <row r="15768" spans="8:9">
      <c r="H15768" s="1358"/>
      <c r="I15768" s="1358"/>
    </row>
    <row r="15769" spans="8:9">
      <c r="H15769" s="1358"/>
      <c r="I15769" s="1358"/>
    </row>
    <row r="15770" spans="8:9">
      <c r="H15770" s="1358"/>
      <c r="I15770" s="1358"/>
    </row>
    <row r="15771" spans="8:9">
      <c r="H15771" s="1358"/>
      <c r="I15771" s="1358"/>
    </row>
    <row r="15772" spans="8:9">
      <c r="H15772" s="1358"/>
      <c r="I15772" s="1358"/>
    </row>
    <row r="15773" spans="8:9">
      <c r="H15773" s="1358"/>
      <c r="I15773" s="1358"/>
    </row>
    <row r="15774" spans="8:9">
      <c r="H15774" s="1358"/>
      <c r="I15774" s="1358"/>
    </row>
    <row r="15775" spans="8:9">
      <c r="H15775" s="1358"/>
      <c r="I15775" s="1358"/>
    </row>
    <row r="15776" spans="8:9">
      <c r="H15776" s="1358"/>
      <c r="I15776" s="1358"/>
    </row>
    <row r="15777" spans="8:9">
      <c r="H15777" s="1358"/>
      <c r="I15777" s="1358"/>
    </row>
    <row r="15778" spans="8:9">
      <c r="H15778" s="1358"/>
      <c r="I15778" s="1358"/>
    </row>
    <row r="15779" spans="8:9">
      <c r="H15779" s="1358"/>
      <c r="I15779" s="1358"/>
    </row>
    <row r="15780" spans="8:9">
      <c r="H15780" s="1358"/>
      <c r="I15780" s="1358"/>
    </row>
    <row r="15781" spans="8:9">
      <c r="H15781" s="1358"/>
      <c r="I15781" s="1358"/>
    </row>
    <row r="15782" spans="8:9">
      <c r="H15782" s="1358"/>
      <c r="I15782" s="1358"/>
    </row>
    <row r="15783" spans="8:9">
      <c r="H15783" s="1358"/>
      <c r="I15783" s="1358"/>
    </row>
    <row r="15784" spans="8:9">
      <c r="H15784" s="1358"/>
      <c r="I15784" s="1358"/>
    </row>
    <row r="15785" spans="8:9">
      <c r="H15785" s="1358"/>
      <c r="I15785" s="1358"/>
    </row>
    <row r="15786" spans="8:9">
      <c r="H15786" s="1358"/>
      <c r="I15786" s="1358"/>
    </row>
    <row r="15787" spans="8:9">
      <c r="H15787" s="1358"/>
      <c r="I15787" s="1358"/>
    </row>
    <row r="15788" spans="8:9">
      <c r="H15788" s="1358"/>
      <c r="I15788" s="1358"/>
    </row>
    <row r="15789" spans="8:9">
      <c r="H15789" s="1358"/>
      <c r="I15789" s="1358"/>
    </row>
    <row r="15790" spans="8:9">
      <c r="H15790" s="1358"/>
      <c r="I15790" s="1358"/>
    </row>
    <row r="15791" spans="8:9">
      <c r="H15791" s="1358"/>
      <c r="I15791" s="1358"/>
    </row>
    <row r="15792" spans="8:9">
      <c r="H15792" s="1358"/>
      <c r="I15792" s="1358"/>
    </row>
    <row r="15793" spans="8:9">
      <c r="H15793" s="1358"/>
      <c r="I15793" s="1358"/>
    </row>
    <row r="15794" spans="8:9">
      <c r="H15794" s="1358"/>
      <c r="I15794" s="1358"/>
    </row>
    <row r="15795" spans="8:9">
      <c r="H15795" s="1358"/>
      <c r="I15795" s="1358"/>
    </row>
    <row r="15796" spans="8:9">
      <c r="H15796" s="1358"/>
      <c r="I15796" s="1358"/>
    </row>
    <row r="15797" spans="8:9">
      <c r="H15797" s="1358"/>
      <c r="I15797" s="1358"/>
    </row>
    <row r="15798" spans="8:9">
      <c r="H15798" s="1358"/>
      <c r="I15798" s="1358"/>
    </row>
    <row r="15799" spans="8:9">
      <c r="H15799" s="1358"/>
      <c r="I15799" s="1358"/>
    </row>
    <row r="15800" spans="8:9">
      <c r="H15800" s="1358"/>
      <c r="I15800" s="1358"/>
    </row>
    <row r="15801" spans="8:9">
      <c r="H15801" s="1358"/>
      <c r="I15801" s="1358"/>
    </row>
    <row r="15802" spans="8:9">
      <c r="H15802" s="1358"/>
      <c r="I15802" s="1358"/>
    </row>
    <row r="15803" spans="8:9">
      <c r="H15803" s="1358"/>
      <c r="I15803" s="1358"/>
    </row>
    <row r="15804" spans="8:9">
      <c r="H15804" s="1358"/>
      <c r="I15804" s="1358"/>
    </row>
    <row r="15805" spans="8:9">
      <c r="H15805" s="1358"/>
      <c r="I15805" s="1358"/>
    </row>
    <row r="15806" spans="8:9">
      <c r="H15806" s="1358"/>
      <c r="I15806" s="1358"/>
    </row>
    <row r="15807" spans="8:9">
      <c r="H15807" s="1358"/>
      <c r="I15807" s="1358"/>
    </row>
    <row r="15808" spans="8:9">
      <c r="H15808" s="1358"/>
      <c r="I15808" s="1358"/>
    </row>
    <row r="15809" spans="8:9">
      <c r="H15809" s="1358"/>
      <c r="I15809" s="1358"/>
    </row>
    <row r="15810" spans="8:9">
      <c r="H15810" s="1358"/>
      <c r="I15810" s="1358"/>
    </row>
    <row r="15811" spans="8:9">
      <c r="H15811" s="1358"/>
      <c r="I15811" s="1358"/>
    </row>
    <row r="15812" spans="8:9">
      <c r="H15812" s="1358"/>
      <c r="I15812" s="1358"/>
    </row>
    <row r="15813" spans="8:9">
      <c r="H15813" s="1358"/>
      <c r="I15813" s="1358"/>
    </row>
    <row r="15814" spans="8:9">
      <c r="H15814" s="1358"/>
      <c r="I15814" s="1358"/>
    </row>
    <row r="15815" spans="8:9">
      <c r="H15815" s="1358"/>
      <c r="I15815" s="1358"/>
    </row>
    <row r="15816" spans="8:9">
      <c r="H15816" s="1358"/>
      <c r="I15816" s="1358"/>
    </row>
    <row r="15817" spans="8:9">
      <c r="H15817" s="1358"/>
      <c r="I15817" s="1358"/>
    </row>
    <row r="15818" spans="8:9">
      <c r="H15818" s="1358"/>
      <c r="I15818" s="1358"/>
    </row>
    <row r="15819" spans="8:9">
      <c r="H15819" s="1358"/>
      <c r="I15819" s="1358"/>
    </row>
    <row r="15820" spans="8:9">
      <c r="H15820" s="1358"/>
      <c r="I15820" s="1358"/>
    </row>
    <row r="15821" spans="8:9">
      <c r="H15821" s="1358"/>
      <c r="I15821" s="1358"/>
    </row>
    <row r="15822" spans="8:9">
      <c r="H15822" s="1358"/>
      <c r="I15822" s="1358"/>
    </row>
    <row r="15823" spans="8:9">
      <c r="H15823" s="1358"/>
      <c r="I15823" s="1358"/>
    </row>
    <row r="15824" spans="8:9">
      <c r="H15824" s="1358"/>
      <c r="I15824" s="1358"/>
    </row>
    <row r="15825" spans="8:9">
      <c r="H15825" s="1358"/>
      <c r="I15825" s="1358"/>
    </row>
    <row r="15826" spans="8:9">
      <c r="H15826" s="1358"/>
      <c r="I15826" s="1358"/>
    </row>
    <row r="15827" spans="8:9">
      <c r="H15827" s="1358"/>
      <c r="I15827" s="1358"/>
    </row>
    <row r="15828" spans="8:9">
      <c r="H15828" s="1358"/>
      <c r="I15828" s="1358"/>
    </row>
    <row r="15829" spans="8:9">
      <c r="H15829" s="1358"/>
      <c r="I15829" s="1358"/>
    </row>
    <row r="15830" spans="8:9">
      <c r="H15830" s="1358"/>
      <c r="I15830" s="1358"/>
    </row>
    <row r="15831" spans="8:9">
      <c r="H15831" s="1358"/>
      <c r="I15831" s="1358"/>
    </row>
    <row r="15832" spans="8:9">
      <c r="H15832" s="1358"/>
      <c r="I15832" s="1358"/>
    </row>
    <row r="15833" spans="8:9">
      <c r="H15833" s="1358"/>
      <c r="I15833" s="1358"/>
    </row>
    <row r="15834" spans="8:9">
      <c r="H15834" s="1358"/>
      <c r="I15834" s="1358"/>
    </row>
    <row r="15835" spans="8:9">
      <c r="H15835" s="1358"/>
      <c r="I15835" s="1358"/>
    </row>
    <row r="15836" spans="8:9">
      <c r="H15836" s="1358"/>
      <c r="I15836" s="1358"/>
    </row>
    <row r="15837" spans="8:9">
      <c r="H15837" s="1358"/>
      <c r="I15837" s="1358"/>
    </row>
    <row r="15838" spans="8:9">
      <c r="H15838" s="1358"/>
      <c r="I15838" s="1358"/>
    </row>
    <row r="15839" spans="8:9">
      <c r="H15839" s="1358"/>
      <c r="I15839" s="1358"/>
    </row>
    <row r="15840" spans="8:9">
      <c r="H15840" s="1358"/>
      <c r="I15840" s="1358"/>
    </row>
    <row r="15841" spans="8:9">
      <c r="H15841" s="1358"/>
      <c r="I15841" s="1358"/>
    </row>
    <row r="15842" spans="8:9">
      <c r="H15842" s="1358"/>
      <c r="I15842" s="1358"/>
    </row>
    <row r="15843" spans="8:9">
      <c r="H15843" s="1358"/>
      <c r="I15843" s="1358"/>
    </row>
    <row r="15844" spans="8:9">
      <c r="H15844" s="1358"/>
      <c r="I15844" s="1358"/>
    </row>
    <row r="15845" spans="8:9">
      <c r="H15845" s="1358"/>
      <c r="I15845" s="1358"/>
    </row>
    <row r="15846" spans="8:9">
      <c r="H15846" s="1358"/>
      <c r="I15846" s="1358"/>
    </row>
    <row r="15847" spans="8:9">
      <c r="H15847" s="1358"/>
      <c r="I15847" s="1358"/>
    </row>
    <row r="15848" spans="8:9">
      <c r="H15848" s="1358"/>
      <c r="I15848" s="1358"/>
    </row>
    <row r="15849" spans="8:9">
      <c r="H15849" s="1358"/>
      <c r="I15849" s="1358"/>
    </row>
    <row r="15850" spans="8:9">
      <c r="H15850" s="1358"/>
      <c r="I15850" s="1358"/>
    </row>
    <row r="15851" spans="8:9">
      <c r="H15851" s="1358"/>
      <c r="I15851" s="1358"/>
    </row>
    <row r="15852" spans="8:9">
      <c r="H15852" s="1358"/>
      <c r="I15852" s="1358"/>
    </row>
    <row r="15853" spans="8:9">
      <c r="H15853" s="1358"/>
      <c r="I15853" s="1358"/>
    </row>
    <row r="15854" spans="8:9">
      <c r="H15854" s="1358"/>
      <c r="I15854" s="1358"/>
    </row>
    <row r="15855" spans="8:9">
      <c r="H15855" s="1358"/>
      <c r="I15855" s="1358"/>
    </row>
    <row r="15856" spans="8:9">
      <c r="H15856" s="1358"/>
      <c r="I15856" s="1358"/>
    </row>
    <row r="15857" spans="8:9">
      <c r="H15857" s="1358"/>
      <c r="I15857" s="1358"/>
    </row>
    <row r="15858" spans="8:9">
      <c r="H15858" s="1358"/>
      <c r="I15858" s="1358"/>
    </row>
    <row r="15859" spans="8:9">
      <c r="H15859" s="1358"/>
      <c r="I15859" s="1358"/>
    </row>
    <row r="15860" spans="8:9">
      <c r="H15860" s="1358"/>
      <c r="I15860" s="1358"/>
    </row>
    <row r="15861" spans="8:9">
      <c r="H15861" s="1358"/>
      <c r="I15861" s="1358"/>
    </row>
    <row r="15862" spans="8:9">
      <c r="H15862" s="1358"/>
      <c r="I15862" s="1358"/>
    </row>
    <row r="15863" spans="8:9">
      <c r="H15863" s="1358"/>
      <c r="I15863" s="1358"/>
    </row>
    <row r="15864" spans="8:9">
      <c r="H15864" s="1358"/>
      <c r="I15864" s="1358"/>
    </row>
    <row r="15865" spans="8:9">
      <c r="H15865" s="1358"/>
      <c r="I15865" s="1358"/>
    </row>
    <row r="15866" spans="8:9">
      <c r="H15866" s="1358"/>
      <c r="I15866" s="1358"/>
    </row>
    <row r="15867" spans="8:9">
      <c r="H15867" s="1358"/>
      <c r="I15867" s="1358"/>
    </row>
    <row r="15868" spans="8:9">
      <c r="H15868" s="1358"/>
      <c r="I15868" s="1358"/>
    </row>
    <row r="15869" spans="8:9">
      <c r="H15869" s="1358"/>
      <c r="I15869" s="1358"/>
    </row>
    <row r="15870" spans="8:9">
      <c r="H15870" s="1358"/>
      <c r="I15870" s="1358"/>
    </row>
    <row r="15871" spans="8:9">
      <c r="H15871" s="1358"/>
      <c r="I15871" s="1358"/>
    </row>
    <row r="15872" spans="8:9">
      <c r="H15872" s="1358"/>
      <c r="I15872" s="1358"/>
    </row>
    <row r="15873" spans="8:9">
      <c r="H15873" s="1358"/>
      <c r="I15873" s="1358"/>
    </row>
    <row r="15874" spans="8:9">
      <c r="H15874" s="1358"/>
      <c r="I15874" s="1358"/>
    </row>
    <row r="15875" spans="8:9">
      <c r="H15875" s="1358"/>
      <c r="I15875" s="1358"/>
    </row>
    <row r="15876" spans="8:9">
      <c r="H15876" s="1358"/>
      <c r="I15876" s="1358"/>
    </row>
    <row r="15877" spans="8:9">
      <c r="H15877" s="1358"/>
      <c r="I15877" s="1358"/>
    </row>
    <row r="15878" spans="8:9">
      <c r="H15878" s="1358"/>
      <c r="I15878" s="1358"/>
    </row>
    <row r="15879" spans="8:9">
      <c r="H15879" s="1358"/>
      <c r="I15879" s="1358"/>
    </row>
    <row r="15880" spans="8:9">
      <c r="H15880" s="1358"/>
      <c r="I15880" s="1358"/>
    </row>
    <row r="15881" spans="8:9">
      <c r="H15881" s="1358"/>
      <c r="I15881" s="1358"/>
    </row>
    <row r="15882" spans="8:9">
      <c r="H15882" s="1358"/>
      <c r="I15882" s="1358"/>
    </row>
    <row r="15883" spans="8:9">
      <c r="H15883" s="1358"/>
      <c r="I15883" s="1358"/>
    </row>
    <row r="15884" spans="8:9">
      <c r="H15884" s="1358"/>
      <c r="I15884" s="1358"/>
    </row>
    <row r="15885" spans="8:9">
      <c r="H15885" s="1358"/>
      <c r="I15885" s="1358"/>
    </row>
    <row r="15886" spans="8:9">
      <c r="H15886" s="1358"/>
      <c r="I15886" s="1358"/>
    </row>
    <row r="15887" spans="8:9">
      <c r="H15887" s="1358"/>
      <c r="I15887" s="1358"/>
    </row>
    <row r="15888" spans="8:9">
      <c r="H15888" s="1358"/>
      <c r="I15888" s="1358"/>
    </row>
    <row r="15889" spans="8:9">
      <c r="H15889" s="1358"/>
      <c r="I15889" s="1358"/>
    </row>
    <row r="15890" spans="8:9">
      <c r="H15890" s="1358"/>
      <c r="I15890" s="1358"/>
    </row>
    <row r="15891" spans="8:9">
      <c r="H15891" s="1358"/>
      <c r="I15891" s="1358"/>
    </row>
    <row r="15892" spans="8:9">
      <c r="H15892" s="1358"/>
      <c r="I15892" s="1358"/>
    </row>
    <row r="15893" spans="8:9">
      <c r="H15893" s="1358"/>
      <c r="I15893" s="1358"/>
    </row>
    <row r="15894" spans="8:9">
      <c r="H15894" s="1358"/>
      <c r="I15894" s="1358"/>
    </row>
    <row r="15895" spans="8:9">
      <c r="H15895" s="1358"/>
      <c r="I15895" s="1358"/>
    </row>
    <row r="15896" spans="8:9">
      <c r="H15896" s="1358"/>
      <c r="I15896" s="1358"/>
    </row>
    <row r="15897" spans="8:9">
      <c r="H15897" s="1358"/>
      <c r="I15897" s="1358"/>
    </row>
    <row r="15898" spans="8:9">
      <c r="H15898" s="1358"/>
      <c r="I15898" s="1358"/>
    </row>
    <row r="15899" spans="8:9">
      <c r="H15899" s="1358"/>
      <c r="I15899" s="1358"/>
    </row>
    <row r="15900" spans="8:9">
      <c r="H15900" s="1358"/>
      <c r="I15900" s="1358"/>
    </row>
    <row r="15901" spans="8:9">
      <c r="H15901" s="1358"/>
      <c r="I15901" s="1358"/>
    </row>
    <row r="15902" spans="8:9">
      <c r="H15902" s="1358"/>
      <c r="I15902" s="1358"/>
    </row>
    <row r="15903" spans="8:9">
      <c r="H15903" s="1358"/>
      <c r="I15903" s="1358"/>
    </row>
    <row r="15904" spans="8:9">
      <c r="H15904" s="1358"/>
      <c r="I15904" s="1358"/>
    </row>
    <row r="15905" spans="8:9">
      <c r="H15905" s="1358"/>
      <c r="I15905" s="1358"/>
    </row>
    <row r="15906" spans="8:9">
      <c r="H15906" s="1358"/>
      <c r="I15906" s="1358"/>
    </row>
    <row r="15907" spans="8:9">
      <c r="H15907" s="1358"/>
      <c r="I15907" s="1358"/>
    </row>
    <row r="15908" spans="8:9">
      <c r="H15908" s="1358"/>
      <c r="I15908" s="1358"/>
    </row>
    <row r="15909" spans="8:9">
      <c r="H15909" s="1358"/>
      <c r="I15909" s="1358"/>
    </row>
    <row r="15910" spans="8:9">
      <c r="H15910" s="1358"/>
      <c r="I15910" s="1358"/>
    </row>
    <row r="15911" spans="8:9">
      <c r="H15911" s="1358"/>
      <c r="I15911" s="1358"/>
    </row>
    <row r="15912" spans="8:9">
      <c r="H15912" s="1358"/>
      <c r="I15912" s="1358"/>
    </row>
    <row r="15913" spans="8:9">
      <c r="H15913" s="1358"/>
      <c r="I15913" s="1358"/>
    </row>
    <row r="15914" spans="8:9">
      <c r="H15914" s="1358"/>
      <c r="I15914" s="1358"/>
    </row>
    <row r="15915" spans="8:9">
      <c r="H15915" s="1358"/>
      <c r="I15915" s="1358"/>
    </row>
    <row r="15916" spans="8:9">
      <c r="H15916" s="1358"/>
      <c r="I15916" s="1358"/>
    </row>
    <row r="15917" spans="8:9">
      <c r="H15917" s="1358"/>
      <c r="I15917" s="1358"/>
    </row>
    <row r="15918" spans="8:9">
      <c r="H15918" s="1358"/>
      <c r="I15918" s="1358"/>
    </row>
    <row r="15919" spans="8:9">
      <c r="H15919" s="1358"/>
      <c r="I15919" s="1358"/>
    </row>
    <row r="15920" spans="8:9">
      <c r="H15920" s="1358"/>
      <c r="I15920" s="1358"/>
    </row>
    <row r="15921" spans="8:9">
      <c r="H15921" s="1358"/>
      <c r="I15921" s="1358"/>
    </row>
    <row r="15922" spans="8:9">
      <c r="H15922" s="1358"/>
      <c r="I15922" s="1358"/>
    </row>
    <row r="15923" spans="8:9">
      <c r="H15923" s="1358"/>
      <c r="I15923" s="1358"/>
    </row>
    <row r="15924" spans="8:9">
      <c r="H15924" s="1358"/>
      <c r="I15924" s="1358"/>
    </row>
    <row r="15925" spans="8:9">
      <c r="H15925" s="1358"/>
      <c r="I15925" s="1358"/>
    </row>
    <row r="15926" spans="8:9">
      <c r="H15926" s="1358"/>
      <c r="I15926" s="1358"/>
    </row>
    <row r="15927" spans="8:9">
      <c r="H15927" s="1358"/>
      <c r="I15927" s="1358"/>
    </row>
    <row r="15928" spans="8:9">
      <c r="H15928" s="1358"/>
      <c r="I15928" s="1358"/>
    </row>
    <row r="15929" spans="8:9">
      <c r="H15929" s="1358"/>
      <c r="I15929" s="1358"/>
    </row>
    <row r="15930" spans="8:9">
      <c r="H15930" s="1358"/>
      <c r="I15930" s="1358"/>
    </row>
    <row r="15931" spans="8:9">
      <c r="H15931" s="1358"/>
      <c r="I15931" s="1358"/>
    </row>
    <row r="15932" spans="8:9">
      <c r="H15932" s="1358"/>
      <c r="I15932" s="1358"/>
    </row>
    <row r="15933" spans="8:9">
      <c r="H15933" s="1358"/>
      <c r="I15933" s="1358"/>
    </row>
    <row r="15934" spans="8:9">
      <c r="H15934" s="1358"/>
      <c r="I15934" s="1358"/>
    </row>
    <row r="15935" spans="8:9">
      <c r="H15935" s="1358"/>
      <c r="I15935" s="1358"/>
    </row>
    <row r="15936" spans="8:9">
      <c r="H15936" s="1358"/>
      <c r="I15936" s="1358"/>
    </row>
    <row r="15937" spans="8:9">
      <c r="H15937" s="1358"/>
      <c r="I15937" s="1358"/>
    </row>
    <row r="15938" spans="8:9">
      <c r="H15938" s="1358"/>
      <c r="I15938" s="1358"/>
    </row>
    <row r="15939" spans="8:9">
      <c r="H15939" s="1358"/>
      <c r="I15939" s="1358"/>
    </row>
    <row r="15940" spans="8:9">
      <c r="H15940" s="1358"/>
      <c r="I15940" s="1358"/>
    </row>
    <row r="15941" spans="8:9">
      <c r="H15941" s="1358"/>
      <c r="I15941" s="1358"/>
    </row>
    <row r="15942" spans="8:9">
      <c r="H15942" s="1358"/>
      <c r="I15942" s="1358"/>
    </row>
    <row r="15943" spans="8:9">
      <c r="H15943" s="1358"/>
      <c r="I15943" s="1358"/>
    </row>
    <row r="15944" spans="8:9">
      <c r="H15944" s="1358"/>
      <c r="I15944" s="1358"/>
    </row>
    <row r="15945" spans="8:9">
      <c r="H15945" s="1358"/>
      <c r="I15945" s="1358"/>
    </row>
    <row r="15946" spans="8:9">
      <c r="H15946" s="1358"/>
      <c r="I15946" s="1358"/>
    </row>
    <row r="15947" spans="8:9">
      <c r="H15947" s="1358"/>
      <c r="I15947" s="1358"/>
    </row>
    <row r="15948" spans="8:9">
      <c r="H15948" s="1358"/>
      <c r="I15948" s="1358"/>
    </row>
    <row r="15949" spans="8:9">
      <c r="H15949" s="1358"/>
      <c r="I15949" s="1358"/>
    </row>
    <row r="15950" spans="8:9">
      <c r="H15950" s="1358"/>
      <c r="I15950" s="1358"/>
    </row>
    <row r="15951" spans="8:9">
      <c r="H15951" s="1358"/>
      <c r="I15951" s="1358"/>
    </row>
    <row r="15952" spans="8:9">
      <c r="H15952" s="1358"/>
      <c r="I15952" s="1358"/>
    </row>
    <row r="15953" spans="8:9">
      <c r="H15953" s="1358"/>
      <c r="I15953" s="1358"/>
    </row>
    <row r="15954" spans="8:9">
      <c r="H15954" s="1358"/>
      <c r="I15954" s="1358"/>
    </row>
    <row r="15955" spans="8:9">
      <c r="H15955" s="1358"/>
      <c r="I15955" s="1358"/>
    </row>
    <row r="15956" spans="8:9">
      <c r="H15956" s="1358"/>
      <c r="I15956" s="1358"/>
    </row>
    <row r="15957" spans="8:9">
      <c r="H15957" s="1358"/>
      <c r="I15957" s="1358"/>
    </row>
    <row r="15958" spans="8:9">
      <c r="H15958" s="1358"/>
      <c r="I15958" s="1358"/>
    </row>
    <row r="15959" spans="8:9">
      <c r="H15959" s="1358"/>
      <c r="I15959" s="1358"/>
    </row>
    <row r="15960" spans="8:9">
      <c r="H15960" s="1358"/>
      <c r="I15960" s="1358"/>
    </row>
    <row r="15961" spans="8:9">
      <c r="H15961" s="1358"/>
      <c r="I15961" s="1358"/>
    </row>
    <row r="15962" spans="8:9">
      <c r="H15962" s="1358"/>
      <c r="I15962" s="1358"/>
    </row>
    <row r="15963" spans="8:9">
      <c r="H15963" s="1358"/>
      <c r="I15963" s="1358"/>
    </row>
    <row r="15964" spans="8:9">
      <c r="H15964" s="1358"/>
      <c r="I15964" s="1358"/>
    </row>
    <row r="15965" spans="8:9">
      <c r="H15965" s="1358"/>
      <c r="I15965" s="1358"/>
    </row>
    <row r="15966" spans="8:9">
      <c r="H15966" s="1358"/>
      <c r="I15966" s="1358"/>
    </row>
    <row r="15967" spans="8:9">
      <c r="H15967" s="1358"/>
      <c r="I15967" s="1358"/>
    </row>
    <row r="15968" spans="8:9">
      <c r="H15968" s="1358"/>
      <c r="I15968" s="1358"/>
    </row>
    <row r="15969" spans="8:9">
      <c r="H15969" s="1358"/>
      <c r="I15969" s="1358"/>
    </row>
    <row r="15970" spans="8:9">
      <c r="H15970" s="1358"/>
      <c r="I15970" s="1358"/>
    </row>
    <row r="15971" spans="8:9">
      <c r="H15971" s="1358"/>
      <c r="I15971" s="1358"/>
    </row>
    <row r="15972" spans="8:9">
      <c r="H15972" s="1358"/>
      <c r="I15972" s="1358"/>
    </row>
    <row r="15973" spans="8:9">
      <c r="H15973" s="1358"/>
      <c r="I15973" s="1358"/>
    </row>
    <row r="15974" spans="8:9">
      <c r="H15974" s="1358"/>
      <c r="I15974" s="1358"/>
    </row>
    <row r="15975" spans="8:9">
      <c r="H15975" s="1358"/>
      <c r="I15975" s="1358"/>
    </row>
    <row r="15976" spans="8:9">
      <c r="H15976" s="1358"/>
      <c r="I15976" s="1358"/>
    </row>
    <row r="15977" spans="8:9">
      <c r="H15977" s="1358"/>
      <c r="I15977" s="1358"/>
    </row>
    <row r="15978" spans="8:9">
      <c r="H15978" s="1358"/>
      <c r="I15978" s="1358"/>
    </row>
    <row r="15979" spans="8:9">
      <c r="H15979" s="1358"/>
      <c r="I15979" s="1358"/>
    </row>
    <row r="15980" spans="8:9">
      <c r="H15980" s="1358"/>
      <c r="I15980" s="1358"/>
    </row>
    <row r="15981" spans="8:9">
      <c r="H15981" s="1358"/>
      <c r="I15981" s="1358"/>
    </row>
    <row r="15982" spans="8:9">
      <c r="H15982" s="1358"/>
      <c r="I15982" s="1358"/>
    </row>
    <row r="15983" spans="8:9">
      <c r="H15983" s="1358"/>
      <c r="I15983" s="1358"/>
    </row>
    <row r="15984" spans="8:9">
      <c r="H15984" s="1358"/>
      <c r="I15984" s="1358"/>
    </row>
    <row r="15985" spans="8:9">
      <c r="H15985" s="1358"/>
      <c r="I15985" s="1358"/>
    </row>
    <row r="15986" spans="8:9">
      <c r="H15986" s="1358"/>
      <c r="I15986" s="1358"/>
    </row>
    <row r="15987" spans="8:9">
      <c r="H15987" s="1358"/>
      <c r="I15987" s="1358"/>
    </row>
    <row r="15988" spans="8:9">
      <c r="H15988" s="1358"/>
      <c r="I15988" s="1358"/>
    </row>
    <row r="15989" spans="8:9">
      <c r="H15989" s="1358"/>
      <c r="I15989" s="1358"/>
    </row>
    <row r="15990" spans="8:9">
      <c r="H15990" s="1358"/>
      <c r="I15990" s="1358"/>
    </row>
    <row r="15991" spans="8:9">
      <c r="H15991" s="1358"/>
      <c r="I15991" s="1358"/>
    </row>
    <row r="15992" spans="8:9">
      <c r="H15992" s="1358"/>
      <c r="I15992" s="1358"/>
    </row>
    <row r="15993" spans="8:9">
      <c r="H15993" s="1358"/>
      <c r="I15993" s="1358"/>
    </row>
    <row r="15994" spans="8:9">
      <c r="H15994" s="1358"/>
      <c r="I15994" s="1358"/>
    </row>
    <row r="15995" spans="8:9">
      <c r="H15995" s="1358"/>
      <c r="I15995" s="1358"/>
    </row>
    <row r="15996" spans="8:9">
      <c r="H15996" s="1358"/>
      <c r="I15996" s="1358"/>
    </row>
    <row r="15997" spans="8:9">
      <c r="H15997" s="1358"/>
      <c r="I15997" s="1358"/>
    </row>
    <row r="15998" spans="8:9">
      <c r="H15998" s="1358"/>
      <c r="I15998" s="1358"/>
    </row>
    <row r="15999" spans="8:9">
      <c r="H15999" s="1358"/>
      <c r="I15999" s="1358"/>
    </row>
    <row r="16000" spans="8:9">
      <c r="H16000" s="1358"/>
      <c r="I16000" s="1358"/>
    </row>
    <row r="16001" spans="8:9">
      <c r="H16001" s="1358"/>
      <c r="I16001" s="1358"/>
    </row>
    <row r="16002" spans="8:9">
      <c r="H16002" s="1358"/>
      <c r="I16002" s="1358"/>
    </row>
    <row r="16003" spans="8:9">
      <c r="H16003" s="1358"/>
      <c r="I16003" s="1358"/>
    </row>
    <row r="16004" spans="8:9">
      <c r="H16004" s="1358"/>
      <c r="I16004" s="1358"/>
    </row>
    <row r="16005" spans="8:9">
      <c r="H16005" s="1358"/>
      <c r="I16005" s="1358"/>
    </row>
    <row r="16006" spans="8:9">
      <c r="H16006" s="1358"/>
      <c r="I16006" s="1358"/>
    </row>
    <row r="16007" spans="8:9">
      <c r="H16007" s="1358"/>
      <c r="I16007" s="1358"/>
    </row>
    <row r="16008" spans="8:9">
      <c r="H16008" s="1358"/>
      <c r="I16008" s="1358"/>
    </row>
    <row r="16009" spans="8:9">
      <c r="H16009" s="1358"/>
      <c r="I16009" s="1358"/>
    </row>
    <row r="16010" spans="8:9">
      <c r="H16010" s="1358"/>
      <c r="I16010" s="1358"/>
    </row>
    <row r="16011" spans="8:9">
      <c r="H16011" s="1358"/>
      <c r="I16011" s="1358"/>
    </row>
    <row r="16012" spans="8:9">
      <c r="H16012" s="1358"/>
      <c r="I16012" s="1358"/>
    </row>
    <row r="16013" spans="8:9">
      <c r="H16013" s="1358"/>
      <c r="I16013" s="1358"/>
    </row>
    <row r="16014" spans="8:9">
      <c r="H16014" s="1358"/>
      <c r="I16014" s="1358"/>
    </row>
    <row r="16015" spans="8:9">
      <c r="H16015" s="1358"/>
      <c r="I16015" s="1358"/>
    </row>
    <row r="16016" spans="8:9">
      <c r="H16016" s="1358"/>
      <c r="I16016" s="1358"/>
    </row>
    <row r="16017" spans="8:9">
      <c r="H16017" s="1358"/>
      <c r="I16017" s="1358"/>
    </row>
    <row r="16018" spans="8:9">
      <c r="H16018" s="1358"/>
      <c r="I16018" s="1358"/>
    </row>
    <row r="16019" spans="8:9">
      <c r="H16019" s="1358"/>
      <c r="I16019" s="1358"/>
    </row>
    <row r="16020" spans="8:9">
      <c r="H16020" s="1358"/>
      <c r="I16020" s="1358"/>
    </row>
    <row r="16021" spans="8:9">
      <c r="H16021" s="1358"/>
      <c r="I16021" s="1358"/>
    </row>
    <row r="16022" spans="8:9">
      <c r="H16022" s="1358"/>
      <c r="I16022" s="1358"/>
    </row>
    <row r="16023" spans="8:9">
      <c r="H16023" s="1358"/>
      <c r="I16023" s="1358"/>
    </row>
    <row r="16024" spans="8:9">
      <c r="H16024" s="1358"/>
      <c r="I16024" s="1358"/>
    </row>
    <row r="16025" spans="8:9">
      <c r="H16025" s="1358"/>
      <c r="I16025" s="1358"/>
    </row>
    <row r="16026" spans="8:9">
      <c r="H16026" s="1358"/>
      <c r="I16026" s="1358"/>
    </row>
    <row r="16027" spans="8:9">
      <c r="H16027" s="1358"/>
      <c r="I16027" s="1358"/>
    </row>
    <row r="16028" spans="8:9">
      <c r="H16028" s="1358"/>
      <c r="I16028" s="1358"/>
    </row>
    <row r="16029" spans="8:9">
      <c r="H16029" s="1358"/>
      <c r="I16029" s="1358"/>
    </row>
    <row r="16030" spans="8:9">
      <c r="H16030" s="1358"/>
      <c r="I16030" s="1358"/>
    </row>
    <row r="16031" spans="8:9">
      <c r="H16031" s="1358"/>
      <c r="I16031" s="1358"/>
    </row>
    <row r="16032" spans="8:9">
      <c r="H16032" s="1358"/>
      <c r="I16032" s="1358"/>
    </row>
    <row r="16033" spans="8:9">
      <c r="H16033" s="1358"/>
      <c r="I16033" s="1358"/>
    </row>
    <row r="16034" spans="8:9">
      <c r="H16034" s="1358"/>
      <c r="I16034" s="1358"/>
    </row>
    <row r="16035" spans="8:9">
      <c r="H16035" s="1358"/>
      <c r="I16035" s="1358"/>
    </row>
    <row r="16036" spans="8:9">
      <c r="H16036" s="1358"/>
      <c r="I16036" s="1358"/>
    </row>
    <row r="16037" spans="8:9">
      <c r="H16037" s="1358"/>
      <c r="I16037" s="1358"/>
    </row>
    <row r="16038" spans="8:9">
      <c r="H16038" s="1358"/>
      <c r="I16038" s="1358"/>
    </row>
    <row r="16039" spans="8:9">
      <c r="H16039" s="1358"/>
      <c r="I16039" s="1358"/>
    </row>
    <row r="16040" spans="8:9">
      <c r="H16040" s="1358"/>
      <c r="I16040" s="1358"/>
    </row>
    <row r="16041" spans="8:9">
      <c r="H16041" s="1358"/>
      <c r="I16041" s="1358"/>
    </row>
    <row r="16042" spans="8:9">
      <c r="H16042" s="1358"/>
      <c r="I16042" s="1358"/>
    </row>
    <row r="16043" spans="8:9">
      <c r="H16043" s="1358"/>
      <c r="I16043" s="1358"/>
    </row>
    <row r="16044" spans="8:9">
      <c r="H16044" s="1358"/>
      <c r="I16044" s="1358"/>
    </row>
    <row r="16045" spans="8:9">
      <c r="H16045" s="1358"/>
      <c r="I16045" s="1358"/>
    </row>
    <row r="16046" spans="8:9">
      <c r="H16046" s="1358"/>
      <c r="I16046" s="1358"/>
    </row>
    <row r="16047" spans="8:9">
      <c r="H16047" s="1358"/>
      <c r="I16047" s="1358"/>
    </row>
    <row r="16048" spans="8:9">
      <c r="H16048" s="1358"/>
      <c r="I16048" s="1358"/>
    </row>
    <row r="16049" spans="8:9">
      <c r="H16049" s="1358"/>
      <c r="I16049" s="1358"/>
    </row>
    <row r="16050" spans="8:9">
      <c r="H16050" s="1358"/>
      <c r="I16050" s="1358"/>
    </row>
    <row r="16051" spans="8:9">
      <c r="H16051" s="1358"/>
      <c r="I16051" s="1358"/>
    </row>
    <row r="16052" spans="8:9">
      <c r="H16052" s="1358"/>
      <c r="I16052" s="1358"/>
    </row>
    <row r="16053" spans="8:9">
      <c r="H16053" s="1358"/>
      <c r="I16053" s="1358"/>
    </row>
    <row r="16054" spans="8:9">
      <c r="H16054" s="1358"/>
      <c r="I16054" s="1358"/>
    </row>
    <row r="16055" spans="8:9">
      <c r="H16055" s="1358"/>
      <c r="I16055" s="1358"/>
    </row>
    <row r="16056" spans="8:9">
      <c r="H16056" s="1358"/>
      <c r="I16056" s="1358"/>
    </row>
    <row r="16057" spans="8:9">
      <c r="H16057" s="1358"/>
      <c r="I16057" s="1358"/>
    </row>
    <row r="16058" spans="8:9">
      <c r="H16058" s="1358"/>
      <c r="I16058" s="1358"/>
    </row>
    <row r="16059" spans="8:9">
      <c r="H16059" s="1358"/>
      <c r="I16059" s="1358"/>
    </row>
    <row r="16060" spans="8:9">
      <c r="H16060" s="1358"/>
      <c r="I16060" s="1358"/>
    </row>
    <row r="16061" spans="8:9">
      <c r="H16061" s="1358"/>
      <c r="I16061" s="1358"/>
    </row>
    <row r="16062" spans="8:9">
      <c r="H16062" s="1358"/>
      <c r="I16062" s="1358"/>
    </row>
    <row r="16063" spans="8:9">
      <c r="H16063" s="1358"/>
      <c r="I16063" s="1358"/>
    </row>
    <row r="16064" spans="8:9">
      <c r="H16064" s="1358"/>
      <c r="I16064" s="1358"/>
    </row>
    <row r="16065" spans="8:9">
      <c r="H16065" s="1358"/>
      <c r="I16065" s="1358"/>
    </row>
    <row r="16066" spans="8:9">
      <c r="H16066" s="1358"/>
      <c r="I16066" s="1358"/>
    </row>
    <row r="16067" spans="8:9">
      <c r="H16067" s="1358"/>
      <c r="I16067" s="1358"/>
    </row>
    <row r="16068" spans="8:9">
      <c r="H16068" s="1358"/>
      <c r="I16068" s="1358"/>
    </row>
    <row r="16069" spans="8:9">
      <c r="H16069" s="1358"/>
      <c r="I16069" s="1358"/>
    </row>
    <row r="16070" spans="8:9">
      <c r="H16070" s="1358"/>
      <c r="I16070" s="1358"/>
    </row>
    <row r="16071" spans="8:9">
      <c r="H16071" s="1358"/>
      <c r="I16071" s="1358"/>
    </row>
    <row r="16072" spans="8:9">
      <c r="H16072" s="1358"/>
      <c r="I16072" s="1358"/>
    </row>
    <row r="16073" spans="8:9">
      <c r="H16073" s="1358"/>
      <c r="I16073" s="1358"/>
    </row>
    <row r="16074" spans="8:9">
      <c r="H16074" s="1358"/>
      <c r="I16074" s="1358"/>
    </row>
    <row r="16075" spans="8:9">
      <c r="H16075" s="1358"/>
      <c r="I16075" s="1358"/>
    </row>
    <row r="16076" spans="8:9">
      <c r="H16076" s="1358"/>
      <c r="I16076" s="1358"/>
    </row>
    <row r="16077" spans="8:9">
      <c r="H16077" s="1358"/>
      <c r="I16077" s="1358"/>
    </row>
    <row r="16078" spans="8:9">
      <c r="H16078" s="1358"/>
      <c r="I16078" s="1358"/>
    </row>
    <row r="16079" spans="8:9">
      <c r="H16079" s="1358"/>
      <c r="I16079" s="1358"/>
    </row>
    <row r="16080" spans="8:9">
      <c r="H16080" s="1358"/>
      <c r="I16080" s="1358"/>
    </row>
    <row r="16081" spans="8:9">
      <c r="H16081" s="1358"/>
      <c r="I16081" s="1358"/>
    </row>
    <row r="16082" spans="8:9">
      <c r="H16082" s="1358"/>
      <c r="I16082" s="1358"/>
    </row>
    <row r="16083" spans="8:9">
      <c r="H16083" s="1358"/>
      <c r="I16083" s="1358"/>
    </row>
    <row r="16084" spans="8:9">
      <c r="H16084" s="1358"/>
      <c r="I16084" s="1358"/>
    </row>
    <row r="16085" spans="8:9">
      <c r="H16085" s="1358"/>
      <c r="I16085" s="1358"/>
    </row>
    <row r="16086" spans="8:9">
      <c r="H16086" s="1358"/>
      <c r="I16086" s="1358"/>
    </row>
    <row r="16087" spans="8:9">
      <c r="H16087" s="1358"/>
      <c r="I16087" s="1358"/>
    </row>
    <row r="16088" spans="8:9">
      <c r="H16088" s="1358"/>
      <c r="I16088" s="1358"/>
    </row>
    <row r="16089" spans="8:9">
      <c r="H16089" s="1358"/>
      <c r="I16089" s="1358"/>
    </row>
    <row r="16090" spans="8:9">
      <c r="H16090" s="1358"/>
      <c r="I16090" s="1358"/>
    </row>
    <row r="16091" spans="8:9">
      <c r="H16091" s="1358"/>
      <c r="I16091" s="1358"/>
    </row>
    <row r="16092" spans="8:9">
      <c r="H16092" s="1358"/>
      <c r="I16092" s="1358"/>
    </row>
    <row r="16093" spans="8:9">
      <c r="H16093" s="1358"/>
      <c r="I16093" s="1358"/>
    </row>
    <row r="16094" spans="8:9">
      <c r="H16094" s="1358"/>
      <c r="I16094" s="1358"/>
    </row>
    <row r="16095" spans="8:9">
      <c r="H16095" s="1358"/>
      <c r="I16095" s="1358"/>
    </row>
    <row r="16096" spans="8:9">
      <c r="H16096" s="1358"/>
      <c r="I16096" s="1358"/>
    </row>
    <row r="16097" spans="8:9">
      <c r="H16097" s="1358"/>
      <c r="I16097" s="1358"/>
    </row>
    <row r="16098" spans="8:9">
      <c r="H16098" s="1358"/>
      <c r="I16098" s="1358"/>
    </row>
    <row r="16099" spans="8:9">
      <c r="H16099" s="1358"/>
      <c r="I16099" s="1358"/>
    </row>
    <row r="16100" spans="8:9">
      <c r="H16100" s="1358"/>
      <c r="I16100" s="1358"/>
    </row>
    <row r="16101" spans="8:9">
      <c r="H16101" s="1358"/>
      <c r="I16101" s="1358"/>
    </row>
    <row r="16102" spans="8:9">
      <c r="H16102" s="1358"/>
      <c r="I16102" s="1358"/>
    </row>
    <row r="16103" spans="8:9">
      <c r="H16103" s="1358"/>
      <c r="I16103" s="1358"/>
    </row>
    <row r="16104" spans="8:9">
      <c r="H16104" s="1358"/>
      <c r="I16104" s="1358"/>
    </row>
    <row r="16105" spans="8:9">
      <c r="H16105" s="1358"/>
      <c r="I16105" s="1358"/>
    </row>
    <row r="16106" spans="8:9">
      <c r="H16106" s="1358"/>
      <c r="I16106" s="1358"/>
    </row>
    <row r="16107" spans="8:9">
      <c r="H16107" s="1358"/>
      <c r="I16107" s="1358"/>
    </row>
    <row r="16108" spans="8:9">
      <c r="H16108" s="1358"/>
      <c r="I16108" s="1358"/>
    </row>
    <row r="16109" spans="8:9">
      <c r="H16109" s="1358"/>
      <c r="I16109" s="1358"/>
    </row>
    <row r="16110" spans="8:9">
      <c r="H16110" s="1358"/>
      <c r="I16110" s="1358"/>
    </row>
    <row r="16111" spans="8:9">
      <c r="H16111" s="1358"/>
      <c r="I16111" s="1358"/>
    </row>
    <row r="16112" spans="8:9">
      <c r="H16112" s="1358"/>
      <c r="I16112" s="1358"/>
    </row>
    <row r="16113" spans="8:9">
      <c r="H16113" s="1358"/>
      <c r="I16113" s="1358"/>
    </row>
    <row r="16114" spans="8:9">
      <c r="H16114" s="1358"/>
      <c r="I16114" s="1358"/>
    </row>
    <row r="16115" spans="8:9">
      <c r="H16115" s="1358"/>
      <c r="I16115" s="1358"/>
    </row>
    <row r="16116" spans="8:9">
      <c r="H16116" s="1358"/>
      <c r="I16116" s="1358"/>
    </row>
    <row r="16117" spans="8:9">
      <c r="H16117" s="1358"/>
      <c r="I16117" s="1358"/>
    </row>
    <row r="16118" spans="8:9">
      <c r="H16118" s="1358"/>
      <c r="I16118" s="1358"/>
    </row>
    <row r="16119" spans="8:9">
      <c r="H16119" s="1358"/>
      <c r="I16119" s="1358"/>
    </row>
    <row r="16120" spans="8:9">
      <c r="H16120" s="1358"/>
      <c r="I16120" s="1358"/>
    </row>
    <row r="16121" spans="8:9">
      <c r="H16121" s="1358"/>
      <c r="I16121" s="1358"/>
    </row>
    <row r="16122" spans="8:9">
      <c r="H16122" s="1358"/>
      <c r="I16122" s="1358"/>
    </row>
    <row r="16123" spans="8:9">
      <c r="H16123" s="1358"/>
      <c r="I16123" s="1358"/>
    </row>
    <row r="16124" spans="8:9">
      <c r="H16124" s="1358"/>
      <c r="I16124" s="1358"/>
    </row>
    <row r="16125" spans="8:9">
      <c r="H16125" s="1358"/>
      <c r="I16125" s="1358"/>
    </row>
    <row r="16126" spans="8:9">
      <c r="H16126" s="1358"/>
      <c r="I16126" s="1358"/>
    </row>
    <row r="16127" spans="8:9">
      <c r="H16127" s="1358"/>
      <c r="I16127" s="1358"/>
    </row>
    <row r="16128" spans="8:9">
      <c r="H16128" s="1358"/>
      <c r="I16128" s="1358"/>
    </row>
    <row r="16129" spans="8:9">
      <c r="H16129" s="1358"/>
      <c r="I16129" s="1358"/>
    </row>
    <row r="16130" spans="8:9">
      <c r="H16130" s="1358"/>
      <c r="I16130" s="1358"/>
    </row>
    <row r="16131" spans="8:9">
      <c r="H16131" s="1358"/>
      <c r="I16131" s="1358"/>
    </row>
    <row r="16132" spans="8:9">
      <c r="H16132" s="1358"/>
      <c r="I16132" s="1358"/>
    </row>
    <row r="16133" spans="8:9">
      <c r="H16133" s="1358"/>
      <c r="I16133" s="1358"/>
    </row>
    <row r="16134" spans="8:9">
      <c r="H16134" s="1358"/>
      <c r="I16134" s="1358"/>
    </row>
    <row r="16135" spans="8:9">
      <c r="H16135" s="1358"/>
      <c r="I16135" s="1358"/>
    </row>
    <row r="16136" spans="8:9">
      <c r="H16136" s="1358"/>
      <c r="I16136" s="1358"/>
    </row>
    <row r="16137" spans="8:9">
      <c r="H16137" s="1358"/>
      <c r="I16137" s="1358"/>
    </row>
    <row r="16138" spans="8:9">
      <c r="H16138" s="1358"/>
      <c r="I16138" s="1358"/>
    </row>
    <row r="16139" spans="8:9">
      <c r="H16139" s="1358"/>
      <c r="I16139" s="1358"/>
    </row>
    <row r="16140" spans="8:9">
      <c r="H16140" s="1358"/>
      <c r="I16140" s="1358"/>
    </row>
    <row r="16141" spans="8:9">
      <c r="H16141" s="1358"/>
      <c r="I16141" s="1358"/>
    </row>
    <row r="16142" spans="8:9">
      <c r="H16142" s="1358"/>
      <c r="I16142" s="1358"/>
    </row>
    <row r="16143" spans="8:9">
      <c r="H16143" s="1358"/>
      <c r="I16143" s="1358"/>
    </row>
    <row r="16144" spans="8:9">
      <c r="H16144" s="1358"/>
      <c r="I16144" s="1358"/>
    </row>
    <row r="16145" spans="8:9">
      <c r="H16145" s="1358"/>
      <c r="I16145" s="1358"/>
    </row>
    <row r="16146" spans="8:9">
      <c r="H16146" s="1358"/>
      <c r="I16146" s="1358"/>
    </row>
    <row r="16147" spans="8:9">
      <c r="H16147" s="1358"/>
      <c r="I16147" s="1358"/>
    </row>
    <row r="16148" spans="8:9">
      <c r="H16148" s="1358"/>
      <c r="I16148" s="1358"/>
    </row>
    <row r="16149" spans="8:9">
      <c r="H16149" s="1358"/>
      <c r="I16149" s="1358"/>
    </row>
    <row r="16150" spans="8:9">
      <c r="H16150" s="1358"/>
      <c r="I16150" s="1358"/>
    </row>
    <row r="16151" spans="8:9">
      <c r="H16151" s="1358"/>
      <c r="I16151" s="1358"/>
    </row>
    <row r="16152" spans="8:9">
      <c r="H16152" s="1358"/>
      <c r="I16152" s="1358"/>
    </row>
    <row r="16153" spans="8:9">
      <c r="H16153" s="1358"/>
      <c r="I16153" s="1358"/>
    </row>
    <row r="16154" spans="8:9">
      <c r="H16154" s="1358"/>
      <c r="I16154" s="1358"/>
    </row>
    <row r="16155" spans="8:9">
      <c r="H16155" s="1358"/>
      <c r="I16155" s="1358"/>
    </row>
    <row r="16156" spans="8:9">
      <c r="H16156" s="1358"/>
      <c r="I16156" s="1358"/>
    </row>
    <row r="16157" spans="8:9">
      <c r="H16157" s="1358"/>
      <c r="I16157" s="1358"/>
    </row>
    <row r="16158" spans="8:9">
      <c r="H16158" s="1358"/>
      <c r="I16158" s="1358"/>
    </row>
    <row r="16159" spans="8:9">
      <c r="H16159" s="1358"/>
      <c r="I16159" s="1358"/>
    </row>
    <row r="16160" spans="8:9">
      <c r="H16160" s="1358"/>
      <c r="I16160" s="1358"/>
    </row>
    <row r="16161" spans="8:9">
      <c r="H16161" s="1358"/>
      <c r="I16161" s="1358"/>
    </row>
    <row r="16162" spans="8:9">
      <c r="H16162" s="1358"/>
      <c r="I16162" s="1358"/>
    </row>
    <row r="16163" spans="8:9">
      <c r="H16163" s="1358"/>
      <c r="I16163" s="1358"/>
    </row>
    <row r="16164" spans="8:9">
      <c r="H16164" s="1358"/>
      <c r="I16164" s="1358"/>
    </row>
    <row r="16165" spans="8:9">
      <c r="H16165" s="1358"/>
      <c r="I16165" s="1358"/>
    </row>
    <row r="16166" spans="8:9">
      <c r="H16166" s="1358"/>
      <c r="I16166" s="1358"/>
    </row>
    <row r="16167" spans="8:9">
      <c r="H16167" s="1358"/>
      <c r="I16167" s="1358"/>
    </row>
    <row r="16168" spans="8:9">
      <c r="H16168" s="1358"/>
      <c r="I16168" s="1358"/>
    </row>
    <row r="16169" spans="8:9">
      <c r="H16169" s="1358"/>
      <c r="I16169" s="1358"/>
    </row>
    <row r="16170" spans="8:9">
      <c r="H16170" s="1358"/>
      <c r="I16170" s="1358"/>
    </row>
    <row r="16171" spans="8:9">
      <c r="H16171" s="1358"/>
      <c r="I16171" s="1358"/>
    </row>
    <row r="16172" spans="8:9">
      <c r="H16172" s="1358"/>
      <c r="I16172" s="1358"/>
    </row>
    <row r="16173" spans="8:9">
      <c r="H16173" s="1358"/>
      <c r="I16173" s="1358"/>
    </row>
    <row r="16174" spans="8:9">
      <c r="H16174" s="1358"/>
      <c r="I16174" s="1358"/>
    </row>
    <row r="16175" spans="8:9">
      <c r="H16175" s="1358"/>
      <c r="I16175" s="1358"/>
    </row>
    <row r="16176" spans="8:9">
      <c r="H16176" s="1358"/>
      <c r="I16176" s="1358"/>
    </row>
    <row r="16177" spans="8:9">
      <c r="H16177" s="1358"/>
      <c r="I16177" s="1358"/>
    </row>
    <row r="16178" spans="8:9">
      <c r="H16178" s="1358"/>
      <c r="I16178" s="1358"/>
    </row>
    <row r="16179" spans="8:9">
      <c r="H16179" s="1358"/>
      <c r="I16179" s="1358"/>
    </row>
    <row r="16180" spans="8:9">
      <c r="H16180" s="1358"/>
      <c r="I16180" s="1358"/>
    </row>
    <row r="16181" spans="8:9">
      <c r="H16181" s="1358"/>
      <c r="I16181" s="1358"/>
    </row>
    <row r="16182" spans="8:9">
      <c r="H16182" s="1358"/>
      <c r="I16182" s="1358"/>
    </row>
    <row r="16183" spans="8:9">
      <c r="H16183" s="1358"/>
      <c r="I16183" s="1358"/>
    </row>
    <row r="16184" spans="8:9">
      <c r="H16184" s="1358"/>
      <c r="I16184" s="1358"/>
    </row>
    <row r="16185" spans="8:9">
      <c r="H16185" s="1358"/>
      <c r="I16185" s="1358"/>
    </row>
    <row r="16186" spans="8:9">
      <c r="H16186" s="1358"/>
      <c r="I16186" s="1358"/>
    </row>
    <row r="16187" spans="8:9">
      <c r="H16187" s="1358"/>
      <c r="I16187" s="1358"/>
    </row>
    <row r="16188" spans="8:9">
      <c r="H16188" s="1358"/>
      <c r="I16188" s="1358"/>
    </row>
    <row r="16189" spans="8:9">
      <c r="H16189" s="1358"/>
      <c r="I16189" s="1358"/>
    </row>
    <row r="16190" spans="8:9">
      <c r="H16190" s="1358"/>
      <c r="I16190" s="1358"/>
    </row>
    <row r="16191" spans="8:9">
      <c r="H16191" s="1358"/>
      <c r="I16191" s="1358"/>
    </row>
    <row r="16192" spans="8:9">
      <c r="H16192" s="1358"/>
      <c r="I16192" s="1358"/>
    </row>
    <row r="16193" spans="8:9">
      <c r="H16193" s="1358"/>
      <c r="I16193" s="1358"/>
    </row>
    <row r="16194" spans="8:9">
      <c r="H16194" s="1358"/>
      <c r="I16194" s="1358"/>
    </row>
    <row r="16195" spans="8:9">
      <c r="H16195" s="1358"/>
      <c r="I16195" s="1358"/>
    </row>
    <row r="16196" spans="8:9">
      <c r="H16196" s="1358"/>
      <c r="I16196" s="1358"/>
    </row>
    <row r="16197" spans="8:9">
      <c r="H16197" s="1358"/>
      <c r="I16197" s="1358"/>
    </row>
    <row r="16198" spans="8:9">
      <c r="H16198" s="1358"/>
      <c r="I16198" s="1358"/>
    </row>
    <row r="16199" spans="8:9">
      <c r="H16199" s="1358"/>
      <c r="I16199" s="1358"/>
    </row>
    <row r="16200" spans="8:9">
      <c r="H16200" s="1358"/>
      <c r="I16200" s="1358"/>
    </row>
    <row r="16201" spans="8:9">
      <c r="H16201" s="1358"/>
      <c r="I16201" s="1358"/>
    </row>
    <row r="16202" spans="8:9">
      <c r="H16202" s="1358"/>
      <c r="I16202" s="1358"/>
    </row>
    <row r="16203" spans="8:9">
      <c r="H16203" s="1358"/>
      <c r="I16203" s="1358"/>
    </row>
    <row r="16204" spans="8:9">
      <c r="H16204" s="1358"/>
      <c r="I16204" s="1358"/>
    </row>
    <row r="16205" spans="8:9">
      <c r="H16205" s="1358"/>
      <c r="I16205" s="1358"/>
    </row>
    <row r="16206" spans="8:9">
      <c r="H16206" s="1358"/>
      <c r="I16206" s="1358"/>
    </row>
    <row r="16207" spans="8:9">
      <c r="H16207" s="1358"/>
      <c r="I16207" s="1358"/>
    </row>
    <row r="16208" spans="8:9">
      <c r="H16208" s="1358"/>
      <c r="I16208" s="1358"/>
    </row>
    <row r="16209" spans="8:9">
      <c r="H16209" s="1358"/>
      <c r="I16209" s="1358"/>
    </row>
    <row r="16210" spans="8:9">
      <c r="H16210" s="1358"/>
      <c r="I16210" s="1358"/>
    </row>
    <row r="16211" spans="8:9">
      <c r="H16211" s="1358"/>
      <c r="I16211" s="1358"/>
    </row>
    <row r="16212" spans="8:9">
      <c r="H16212" s="1358"/>
      <c r="I16212" s="1358"/>
    </row>
    <row r="16213" spans="8:9">
      <c r="H16213" s="1358"/>
      <c r="I16213" s="1358"/>
    </row>
    <row r="16214" spans="8:9">
      <c r="H16214" s="1358"/>
      <c r="I16214" s="1358"/>
    </row>
    <row r="16215" spans="8:9">
      <c r="H16215" s="1358"/>
      <c r="I16215" s="1358"/>
    </row>
    <row r="16216" spans="8:9">
      <c r="H16216" s="1358"/>
      <c r="I16216" s="1358"/>
    </row>
    <row r="16217" spans="8:9">
      <c r="H16217" s="1358"/>
      <c r="I16217" s="1358"/>
    </row>
    <row r="16218" spans="8:9">
      <c r="H16218" s="1358"/>
      <c r="I16218" s="1358"/>
    </row>
    <row r="16219" spans="8:9">
      <c r="H16219" s="1358"/>
      <c r="I16219" s="1358"/>
    </row>
    <row r="16220" spans="8:9">
      <c r="H16220" s="1358"/>
      <c r="I16220" s="1358"/>
    </row>
    <row r="16221" spans="8:9">
      <c r="H16221" s="1358"/>
      <c r="I16221" s="1358"/>
    </row>
    <row r="16222" spans="8:9">
      <c r="H16222" s="1358"/>
      <c r="I16222" s="1358"/>
    </row>
    <row r="16223" spans="8:9">
      <c r="H16223" s="1358"/>
      <c r="I16223" s="1358"/>
    </row>
    <row r="16224" spans="8:9">
      <c r="H16224" s="1358"/>
      <c r="I16224" s="1358"/>
    </row>
    <row r="16225" spans="8:9">
      <c r="H16225" s="1358"/>
      <c r="I16225" s="1358"/>
    </row>
    <row r="16226" spans="8:9">
      <c r="H16226" s="1358"/>
      <c r="I16226" s="1358"/>
    </row>
    <row r="16227" spans="8:9">
      <c r="H16227" s="1358"/>
      <c r="I16227" s="1358"/>
    </row>
    <row r="16228" spans="8:9">
      <c r="H16228" s="1358"/>
      <c r="I16228" s="1358"/>
    </row>
    <row r="16229" spans="8:9">
      <c r="H16229" s="1358"/>
      <c r="I16229" s="1358"/>
    </row>
    <row r="16230" spans="8:9">
      <c r="H16230" s="1358"/>
      <c r="I16230" s="1358"/>
    </row>
    <row r="16231" spans="8:9">
      <c r="H16231" s="1358"/>
      <c r="I16231" s="1358"/>
    </row>
    <row r="16232" spans="8:9">
      <c r="H16232" s="1358"/>
      <c r="I16232" s="1358"/>
    </row>
    <row r="16233" spans="8:9">
      <c r="H16233" s="1358"/>
      <c r="I16233" s="1358"/>
    </row>
    <row r="16234" spans="8:9">
      <c r="H16234" s="1358"/>
      <c r="I16234" s="1358"/>
    </row>
    <row r="16235" spans="8:9">
      <c r="H16235" s="1358"/>
      <c r="I16235" s="1358"/>
    </row>
    <row r="16236" spans="8:9">
      <c r="H16236" s="1358"/>
      <c r="I16236" s="1358"/>
    </row>
    <row r="16237" spans="8:9">
      <c r="H16237" s="1358"/>
      <c r="I16237" s="1358"/>
    </row>
    <row r="16238" spans="8:9">
      <c r="H16238" s="1358"/>
      <c r="I16238" s="1358"/>
    </row>
    <row r="16239" spans="8:9">
      <c r="H16239" s="1358"/>
      <c r="I16239" s="1358"/>
    </row>
    <row r="16240" spans="8:9">
      <c r="H16240" s="1358"/>
      <c r="I16240" s="1358"/>
    </row>
    <row r="16241" spans="8:9">
      <c r="H16241" s="1358"/>
      <c r="I16241" s="1358"/>
    </row>
    <row r="16242" spans="8:9">
      <c r="H16242" s="1358"/>
      <c r="I16242" s="1358"/>
    </row>
    <row r="16243" spans="8:9">
      <c r="H16243" s="1358"/>
      <c r="I16243" s="1358"/>
    </row>
    <row r="16244" spans="8:9">
      <c r="H16244" s="1358"/>
      <c r="I16244" s="1358"/>
    </row>
    <row r="16245" spans="8:9">
      <c r="H16245" s="1358"/>
      <c r="I16245" s="1358"/>
    </row>
    <row r="16246" spans="8:9">
      <c r="H16246" s="1358"/>
      <c r="I16246" s="1358"/>
    </row>
    <row r="16247" spans="8:9">
      <c r="H16247" s="1358"/>
      <c r="I16247" s="1358"/>
    </row>
    <row r="16248" spans="8:9">
      <c r="H16248" s="1358"/>
      <c r="I16248" s="1358"/>
    </row>
    <row r="16249" spans="8:9">
      <c r="H16249" s="1358"/>
      <c r="I16249" s="1358"/>
    </row>
    <row r="16250" spans="8:9">
      <c r="H16250" s="1358"/>
      <c r="I16250" s="1358"/>
    </row>
    <row r="16251" spans="8:9">
      <c r="H16251" s="1358"/>
      <c r="I16251" s="1358"/>
    </row>
    <row r="16252" spans="8:9">
      <c r="H16252" s="1358"/>
      <c r="I16252" s="1358"/>
    </row>
    <row r="16253" spans="8:9">
      <c r="H16253" s="1358"/>
      <c r="I16253" s="1358"/>
    </row>
    <row r="16254" spans="8:9">
      <c r="H16254" s="1358"/>
      <c r="I16254" s="1358"/>
    </row>
    <row r="16255" spans="8:9">
      <c r="H16255" s="1358"/>
      <c r="I16255" s="1358"/>
    </row>
    <row r="16256" spans="8:9">
      <c r="H16256" s="1358"/>
      <c r="I16256" s="1358"/>
    </row>
    <row r="16257" spans="8:9">
      <c r="H16257" s="1358"/>
      <c r="I16257" s="1358"/>
    </row>
    <row r="16258" spans="8:9">
      <c r="H16258" s="1358"/>
      <c r="I16258" s="1358"/>
    </row>
    <row r="16259" spans="8:9">
      <c r="H16259" s="1358"/>
      <c r="I16259" s="1358"/>
    </row>
    <row r="16260" spans="8:9">
      <c r="H16260" s="1358"/>
      <c r="I16260" s="1358"/>
    </row>
    <row r="16261" spans="8:9">
      <c r="H16261" s="1358"/>
      <c r="I16261" s="1358"/>
    </row>
    <row r="16262" spans="8:9">
      <c r="H16262" s="1358"/>
      <c r="I16262" s="1358"/>
    </row>
    <row r="16263" spans="8:9">
      <c r="H16263" s="1358"/>
      <c r="I16263" s="1358"/>
    </row>
    <row r="16264" spans="8:9">
      <c r="H16264" s="1358"/>
      <c r="I16264" s="1358"/>
    </row>
    <row r="16265" spans="8:9">
      <c r="H16265" s="1358"/>
      <c r="I16265" s="1358"/>
    </row>
    <row r="16266" spans="8:9">
      <c r="H16266" s="1358"/>
      <c r="I16266" s="1358"/>
    </row>
    <row r="16267" spans="8:9">
      <c r="H16267" s="1358"/>
      <c r="I16267" s="1358"/>
    </row>
    <row r="16268" spans="8:9">
      <c r="H16268" s="1358"/>
      <c r="I16268" s="1358"/>
    </row>
    <row r="16269" spans="8:9">
      <c r="H16269" s="1358"/>
      <c r="I16269" s="1358"/>
    </row>
    <row r="16270" spans="8:9">
      <c r="H16270" s="1358"/>
      <c r="I16270" s="1358"/>
    </row>
    <row r="16271" spans="8:9">
      <c r="H16271" s="1358"/>
      <c r="I16271" s="1358"/>
    </row>
    <row r="16272" spans="8:9">
      <c r="H16272" s="1358"/>
      <c r="I16272" s="1358"/>
    </row>
    <row r="16273" spans="8:9">
      <c r="H16273" s="1358"/>
      <c r="I16273" s="1358"/>
    </row>
    <row r="16274" spans="8:9">
      <c r="H16274" s="1358"/>
      <c r="I16274" s="1358"/>
    </row>
    <row r="16275" spans="8:9">
      <c r="H16275" s="1358"/>
      <c r="I16275" s="1358"/>
    </row>
    <row r="16276" spans="8:9">
      <c r="H16276" s="1358"/>
      <c r="I16276" s="1358"/>
    </row>
    <row r="16277" spans="8:9">
      <c r="H16277" s="1358"/>
      <c r="I16277" s="1358"/>
    </row>
    <row r="16278" spans="8:9">
      <c r="H16278" s="1358"/>
      <c r="I16278" s="1358"/>
    </row>
    <row r="16279" spans="8:9">
      <c r="H16279" s="1358"/>
      <c r="I16279" s="1358"/>
    </row>
    <row r="16280" spans="8:9">
      <c r="H16280" s="1358"/>
      <c r="I16280" s="1358"/>
    </row>
    <row r="16281" spans="8:9">
      <c r="H16281" s="1358"/>
      <c r="I16281" s="1358"/>
    </row>
    <row r="16282" spans="8:9">
      <c r="H16282" s="1358"/>
      <c r="I16282" s="1358"/>
    </row>
    <row r="16283" spans="8:9">
      <c r="H16283" s="1358"/>
      <c r="I16283" s="1358"/>
    </row>
    <row r="16284" spans="8:9">
      <c r="H16284" s="1358"/>
      <c r="I16284" s="1358"/>
    </row>
    <row r="16285" spans="8:9">
      <c r="H16285" s="1358"/>
      <c r="I16285" s="1358"/>
    </row>
    <row r="16286" spans="8:9">
      <c r="H16286" s="1358"/>
      <c r="I16286" s="1358"/>
    </row>
    <row r="16287" spans="8:9">
      <c r="H16287" s="1358"/>
      <c r="I16287" s="1358"/>
    </row>
    <row r="16288" spans="8:9">
      <c r="H16288" s="1358"/>
      <c r="I16288" s="1358"/>
    </row>
    <row r="16289" spans="8:9">
      <c r="H16289" s="1358"/>
      <c r="I16289" s="1358"/>
    </row>
    <row r="16290" spans="8:9">
      <c r="H16290" s="1358"/>
      <c r="I16290" s="1358"/>
    </row>
    <row r="16291" spans="8:9">
      <c r="H16291" s="1358"/>
      <c r="I16291" s="1358"/>
    </row>
    <row r="16292" spans="8:9">
      <c r="H16292" s="1358"/>
      <c r="I16292" s="1358"/>
    </row>
    <row r="16293" spans="8:9">
      <c r="H16293" s="1358"/>
      <c r="I16293" s="1358"/>
    </row>
    <row r="16294" spans="8:9">
      <c r="H16294" s="1358"/>
      <c r="I16294" s="1358"/>
    </row>
    <row r="16295" spans="8:9">
      <c r="H16295" s="1358"/>
      <c r="I16295" s="1358"/>
    </row>
    <row r="16296" spans="8:9">
      <c r="H16296" s="1358"/>
      <c r="I16296" s="1358"/>
    </row>
    <row r="16297" spans="8:9">
      <c r="H16297" s="1358"/>
      <c r="I16297" s="1358"/>
    </row>
    <row r="16298" spans="8:9">
      <c r="H16298" s="1358"/>
      <c r="I16298" s="1358"/>
    </row>
    <row r="16299" spans="8:9">
      <c r="H16299" s="1358"/>
      <c r="I16299" s="1358"/>
    </row>
    <row r="16300" spans="8:9">
      <c r="H16300" s="1358"/>
      <c r="I16300" s="1358"/>
    </row>
    <row r="16301" spans="8:9">
      <c r="H16301" s="1358"/>
      <c r="I16301" s="1358"/>
    </row>
    <row r="16302" spans="8:9">
      <c r="H16302" s="1358"/>
      <c r="I16302" s="1358"/>
    </row>
    <row r="16303" spans="8:9">
      <c r="H16303" s="1358"/>
      <c r="I16303" s="1358"/>
    </row>
    <row r="16304" spans="8:9">
      <c r="H16304" s="1358"/>
      <c r="I16304" s="1358"/>
    </row>
    <row r="16305" spans="8:9">
      <c r="H16305" s="1358"/>
      <c r="I16305" s="1358"/>
    </row>
    <row r="16306" spans="8:9">
      <c r="H16306" s="1358"/>
      <c r="I16306" s="1358"/>
    </row>
    <row r="16307" spans="8:9">
      <c r="H16307" s="1358"/>
      <c r="I16307" s="1358"/>
    </row>
    <row r="16308" spans="8:9">
      <c r="H16308" s="1358"/>
      <c r="I16308" s="1358"/>
    </row>
    <row r="16309" spans="8:9">
      <c r="H16309" s="1358"/>
      <c r="I16309" s="1358"/>
    </row>
    <row r="16310" spans="8:9">
      <c r="H16310" s="1358"/>
      <c r="I16310" s="1358"/>
    </row>
    <row r="16311" spans="8:9">
      <c r="H16311" s="1358"/>
      <c r="I16311" s="1358"/>
    </row>
    <row r="16312" spans="8:9">
      <c r="H16312" s="1358"/>
      <c r="I16312" s="1358"/>
    </row>
    <row r="16313" spans="8:9">
      <c r="H16313" s="1358"/>
      <c r="I16313" s="1358"/>
    </row>
    <row r="16314" spans="8:9">
      <c r="H16314" s="1358"/>
      <c r="I16314" s="1358"/>
    </row>
    <row r="16315" spans="8:9">
      <c r="H16315" s="1358"/>
      <c r="I16315" s="1358"/>
    </row>
    <row r="16316" spans="8:9">
      <c r="H16316" s="1358"/>
      <c r="I16316" s="1358"/>
    </row>
    <row r="16317" spans="8:9">
      <c r="H16317" s="1358"/>
      <c r="I16317" s="1358"/>
    </row>
    <row r="16318" spans="8:9">
      <c r="H16318" s="1358"/>
      <c r="I16318" s="1358"/>
    </row>
    <row r="16319" spans="8:9">
      <c r="H16319" s="1358"/>
      <c r="I16319" s="1358"/>
    </row>
    <row r="16320" spans="8:9">
      <c r="H16320" s="1358"/>
      <c r="I16320" s="1358"/>
    </row>
    <row r="16321" spans="8:9">
      <c r="H16321" s="1358"/>
      <c r="I16321" s="1358"/>
    </row>
    <row r="16322" spans="8:9">
      <c r="H16322" s="1358"/>
      <c r="I16322" s="1358"/>
    </row>
    <row r="16323" spans="8:9">
      <c r="H16323" s="1358"/>
      <c r="I16323" s="1358"/>
    </row>
    <row r="16324" spans="8:9">
      <c r="H16324" s="1358"/>
      <c r="I16324" s="1358"/>
    </row>
    <row r="16325" spans="8:9">
      <c r="H16325" s="1358"/>
      <c r="I16325" s="1358"/>
    </row>
    <row r="16326" spans="8:9">
      <c r="H16326" s="1358"/>
      <c r="I16326" s="1358"/>
    </row>
    <row r="16327" spans="8:9">
      <c r="H16327" s="1358"/>
      <c r="I16327" s="1358"/>
    </row>
    <row r="16328" spans="8:9">
      <c r="H16328" s="1358"/>
      <c r="I16328" s="1358"/>
    </row>
    <row r="16329" spans="8:9">
      <c r="H16329" s="1358"/>
      <c r="I16329" s="1358"/>
    </row>
    <row r="16330" spans="8:9">
      <c r="H16330" s="1358"/>
      <c r="I16330" s="1358"/>
    </row>
    <row r="16331" spans="8:9">
      <c r="H16331" s="1358"/>
      <c r="I16331" s="1358"/>
    </row>
    <row r="16332" spans="8:9">
      <c r="H16332" s="1358"/>
      <c r="I16332" s="1358"/>
    </row>
    <row r="16333" spans="8:9">
      <c r="H16333" s="1358"/>
      <c r="I16333" s="1358"/>
    </row>
    <row r="16334" spans="8:9">
      <c r="H16334" s="1358"/>
      <c r="I16334" s="1358"/>
    </row>
    <row r="16335" spans="8:9">
      <c r="H16335" s="1358"/>
      <c r="I16335" s="1358"/>
    </row>
    <row r="16336" spans="8:9">
      <c r="H16336" s="1358"/>
      <c r="I16336" s="1358"/>
    </row>
    <row r="16337" spans="8:9">
      <c r="H16337" s="1358"/>
      <c r="I16337" s="1358"/>
    </row>
    <row r="16338" spans="8:9">
      <c r="H16338" s="1358"/>
      <c r="I16338" s="1358"/>
    </row>
    <row r="16339" spans="8:9">
      <c r="H16339" s="1358"/>
      <c r="I16339" s="1358"/>
    </row>
    <row r="16340" spans="8:9">
      <c r="H16340" s="1358"/>
      <c r="I16340" s="1358"/>
    </row>
    <row r="16341" spans="8:9">
      <c r="H16341" s="1358"/>
      <c r="I16341" s="1358"/>
    </row>
    <row r="16342" spans="8:9">
      <c r="H16342" s="1358"/>
      <c r="I16342" s="1358"/>
    </row>
    <row r="16343" spans="8:9">
      <c r="H16343" s="1358"/>
      <c r="I16343" s="1358"/>
    </row>
    <row r="16344" spans="8:9">
      <c r="H16344" s="1358"/>
      <c r="I16344" s="1358"/>
    </row>
    <row r="16345" spans="8:9">
      <c r="H16345" s="1358"/>
      <c r="I16345" s="1358"/>
    </row>
    <row r="16346" spans="8:9">
      <c r="H16346" s="1358"/>
      <c r="I16346" s="1358"/>
    </row>
    <row r="16347" spans="8:9">
      <c r="H16347" s="1358"/>
      <c r="I16347" s="1358"/>
    </row>
    <row r="16348" spans="8:9">
      <c r="H16348" s="1358"/>
      <c r="I16348" s="1358"/>
    </row>
    <row r="16349" spans="8:9">
      <c r="H16349" s="1358"/>
      <c r="I16349" s="1358"/>
    </row>
    <row r="16350" spans="8:9">
      <c r="H16350" s="1358"/>
      <c r="I16350" s="1358"/>
    </row>
    <row r="16351" spans="8:9">
      <c r="H16351" s="1358"/>
      <c r="I16351" s="1358"/>
    </row>
    <row r="16352" spans="8:9">
      <c r="H16352" s="1358"/>
      <c r="I16352" s="1358"/>
    </row>
    <row r="16353" spans="8:9">
      <c r="H16353" s="1358"/>
      <c r="I16353" s="1358"/>
    </row>
    <row r="16354" spans="8:9">
      <c r="H16354" s="1358"/>
      <c r="I16354" s="1358"/>
    </row>
    <row r="16355" spans="8:9">
      <c r="H16355" s="1358"/>
      <c r="I16355" s="1358"/>
    </row>
    <row r="16356" spans="8:9">
      <c r="H16356" s="1358"/>
      <c r="I16356" s="1358"/>
    </row>
    <row r="16357" spans="8:9">
      <c r="H16357" s="1358"/>
      <c r="I16357" s="1358"/>
    </row>
    <row r="16358" spans="8:9">
      <c r="H16358" s="1358"/>
      <c r="I16358" s="1358"/>
    </row>
    <row r="16359" spans="8:9">
      <c r="H16359" s="1358"/>
      <c r="I16359" s="1358"/>
    </row>
    <row r="16360" spans="8:9">
      <c r="H16360" s="1358"/>
      <c r="I16360" s="1358"/>
    </row>
    <row r="16361" spans="8:9">
      <c r="H16361" s="1358"/>
      <c r="I16361" s="1358"/>
    </row>
    <row r="16362" spans="8:9">
      <c r="H16362" s="1358"/>
      <c r="I16362" s="1358"/>
    </row>
    <row r="16363" spans="8:9">
      <c r="H16363" s="1358"/>
      <c r="I16363" s="1358"/>
    </row>
    <row r="16364" spans="8:9">
      <c r="H16364" s="1358"/>
      <c r="I16364" s="1358"/>
    </row>
    <row r="16365" spans="8:9">
      <c r="H16365" s="1358"/>
      <c r="I16365" s="1358"/>
    </row>
    <row r="16366" spans="8:9">
      <c r="H16366" s="1358"/>
      <c r="I16366" s="1358"/>
    </row>
    <row r="16367" spans="8:9">
      <c r="H16367" s="1358"/>
      <c r="I16367" s="1358"/>
    </row>
    <row r="16368" spans="8:9">
      <c r="H16368" s="1358"/>
      <c r="I16368" s="1358"/>
    </row>
    <row r="16369" spans="8:9">
      <c r="H16369" s="1358"/>
      <c r="I16369" s="1358"/>
    </row>
    <row r="16370" spans="8:9">
      <c r="H16370" s="1358"/>
      <c r="I16370" s="1358"/>
    </row>
    <row r="16371" spans="8:9">
      <c r="H16371" s="1358"/>
      <c r="I16371" s="1358"/>
    </row>
    <row r="16372" spans="8:9">
      <c r="H16372" s="1358"/>
      <c r="I16372" s="1358"/>
    </row>
    <row r="16373" spans="8:9">
      <c r="H16373" s="1358"/>
      <c r="I16373" s="1358"/>
    </row>
    <row r="16374" spans="8:9">
      <c r="H16374" s="1358"/>
      <c r="I16374" s="1358"/>
    </row>
    <row r="16375" spans="8:9">
      <c r="H16375" s="1358"/>
      <c r="I16375" s="1358"/>
    </row>
    <row r="16376" spans="8:9">
      <c r="H16376" s="1358"/>
      <c r="I16376" s="1358"/>
    </row>
    <row r="16377" spans="8:9">
      <c r="H16377" s="1358"/>
      <c r="I16377" s="1358"/>
    </row>
    <row r="16378" spans="8:9">
      <c r="H16378" s="1358"/>
      <c r="I16378" s="1358"/>
    </row>
    <row r="16379" spans="8:9">
      <c r="H16379" s="1358"/>
      <c r="I16379" s="1358"/>
    </row>
    <row r="16380" spans="8:9">
      <c r="H16380" s="1358"/>
      <c r="I16380" s="1358"/>
    </row>
    <row r="16381" spans="8:9">
      <c r="H16381" s="1358"/>
      <c r="I16381" s="1358"/>
    </row>
    <row r="16382" spans="8:9">
      <c r="H16382" s="1358"/>
      <c r="I16382" s="1358"/>
    </row>
    <row r="16383" spans="8:9">
      <c r="H16383" s="1358"/>
      <c r="I16383" s="1358"/>
    </row>
    <row r="16384" spans="8:9">
      <c r="H16384" s="1358"/>
      <c r="I16384" s="1358"/>
    </row>
    <row r="16385" spans="8:9">
      <c r="H16385" s="1358"/>
      <c r="I16385" s="1358"/>
    </row>
    <row r="16386" spans="8:9">
      <c r="H16386" s="1358"/>
      <c r="I16386" s="1358"/>
    </row>
    <row r="16387" spans="8:9">
      <c r="H16387" s="1358"/>
      <c r="I16387" s="1358"/>
    </row>
    <row r="16388" spans="8:9">
      <c r="H16388" s="1358"/>
      <c r="I16388" s="1358"/>
    </row>
    <row r="16389" spans="8:9">
      <c r="H16389" s="1358"/>
      <c r="I16389" s="1358"/>
    </row>
    <row r="16390" spans="8:9">
      <c r="H16390" s="1358"/>
      <c r="I16390" s="1358"/>
    </row>
    <row r="16391" spans="8:9">
      <c r="H16391" s="1358"/>
      <c r="I16391" s="1358"/>
    </row>
    <row r="16392" spans="8:9">
      <c r="H16392" s="1358"/>
      <c r="I16392" s="1358"/>
    </row>
    <row r="16393" spans="8:9">
      <c r="H16393" s="1358"/>
      <c r="I16393" s="1358"/>
    </row>
    <row r="16394" spans="8:9">
      <c r="H16394" s="1358"/>
      <c r="I16394" s="1358"/>
    </row>
    <row r="16395" spans="8:9">
      <c r="H16395" s="1358"/>
      <c r="I16395" s="1358"/>
    </row>
    <row r="16396" spans="8:9">
      <c r="H16396" s="1358"/>
      <c r="I16396" s="1358"/>
    </row>
    <row r="16397" spans="8:9">
      <c r="H16397" s="1358"/>
      <c r="I16397" s="1358"/>
    </row>
    <row r="16398" spans="8:9">
      <c r="H16398" s="1358"/>
      <c r="I16398" s="1358"/>
    </row>
    <row r="16399" spans="8:9">
      <c r="H16399" s="1358"/>
      <c r="I16399" s="1358"/>
    </row>
    <row r="16400" spans="8:9">
      <c r="H16400" s="1358"/>
      <c r="I16400" s="1358"/>
    </row>
    <row r="16401" spans="8:9">
      <c r="H16401" s="1358"/>
      <c r="I16401" s="1358"/>
    </row>
    <row r="16402" spans="8:9">
      <c r="H16402" s="1358"/>
      <c r="I16402" s="1358"/>
    </row>
    <row r="16403" spans="8:9">
      <c r="H16403" s="1358"/>
      <c r="I16403" s="1358"/>
    </row>
    <row r="16404" spans="8:9">
      <c r="H16404" s="1358"/>
      <c r="I16404" s="1358"/>
    </row>
    <row r="16405" spans="8:9">
      <c r="H16405" s="1358"/>
      <c r="I16405" s="1358"/>
    </row>
    <row r="16406" spans="8:9">
      <c r="H16406" s="1358"/>
      <c r="I16406" s="1358"/>
    </row>
    <row r="16407" spans="8:9">
      <c r="H16407" s="1358"/>
      <c r="I16407" s="1358"/>
    </row>
    <row r="16408" spans="8:9">
      <c r="H16408" s="1358"/>
      <c r="I16408" s="1358"/>
    </row>
    <row r="16409" spans="8:9">
      <c r="H16409" s="1358"/>
      <c r="I16409" s="1358"/>
    </row>
    <row r="16410" spans="8:9">
      <c r="H16410" s="1358"/>
      <c r="I16410" s="1358"/>
    </row>
    <row r="16411" spans="8:9">
      <c r="H16411" s="1358"/>
      <c r="I16411" s="1358"/>
    </row>
    <row r="16412" spans="8:9">
      <c r="H16412" s="1358"/>
      <c r="I16412" s="1358"/>
    </row>
    <row r="16413" spans="8:9">
      <c r="H16413" s="1358"/>
      <c r="I16413" s="1358"/>
    </row>
    <row r="16414" spans="8:9">
      <c r="H16414" s="1358"/>
      <c r="I16414" s="1358"/>
    </row>
    <row r="16415" spans="8:9">
      <c r="H16415" s="1358"/>
      <c r="I16415" s="1358"/>
    </row>
    <row r="16416" spans="8:9">
      <c r="H16416" s="1358"/>
      <c r="I16416" s="1358"/>
    </row>
    <row r="16417" spans="8:9">
      <c r="H16417" s="1358"/>
      <c r="I16417" s="1358"/>
    </row>
    <row r="16418" spans="8:9">
      <c r="H16418" s="1358"/>
      <c r="I16418" s="1358"/>
    </row>
    <row r="16419" spans="8:9">
      <c r="H16419" s="1358"/>
      <c r="I16419" s="1358"/>
    </row>
    <row r="16420" spans="8:9">
      <c r="H16420" s="1358"/>
      <c r="I16420" s="1358"/>
    </row>
    <row r="16421" spans="8:9">
      <c r="H16421" s="1358"/>
      <c r="I16421" s="1358"/>
    </row>
    <row r="16422" spans="8:9">
      <c r="H16422" s="1358"/>
      <c r="I16422" s="1358"/>
    </row>
    <row r="16423" spans="8:9">
      <c r="H16423" s="1358"/>
      <c r="I16423" s="1358"/>
    </row>
    <row r="16424" spans="8:9">
      <c r="H16424" s="1358"/>
      <c r="I16424" s="1358"/>
    </row>
    <row r="16425" spans="8:9">
      <c r="H16425" s="1358"/>
      <c r="I16425" s="1358"/>
    </row>
    <row r="16426" spans="8:9">
      <c r="H16426" s="1358"/>
      <c r="I16426" s="1358"/>
    </row>
    <row r="16427" spans="8:9">
      <c r="H16427" s="1358"/>
      <c r="I16427" s="1358"/>
    </row>
    <row r="16428" spans="8:9">
      <c r="H16428" s="1358"/>
      <c r="I16428" s="1358"/>
    </row>
    <row r="16429" spans="8:9">
      <c r="H16429" s="1358"/>
      <c r="I16429" s="1358"/>
    </row>
    <row r="16430" spans="8:9">
      <c r="H16430" s="1358"/>
      <c r="I16430" s="1358"/>
    </row>
    <row r="16431" spans="8:9">
      <c r="H16431" s="1358"/>
      <c r="I16431" s="1358"/>
    </row>
    <row r="16432" spans="8:9">
      <c r="H16432" s="1358"/>
      <c r="I16432" s="1358"/>
    </row>
    <row r="16433" spans="8:9">
      <c r="H16433" s="1358"/>
      <c r="I16433" s="1358"/>
    </row>
    <row r="16434" spans="8:9">
      <c r="H16434" s="1358"/>
      <c r="I16434" s="1358"/>
    </row>
    <row r="16435" spans="8:9">
      <c r="H16435" s="1358"/>
      <c r="I16435" s="1358"/>
    </row>
    <row r="16436" spans="8:9">
      <c r="H16436" s="1358"/>
      <c r="I16436" s="1358"/>
    </row>
    <row r="16437" spans="8:9">
      <c r="H16437" s="1358"/>
      <c r="I16437" s="1358"/>
    </row>
    <row r="16438" spans="8:9">
      <c r="H16438" s="1358"/>
      <c r="I16438" s="1358"/>
    </row>
    <row r="16439" spans="8:9">
      <c r="H16439" s="1358"/>
      <c r="I16439" s="1358"/>
    </row>
    <row r="16440" spans="8:9">
      <c r="H16440" s="1358"/>
      <c r="I16440" s="1358"/>
    </row>
    <row r="16441" spans="8:9">
      <c r="H16441" s="1358"/>
      <c r="I16441" s="1358"/>
    </row>
    <row r="16442" spans="8:9">
      <c r="H16442" s="1358"/>
      <c r="I16442" s="1358"/>
    </row>
    <row r="16443" spans="8:9">
      <c r="H16443" s="1358"/>
      <c r="I16443" s="1358"/>
    </row>
    <row r="16444" spans="8:9">
      <c r="H16444" s="1358"/>
      <c r="I16444" s="1358"/>
    </row>
    <row r="16445" spans="8:9">
      <c r="H16445" s="1358"/>
      <c r="I16445" s="1358"/>
    </row>
    <row r="16446" spans="8:9">
      <c r="H16446" s="1358"/>
      <c r="I16446" s="1358"/>
    </row>
    <row r="16447" spans="8:9">
      <c r="H16447" s="1358"/>
      <c r="I16447" s="1358"/>
    </row>
    <row r="16448" spans="8:9">
      <c r="H16448" s="1358"/>
      <c r="I16448" s="1358"/>
    </row>
    <row r="16449" spans="8:9">
      <c r="H16449" s="1358"/>
      <c r="I16449" s="1358"/>
    </row>
    <row r="16450" spans="8:9">
      <c r="H16450" s="1358"/>
      <c r="I16450" s="1358"/>
    </row>
    <row r="16451" spans="8:9">
      <c r="H16451" s="1358"/>
      <c r="I16451" s="1358"/>
    </row>
    <row r="16452" spans="8:9">
      <c r="H16452" s="1358"/>
      <c r="I16452" s="1358"/>
    </row>
    <row r="16453" spans="8:9">
      <c r="H16453" s="1358"/>
      <c r="I16453" s="1358"/>
    </row>
    <row r="16454" spans="8:9">
      <c r="H16454" s="1358"/>
      <c r="I16454" s="1358"/>
    </row>
    <row r="16455" spans="8:9">
      <c r="H16455" s="1358"/>
      <c r="I16455" s="1358"/>
    </row>
    <row r="16456" spans="8:9">
      <c r="H16456" s="1358"/>
      <c r="I16456" s="1358"/>
    </row>
    <row r="16457" spans="8:9">
      <c r="H16457" s="1358"/>
      <c r="I16457" s="1358"/>
    </row>
    <row r="16458" spans="8:9">
      <c r="H16458" s="1358"/>
      <c r="I16458" s="1358"/>
    </row>
    <row r="16459" spans="8:9">
      <c r="H16459" s="1358"/>
      <c r="I16459" s="1358"/>
    </row>
    <row r="16460" spans="8:9">
      <c r="H16460" s="1358"/>
      <c r="I16460" s="1358"/>
    </row>
    <row r="16461" spans="8:9">
      <c r="H16461" s="1358"/>
      <c r="I16461" s="1358"/>
    </row>
    <row r="16462" spans="8:9">
      <c r="H16462" s="1358"/>
      <c r="I16462" s="1358"/>
    </row>
    <row r="16463" spans="8:9">
      <c r="H16463" s="1358"/>
      <c r="I16463" s="1358"/>
    </row>
    <row r="16464" spans="8:9">
      <c r="H16464" s="1358"/>
      <c r="I16464" s="1358"/>
    </row>
    <row r="16465" spans="8:9">
      <c r="H16465" s="1358"/>
      <c r="I16465" s="1358"/>
    </row>
    <row r="16466" spans="8:9">
      <c r="H16466" s="1358"/>
      <c r="I16466" s="1358"/>
    </row>
    <row r="16467" spans="8:9">
      <c r="H16467" s="1358"/>
      <c r="I16467" s="1358"/>
    </row>
    <row r="16468" spans="8:9">
      <c r="H16468" s="1358"/>
      <c r="I16468" s="1358"/>
    </row>
    <row r="16469" spans="8:9">
      <c r="H16469" s="1358"/>
      <c r="I16469" s="1358"/>
    </row>
    <row r="16470" spans="8:9">
      <c r="H16470" s="1358"/>
      <c r="I16470" s="1358"/>
    </row>
    <row r="16471" spans="8:9">
      <c r="H16471" s="1358"/>
      <c r="I16471" s="1358"/>
    </row>
    <row r="16472" spans="8:9">
      <c r="H16472" s="1358"/>
      <c r="I16472" s="1358"/>
    </row>
    <row r="16473" spans="8:9">
      <c r="H16473" s="1358"/>
      <c r="I16473" s="1358"/>
    </row>
    <row r="16474" spans="8:9">
      <c r="H16474" s="1358"/>
      <c r="I16474" s="1358"/>
    </row>
    <row r="16475" spans="8:9">
      <c r="H16475" s="1358"/>
      <c r="I16475" s="1358"/>
    </row>
    <row r="16476" spans="8:9">
      <c r="H16476" s="1358"/>
      <c r="I16476" s="1358"/>
    </row>
    <row r="16477" spans="8:9">
      <c r="H16477" s="1358"/>
      <c r="I16477" s="1358"/>
    </row>
    <row r="16478" spans="8:9">
      <c r="H16478" s="1358"/>
      <c r="I16478" s="1358"/>
    </row>
    <row r="16479" spans="8:9">
      <c r="H16479" s="1358"/>
      <c r="I16479" s="1358"/>
    </row>
    <row r="16480" spans="8:9">
      <c r="H16480" s="1358"/>
      <c r="I16480" s="1358"/>
    </row>
    <row r="16481" spans="8:9">
      <c r="H16481" s="1358"/>
      <c r="I16481" s="1358"/>
    </row>
    <row r="16482" spans="8:9">
      <c r="H16482" s="1358"/>
      <c r="I16482" s="1358"/>
    </row>
    <row r="16483" spans="8:9">
      <c r="H16483" s="1358"/>
      <c r="I16483" s="1358"/>
    </row>
    <row r="16484" spans="8:9">
      <c r="H16484" s="1358"/>
      <c r="I16484" s="1358"/>
    </row>
    <row r="16485" spans="8:9">
      <c r="H16485" s="1358"/>
      <c r="I16485" s="1358"/>
    </row>
    <row r="16486" spans="8:9">
      <c r="H16486" s="1358"/>
      <c r="I16486" s="1358"/>
    </row>
    <row r="16487" spans="8:9">
      <c r="H16487" s="1358"/>
      <c r="I16487" s="1358"/>
    </row>
    <row r="16488" spans="8:9">
      <c r="H16488" s="1358"/>
      <c r="I16488" s="1358"/>
    </row>
    <row r="16489" spans="8:9">
      <c r="H16489" s="1358"/>
      <c r="I16489" s="1358"/>
    </row>
    <row r="16490" spans="8:9">
      <c r="H16490" s="1358"/>
      <c r="I16490" s="1358"/>
    </row>
    <row r="16491" spans="8:9">
      <c r="H16491" s="1358"/>
      <c r="I16491" s="1358"/>
    </row>
    <row r="16492" spans="8:9">
      <c r="H16492" s="1358"/>
      <c r="I16492" s="1358"/>
    </row>
    <row r="16493" spans="8:9">
      <c r="H16493" s="1358"/>
      <c r="I16493" s="1358"/>
    </row>
    <row r="16494" spans="8:9">
      <c r="H16494" s="1358"/>
      <c r="I16494" s="1358"/>
    </row>
    <row r="16495" spans="8:9">
      <c r="H16495" s="1358"/>
      <c r="I16495" s="1358"/>
    </row>
    <row r="16496" spans="8:9">
      <c r="H16496" s="1358"/>
      <c r="I16496" s="1358"/>
    </row>
    <row r="16497" spans="8:9">
      <c r="H16497" s="1358"/>
      <c r="I16497" s="1358"/>
    </row>
    <row r="16498" spans="8:9">
      <c r="H16498" s="1358"/>
      <c r="I16498" s="1358"/>
    </row>
    <row r="16499" spans="8:9">
      <c r="H16499" s="1358"/>
      <c r="I16499" s="1358"/>
    </row>
    <row r="16500" spans="8:9">
      <c r="H16500" s="1358"/>
      <c r="I16500" s="1358"/>
    </row>
    <row r="16501" spans="8:9">
      <c r="H16501" s="1358"/>
      <c r="I16501" s="1358"/>
    </row>
    <row r="16502" spans="8:9">
      <c r="H16502" s="1358"/>
      <c r="I16502" s="1358"/>
    </row>
    <row r="16503" spans="8:9">
      <c r="H16503" s="1358"/>
      <c r="I16503" s="1358"/>
    </row>
    <row r="16504" spans="8:9">
      <c r="H16504" s="1358"/>
      <c r="I16504" s="1358"/>
    </row>
    <row r="16505" spans="8:9">
      <c r="H16505" s="1358"/>
      <c r="I16505" s="1358"/>
    </row>
    <row r="16506" spans="8:9">
      <c r="H16506" s="1358"/>
      <c r="I16506" s="1358"/>
    </row>
    <row r="16507" spans="8:9">
      <c r="H16507" s="1358"/>
      <c r="I16507" s="1358"/>
    </row>
    <row r="16508" spans="8:9">
      <c r="H16508" s="1358"/>
      <c r="I16508" s="1358"/>
    </row>
    <row r="16509" spans="8:9">
      <c r="H16509" s="1358"/>
      <c r="I16509" s="1358"/>
    </row>
    <row r="16510" spans="8:9">
      <c r="H16510" s="1358"/>
      <c r="I16510" s="1358"/>
    </row>
    <row r="16511" spans="8:9">
      <c r="H16511" s="1358"/>
      <c r="I16511" s="1358"/>
    </row>
    <row r="16512" spans="8:9">
      <c r="H16512" s="1358"/>
      <c r="I16512" s="1358"/>
    </row>
    <row r="16513" spans="8:9">
      <c r="H16513" s="1358"/>
      <c r="I16513" s="1358"/>
    </row>
    <row r="16514" spans="8:9">
      <c r="H16514" s="1358"/>
      <c r="I16514" s="1358"/>
    </row>
    <row r="16515" spans="8:9">
      <c r="H16515" s="1358"/>
      <c r="I16515" s="1358"/>
    </row>
    <row r="16516" spans="8:9">
      <c r="H16516" s="1358"/>
      <c r="I16516" s="1358"/>
    </row>
    <row r="16517" spans="8:9">
      <c r="H16517" s="1358"/>
      <c r="I16517" s="1358"/>
    </row>
    <row r="16518" spans="8:9">
      <c r="H16518" s="1358"/>
      <c r="I16518" s="1358"/>
    </row>
    <row r="16519" spans="8:9">
      <c r="H16519" s="1358"/>
      <c r="I16519" s="1358"/>
    </row>
    <row r="16520" spans="8:9">
      <c r="H16520" s="1358"/>
      <c r="I16520" s="1358"/>
    </row>
    <row r="16521" spans="8:9">
      <c r="H16521" s="1358"/>
      <c r="I16521" s="1358"/>
    </row>
    <row r="16522" spans="8:9">
      <c r="H16522" s="1358"/>
      <c r="I16522" s="1358"/>
    </row>
    <row r="16523" spans="8:9">
      <c r="H16523" s="1358"/>
      <c r="I16523" s="1358"/>
    </row>
    <row r="16524" spans="8:9">
      <c r="H16524" s="1358"/>
      <c r="I16524" s="1358"/>
    </row>
    <row r="16525" spans="8:9">
      <c r="H16525" s="1358"/>
      <c r="I16525" s="1358"/>
    </row>
    <row r="16526" spans="8:9">
      <c r="H16526" s="1358"/>
      <c r="I16526" s="1358"/>
    </row>
    <row r="16527" spans="8:9">
      <c r="H16527" s="1358"/>
      <c r="I16527" s="1358"/>
    </row>
    <row r="16528" spans="8:9">
      <c r="H16528" s="1358"/>
      <c r="I16528" s="1358"/>
    </row>
    <row r="16529" spans="8:9">
      <c r="H16529" s="1358"/>
      <c r="I16529" s="1358"/>
    </row>
    <row r="16530" spans="8:9">
      <c r="H16530" s="1358"/>
      <c r="I16530" s="1358"/>
    </row>
    <row r="16531" spans="8:9">
      <c r="H16531" s="1358"/>
      <c r="I16531" s="1358"/>
    </row>
    <row r="16532" spans="8:9">
      <c r="H16532" s="1358"/>
      <c r="I16532" s="1358"/>
    </row>
    <row r="16533" spans="8:9">
      <c r="H16533" s="1358"/>
      <c r="I16533" s="1358"/>
    </row>
    <row r="16534" spans="8:9">
      <c r="H16534" s="1358"/>
      <c r="I16534" s="1358"/>
    </row>
    <row r="16535" spans="8:9">
      <c r="H16535" s="1358"/>
      <c r="I16535" s="1358"/>
    </row>
    <row r="16536" spans="8:9">
      <c r="H16536" s="1358"/>
      <c r="I16536" s="1358"/>
    </row>
    <row r="16537" spans="8:9">
      <c r="H16537" s="1358"/>
      <c r="I16537" s="1358"/>
    </row>
    <row r="16538" spans="8:9">
      <c r="H16538" s="1358"/>
      <c r="I16538" s="1358"/>
    </row>
    <row r="16539" spans="8:9">
      <c r="H16539" s="1358"/>
      <c r="I16539" s="1358"/>
    </row>
    <row r="16540" spans="8:9">
      <c r="H16540" s="1358"/>
      <c r="I16540" s="1358"/>
    </row>
    <row r="16541" spans="8:9">
      <c r="H16541" s="1358"/>
      <c r="I16541" s="1358"/>
    </row>
    <row r="16542" spans="8:9">
      <c r="H16542" s="1358"/>
      <c r="I16542" s="1358"/>
    </row>
    <row r="16543" spans="8:9">
      <c r="H16543" s="1358"/>
      <c r="I16543" s="1358"/>
    </row>
    <row r="16544" spans="8:9">
      <c r="H16544" s="1358"/>
      <c r="I16544" s="1358"/>
    </row>
    <row r="16545" spans="8:9">
      <c r="H16545" s="1358"/>
      <c r="I16545" s="1358"/>
    </row>
    <row r="16546" spans="8:9">
      <c r="H16546" s="1358"/>
      <c r="I16546" s="1358"/>
    </row>
    <row r="16547" spans="8:9">
      <c r="H16547" s="1358"/>
      <c r="I16547" s="1358"/>
    </row>
    <row r="16548" spans="8:9">
      <c r="H16548" s="1358"/>
      <c r="I16548" s="1358"/>
    </row>
    <row r="16549" spans="8:9">
      <c r="H16549" s="1358"/>
      <c r="I16549" s="1358"/>
    </row>
    <row r="16550" spans="8:9">
      <c r="H16550" s="1358"/>
      <c r="I16550" s="1358"/>
    </row>
    <row r="16551" spans="8:9">
      <c r="H16551" s="1358"/>
      <c r="I16551" s="1358"/>
    </row>
    <row r="16552" spans="8:9">
      <c r="H16552" s="1358"/>
      <c r="I16552" s="1358"/>
    </row>
    <row r="16553" spans="8:9">
      <c r="H16553" s="1358"/>
      <c r="I16553" s="1358"/>
    </row>
    <row r="16554" spans="8:9">
      <c r="H16554" s="1358"/>
      <c r="I16554" s="1358"/>
    </row>
    <row r="16555" spans="8:9">
      <c r="H16555" s="1358"/>
      <c r="I16555" s="1358"/>
    </row>
    <row r="16556" spans="8:9">
      <c r="H16556" s="1358"/>
      <c r="I16556" s="1358"/>
    </row>
    <row r="16557" spans="8:9">
      <c r="H16557" s="1358"/>
      <c r="I16557" s="1358"/>
    </row>
    <row r="16558" spans="8:9">
      <c r="H16558" s="1358"/>
      <c r="I16558" s="1358"/>
    </row>
    <row r="16559" spans="8:9">
      <c r="H16559" s="1358"/>
      <c r="I16559" s="1358"/>
    </row>
    <row r="16560" spans="8:9">
      <c r="H16560" s="1358"/>
      <c r="I16560" s="1358"/>
    </row>
    <row r="16561" spans="8:9">
      <c r="H16561" s="1358"/>
      <c r="I16561" s="1358"/>
    </row>
    <row r="16562" spans="8:9">
      <c r="H16562" s="1358"/>
      <c r="I16562" s="1358"/>
    </row>
    <row r="16563" spans="8:9">
      <c r="H16563" s="1358"/>
      <c r="I16563" s="1358"/>
    </row>
    <row r="16564" spans="8:9">
      <c r="H16564" s="1358"/>
      <c r="I16564" s="1358"/>
    </row>
    <row r="16565" spans="8:9">
      <c r="H16565" s="1358"/>
      <c r="I16565" s="1358"/>
    </row>
    <row r="16566" spans="8:9">
      <c r="H16566" s="1358"/>
      <c r="I16566" s="1358"/>
    </row>
    <row r="16567" spans="8:9">
      <c r="H16567" s="1358"/>
      <c r="I16567" s="1358"/>
    </row>
    <row r="16568" spans="8:9">
      <c r="H16568" s="1358"/>
      <c r="I16568" s="1358"/>
    </row>
    <row r="16569" spans="8:9">
      <c r="H16569" s="1358"/>
      <c r="I16569" s="1358"/>
    </row>
    <row r="16570" spans="8:9">
      <c r="H16570" s="1358"/>
      <c r="I16570" s="1358"/>
    </row>
    <row r="16571" spans="8:9">
      <c r="H16571" s="1358"/>
      <c r="I16571" s="1358"/>
    </row>
    <row r="16572" spans="8:9">
      <c r="H16572" s="1358"/>
      <c r="I16572" s="1358"/>
    </row>
    <row r="16573" spans="8:9">
      <c r="H16573" s="1358"/>
      <c r="I16573" s="1358"/>
    </row>
    <row r="16574" spans="8:9">
      <c r="H16574" s="1358"/>
      <c r="I16574" s="1358"/>
    </row>
    <row r="16575" spans="8:9">
      <c r="H16575" s="1358"/>
      <c r="I16575" s="1358"/>
    </row>
    <row r="16576" spans="8:9">
      <c r="H16576" s="1358"/>
      <c r="I16576" s="1358"/>
    </row>
    <row r="16577" spans="8:9">
      <c r="H16577" s="1358"/>
      <c r="I16577" s="1358"/>
    </row>
    <row r="16578" spans="8:9">
      <c r="H16578" s="1358"/>
      <c r="I16578" s="1358"/>
    </row>
    <row r="16579" spans="8:9">
      <c r="H16579" s="1358"/>
      <c r="I16579" s="1358"/>
    </row>
    <row r="16580" spans="8:9">
      <c r="H16580" s="1358"/>
      <c r="I16580" s="1358"/>
    </row>
    <row r="16581" spans="8:9">
      <c r="H16581" s="1358"/>
      <c r="I16581" s="1358"/>
    </row>
    <row r="16582" spans="8:9">
      <c r="H16582" s="1358"/>
      <c r="I16582" s="1358"/>
    </row>
    <row r="16583" spans="8:9">
      <c r="H16583" s="1358"/>
      <c r="I16583" s="1358"/>
    </row>
    <row r="16584" spans="8:9">
      <c r="H16584" s="1358"/>
      <c r="I16584" s="1358"/>
    </row>
    <row r="16585" spans="8:9">
      <c r="H16585" s="1358"/>
      <c r="I16585" s="1358"/>
    </row>
    <row r="16586" spans="8:9">
      <c r="H16586" s="1358"/>
      <c r="I16586" s="1358"/>
    </row>
    <row r="16587" spans="8:9">
      <c r="H16587" s="1358"/>
      <c r="I16587" s="1358"/>
    </row>
    <row r="16588" spans="8:9">
      <c r="H16588" s="1358"/>
      <c r="I16588" s="1358"/>
    </row>
    <row r="16589" spans="8:9">
      <c r="H16589" s="1358"/>
      <c r="I16589" s="1358"/>
    </row>
    <row r="16590" spans="8:9">
      <c r="H16590" s="1358"/>
      <c r="I16590" s="1358"/>
    </row>
    <row r="16591" spans="8:9">
      <c r="H16591" s="1358"/>
      <c r="I16591" s="1358"/>
    </row>
    <row r="16592" spans="8:9">
      <c r="H16592" s="1358"/>
      <c r="I16592" s="1358"/>
    </row>
    <row r="16593" spans="8:9">
      <c r="H16593" s="1358"/>
      <c r="I16593" s="1358"/>
    </row>
    <row r="16594" spans="8:9">
      <c r="H16594" s="1358"/>
      <c r="I16594" s="1358"/>
    </row>
    <row r="16595" spans="8:9">
      <c r="H16595" s="1358"/>
      <c r="I16595" s="1358"/>
    </row>
    <row r="16596" spans="8:9">
      <c r="H16596" s="1358"/>
      <c r="I16596" s="1358"/>
    </row>
    <row r="16597" spans="8:9">
      <c r="H16597" s="1358"/>
      <c r="I16597" s="1358"/>
    </row>
    <row r="16598" spans="8:9">
      <c r="H16598" s="1358"/>
      <c r="I16598" s="1358"/>
    </row>
    <row r="16599" spans="8:9">
      <c r="H16599" s="1358"/>
      <c r="I16599" s="1358"/>
    </row>
    <row r="16600" spans="8:9">
      <c r="H16600" s="1358"/>
      <c r="I16600" s="1358"/>
    </row>
    <row r="16601" spans="8:9">
      <c r="H16601" s="1358"/>
      <c r="I16601" s="1358"/>
    </row>
    <row r="16602" spans="8:9">
      <c r="H16602" s="1358"/>
      <c r="I16602" s="1358"/>
    </row>
    <row r="16603" spans="8:9">
      <c r="H16603" s="1358"/>
      <c r="I16603" s="1358"/>
    </row>
    <row r="16604" spans="8:9">
      <c r="H16604" s="1358"/>
      <c r="I16604" s="1358"/>
    </row>
    <row r="16605" spans="8:9">
      <c r="H16605" s="1358"/>
      <c r="I16605" s="1358"/>
    </row>
    <row r="16606" spans="8:9">
      <c r="H16606" s="1358"/>
      <c r="I16606" s="1358"/>
    </row>
    <row r="16607" spans="8:9">
      <c r="H16607" s="1358"/>
      <c r="I16607" s="1358"/>
    </row>
    <row r="16608" spans="8:9">
      <c r="H16608" s="1358"/>
      <c r="I16608" s="1358"/>
    </row>
    <row r="16609" spans="8:9">
      <c r="H16609" s="1358"/>
      <c r="I16609" s="1358"/>
    </row>
    <row r="16610" spans="8:9">
      <c r="H16610" s="1358"/>
      <c r="I16610" s="1358"/>
    </row>
    <row r="16611" spans="8:9">
      <c r="H16611" s="1358"/>
      <c r="I16611" s="1358"/>
    </row>
    <row r="16612" spans="8:9">
      <c r="H16612" s="1358"/>
      <c r="I16612" s="1358"/>
    </row>
    <row r="16613" spans="8:9">
      <c r="H16613" s="1358"/>
      <c r="I16613" s="1358"/>
    </row>
    <row r="16614" spans="8:9">
      <c r="H16614" s="1358"/>
      <c r="I16614" s="1358"/>
    </row>
    <row r="16615" spans="8:9">
      <c r="H16615" s="1358"/>
      <c r="I16615" s="1358"/>
    </row>
    <row r="16616" spans="8:9">
      <c r="H16616" s="1358"/>
      <c r="I16616" s="1358"/>
    </row>
    <row r="16617" spans="8:9">
      <c r="H16617" s="1358"/>
      <c r="I16617" s="1358"/>
    </row>
    <row r="16618" spans="8:9">
      <c r="H16618" s="1358"/>
      <c r="I16618" s="1358"/>
    </row>
    <row r="16619" spans="8:9">
      <c r="H16619" s="1358"/>
      <c r="I16619" s="1358"/>
    </row>
    <row r="16620" spans="8:9">
      <c r="H16620" s="1358"/>
      <c r="I16620" s="1358"/>
    </row>
    <row r="16621" spans="8:9">
      <c r="H16621" s="1358"/>
      <c r="I16621" s="1358"/>
    </row>
    <row r="16622" spans="8:9">
      <c r="H16622" s="1358"/>
      <c r="I16622" s="1358"/>
    </row>
    <row r="16623" spans="8:9">
      <c r="H16623" s="1358"/>
      <c r="I16623" s="1358"/>
    </row>
    <row r="16624" spans="8:9">
      <c r="H16624" s="1358"/>
      <c r="I16624" s="1358"/>
    </row>
    <row r="16625" spans="8:9">
      <c r="H16625" s="1358"/>
      <c r="I16625" s="1358"/>
    </row>
    <row r="16626" spans="8:9">
      <c r="H16626" s="1358"/>
      <c r="I16626" s="1358"/>
    </row>
    <row r="16627" spans="8:9">
      <c r="H16627" s="1358"/>
      <c r="I16627" s="1358"/>
    </row>
    <row r="16628" spans="8:9">
      <c r="H16628" s="1358"/>
      <c r="I16628" s="1358"/>
    </row>
    <row r="16629" spans="8:9">
      <c r="H16629" s="1358"/>
      <c r="I16629" s="1358"/>
    </row>
    <row r="16630" spans="8:9">
      <c r="H16630" s="1358"/>
      <c r="I16630" s="1358"/>
    </row>
    <row r="16631" spans="8:9">
      <c r="H16631" s="1358"/>
      <c r="I16631" s="1358"/>
    </row>
    <row r="16632" spans="8:9">
      <c r="H16632" s="1358"/>
      <c r="I16632" s="1358"/>
    </row>
    <row r="16633" spans="8:9">
      <c r="H16633" s="1358"/>
      <c r="I16633" s="1358"/>
    </row>
    <row r="16634" spans="8:9">
      <c r="H16634" s="1358"/>
      <c r="I16634" s="1358"/>
    </row>
    <row r="16635" spans="8:9">
      <c r="H16635" s="1358"/>
      <c r="I16635" s="1358"/>
    </row>
    <row r="16636" spans="8:9">
      <c r="H16636" s="1358"/>
      <c r="I16636" s="1358"/>
    </row>
    <row r="16637" spans="8:9">
      <c r="H16637" s="1358"/>
      <c r="I16637" s="1358"/>
    </row>
    <row r="16638" spans="8:9">
      <c r="H16638" s="1358"/>
      <c r="I16638" s="1358"/>
    </row>
    <row r="16639" spans="8:9">
      <c r="H16639" s="1358"/>
      <c r="I16639" s="1358"/>
    </row>
    <row r="16640" spans="8:9">
      <c r="H16640" s="1358"/>
      <c r="I16640" s="1358"/>
    </row>
    <row r="16641" spans="8:9">
      <c r="H16641" s="1358"/>
      <c r="I16641" s="1358"/>
    </row>
    <row r="16642" spans="8:9">
      <c r="H16642" s="1358"/>
      <c r="I16642" s="1358"/>
    </row>
    <row r="16643" spans="8:9">
      <c r="H16643" s="1358"/>
      <c r="I16643" s="1358"/>
    </row>
    <row r="16644" spans="8:9">
      <c r="H16644" s="1358"/>
      <c r="I16644" s="1358"/>
    </row>
    <row r="16645" spans="8:9">
      <c r="H16645" s="1358"/>
      <c r="I16645" s="1358"/>
    </row>
    <row r="16646" spans="8:9">
      <c r="H16646" s="1358"/>
      <c r="I16646" s="1358"/>
    </row>
    <row r="16647" spans="8:9">
      <c r="H16647" s="1358"/>
      <c r="I16647" s="1358"/>
    </row>
    <row r="16648" spans="8:9">
      <c r="H16648" s="1358"/>
      <c r="I16648" s="1358"/>
    </row>
    <row r="16649" spans="8:9">
      <c r="H16649" s="1358"/>
      <c r="I16649" s="1358"/>
    </row>
    <row r="16650" spans="8:9">
      <c r="H16650" s="1358"/>
      <c r="I16650" s="1358"/>
    </row>
    <row r="16651" spans="8:9">
      <c r="H16651" s="1358"/>
      <c r="I16651" s="1358"/>
    </row>
    <row r="16652" spans="8:9">
      <c r="H16652" s="1358"/>
      <c r="I16652" s="1358"/>
    </row>
    <row r="16653" spans="8:9">
      <c r="H16653" s="1358"/>
      <c r="I16653" s="1358"/>
    </row>
    <row r="16654" spans="8:9">
      <c r="H16654" s="1358"/>
      <c r="I16654" s="1358"/>
    </row>
    <row r="16655" spans="8:9">
      <c r="H16655" s="1358"/>
      <c r="I16655" s="1358"/>
    </row>
    <row r="16656" spans="8:9">
      <c r="H16656" s="1358"/>
      <c r="I16656" s="1358"/>
    </row>
    <row r="16657" spans="8:9">
      <c r="H16657" s="1358"/>
      <c r="I16657" s="1358"/>
    </row>
    <row r="16658" spans="8:9">
      <c r="H16658" s="1358"/>
      <c r="I16658" s="1358"/>
    </row>
    <row r="16659" spans="8:9">
      <c r="H16659" s="1358"/>
      <c r="I16659" s="1358"/>
    </row>
    <row r="16660" spans="8:9">
      <c r="H16660" s="1358"/>
      <c r="I16660" s="1358"/>
    </row>
    <row r="16661" spans="8:9">
      <c r="H16661" s="1358"/>
      <c r="I16661" s="1358"/>
    </row>
    <row r="16662" spans="8:9">
      <c r="H16662" s="1358"/>
      <c r="I16662" s="1358"/>
    </row>
    <row r="16663" spans="8:9">
      <c r="H16663" s="1358"/>
      <c r="I16663" s="1358"/>
    </row>
    <row r="16664" spans="8:9">
      <c r="H16664" s="1358"/>
      <c r="I16664" s="1358"/>
    </row>
    <row r="16665" spans="8:9">
      <c r="H16665" s="1358"/>
      <c r="I16665" s="1358"/>
    </row>
    <row r="16666" spans="8:9">
      <c r="H16666" s="1358"/>
      <c r="I16666" s="1358"/>
    </row>
    <row r="16667" spans="8:9">
      <c r="H16667" s="1358"/>
      <c r="I16667" s="1358"/>
    </row>
    <row r="16668" spans="8:9">
      <c r="H16668" s="1358"/>
      <c r="I16668" s="1358"/>
    </row>
    <row r="16669" spans="8:9">
      <c r="H16669" s="1358"/>
      <c r="I16669" s="1358"/>
    </row>
    <row r="16670" spans="8:9">
      <c r="H16670" s="1358"/>
      <c r="I16670" s="1358"/>
    </row>
    <row r="16671" spans="8:9">
      <c r="H16671" s="1358"/>
      <c r="I16671" s="1358"/>
    </row>
    <row r="16672" spans="8:9">
      <c r="H16672" s="1358"/>
      <c r="I16672" s="1358"/>
    </row>
    <row r="16673" spans="8:9">
      <c r="H16673" s="1358"/>
      <c r="I16673" s="1358"/>
    </row>
    <row r="16674" spans="8:9">
      <c r="H16674" s="1358"/>
      <c r="I16674" s="1358"/>
    </row>
    <row r="16675" spans="8:9">
      <c r="H16675" s="1358"/>
      <c r="I16675" s="1358"/>
    </row>
    <row r="16676" spans="8:9">
      <c r="H16676" s="1358"/>
      <c r="I16676" s="1358"/>
    </row>
    <row r="16677" spans="8:9">
      <c r="H16677" s="1358"/>
      <c r="I16677" s="1358"/>
    </row>
    <row r="16678" spans="8:9">
      <c r="H16678" s="1358"/>
      <c r="I16678" s="1358"/>
    </row>
    <row r="16679" spans="8:9">
      <c r="H16679" s="1358"/>
      <c r="I16679" s="1358"/>
    </row>
    <row r="16680" spans="8:9">
      <c r="H16680" s="1358"/>
      <c r="I16680" s="1358"/>
    </row>
    <row r="16681" spans="8:9">
      <c r="H16681" s="1358"/>
      <c r="I16681" s="1358"/>
    </row>
    <row r="16682" spans="8:9">
      <c r="H16682" s="1358"/>
      <c r="I16682" s="1358"/>
    </row>
    <row r="16683" spans="8:9">
      <c r="H16683" s="1358"/>
      <c r="I16683" s="1358"/>
    </row>
    <row r="16684" spans="8:9">
      <c r="H16684" s="1358"/>
      <c r="I16684" s="1358"/>
    </row>
    <row r="16685" spans="8:9">
      <c r="H16685" s="1358"/>
      <c r="I16685" s="1358"/>
    </row>
    <row r="16686" spans="8:9">
      <c r="H16686" s="1358"/>
      <c r="I16686" s="1358"/>
    </row>
    <row r="16687" spans="8:9">
      <c r="H16687" s="1358"/>
      <c r="I16687" s="1358"/>
    </row>
    <row r="16688" spans="8:9">
      <c r="H16688" s="1358"/>
      <c r="I16688" s="1358"/>
    </row>
    <row r="16689" spans="8:9">
      <c r="H16689" s="1358"/>
      <c r="I16689" s="1358"/>
    </row>
    <row r="16690" spans="8:9">
      <c r="H16690" s="1358"/>
      <c r="I16690" s="1358"/>
    </row>
    <row r="16691" spans="8:9">
      <c r="H16691" s="1358"/>
      <c r="I16691" s="1358"/>
    </row>
    <row r="16692" spans="8:9">
      <c r="H16692" s="1358"/>
      <c r="I16692" s="1358"/>
    </row>
    <row r="16693" spans="8:9">
      <c r="H16693" s="1358"/>
      <c r="I16693" s="1358"/>
    </row>
    <row r="16694" spans="8:9">
      <c r="H16694" s="1358"/>
      <c r="I16694" s="1358"/>
    </row>
    <row r="16695" spans="8:9">
      <c r="H16695" s="1358"/>
      <c r="I16695" s="1358"/>
    </row>
    <row r="16696" spans="8:9">
      <c r="H16696" s="1358"/>
      <c r="I16696" s="1358"/>
    </row>
    <row r="16697" spans="8:9">
      <c r="H16697" s="1358"/>
      <c r="I16697" s="1358"/>
    </row>
    <row r="16698" spans="8:9">
      <c r="H16698" s="1358"/>
      <c r="I16698" s="1358"/>
    </row>
    <row r="16699" spans="8:9">
      <c r="H16699" s="1358"/>
      <c r="I16699" s="1358"/>
    </row>
    <row r="16700" spans="8:9">
      <c r="H16700" s="1358"/>
      <c r="I16700" s="1358"/>
    </row>
    <row r="16701" spans="8:9">
      <c r="H16701" s="1358"/>
      <c r="I16701" s="1358"/>
    </row>
    <row r="16702" spans="8:9">
      <c r="H16702" s="1358"/>
      <c r="I16702" s="1358"/>
    </row>
    <row r="16703" spans="8:9">
      <c r="H16703" s="1358"/>
      <c r="I16703" s="1358"/>
    </row>
    <row r="16704" spans="8:9">
      <c r="H16704" s="1358"/>
      <c r="I16704" s="1358"/>
    </row>
    <row r="16705" spans="8:9">
      <c r="H16705" s="1358"/>
      <c r="I16705" s="1358"/>
    </row>
    <row r="16706" spans="8:9">
      <c r="H16706" s="1358"/>
      <c r="I16706" s="1358"/>
    </row>
    <row r="16707" spans="8:9">
      <c r="H16707" s="1358"/>
      <c r="I16707" s="1358"/>
    </row>
    <row r="16708" spans="8:9">
      <c r="H16708" s="1358"/>
      <c r="I16708" s="1358"/>
    </row>
    <row r="16709" spans="8:9">
      <c r="H16709" s="1358"/>
      <c r="I16709" s="1358"/>
    </row>
    <row r="16710" spans="8:9">
      <c r="H16710" s="1358"/>
      <c r="I16710" s="1358"/>
    </row>
    <row r="16711" spans="8:9">
      <c r="H16711" s="1358"/>
      <c r="I16711" s="1358"/>
    </row>
    <row r="16712" spans="8:9">
      <c r="H16712" s="1358"/>
      <c r="I16712" s="1358"/>
    </row>
    <row r="16713" spans="8:9">
      <c r="H16713" s="1358"/>
      <c r="I16713" s="1358"/>
    </row>
    <row r="16714" spans="8:9">
      <c r="H16714" s="1358"/>
      <c r="I16714" s="1358"/>
    </row>
    <row r="16715" spans="8:9">
      <c r="H16715" s="1358"/>
      <c r="I16715" s="1358"/>
    </row>
    <row r="16716" spans="8:9">
      <c r="H16716" s="1358"/>
      <c r="I16716" s="1358"/>
    </row>
    <row r="16717" spans="8:9">
      <c r="H16717" s="1358"/>
      <c r="I16717" s="1358"/>
    </row>
    <row r="16718" spans="8:9">
      <c r="H16718" s="1358"/>
      <c r="I16718" s="1358"/>
    </row>
    <row r="16719" spans="8:9">
      <c r="H16719" s="1358"/>
      <c r="I16719" s="1358"/>
    </row>
    <row r="16720" spans="8:9">
      <c r="H16720" s="1358"/>
      <c r="I16720" s="1358"/>
    </row>
    <row r="16721" spans="8:9">
      <c r="H16721" s="1358"/>
      <c r="I16721" s="1358"/>
    </row>
    <row r="16722" spans="8:9">
      <c r="H16722" s="1358"/>
      <c r="I16722" s="1358"/>
    </row>
    <row r="16723" spans="8:9">
      <c r="H16723" s="1358"/>
      <c r="I16723" s="1358"/>
    </row>
    <row r="16724" spans="8:9">
      <c r="H16724" s="1358"/>
      <c r="I16724" s="1358"/>
    </row>
    <row r="16725" spans="8:9">
      <c r="H16725" s="1358"/>
      <c r="I16725" s="1358"/>
    </row>
    <row r="16726" spans="8:9">
      <c r="H16726" s="1358"/>
      <c r="I16726" s="1358"/>
    </row>
    <row r="16727" spans="8:9">
      <c r="H16727" s="1358"/>
      <c r="I16727" s="1358"/>
    </row>
    <row r="16728" spans="8:9">
      <c r="H16728" s="1358"/>
      <c r="I16728" s="1358"/>
    </row>
    <row r="16729" spans="8:9">
      <c r="H16729" s="1358"/>
      <c r="I16729" s="1358"/>
    </row>
    <row r="16730" spans="8:9">
      <c r="H16730" s="1358"/>
      <c r="I16730" s="1358"/>
    </row>
    <row r="16731" spans="8:9">
      <c r="H16731" s="1358"/>
      <c r="I16731" s="1358"/>
    </row>
    <row r="16732" spans="8:9">
      <c r="H16732" s="1358"/>
      <c r="I16732" s="1358"/>
    </row>
    <row r="16733" spans="8:9">
      <c r="H16733" s="1358"/>
      <c r="I16733" s="1358"/>
    </row>
    <row r="16734" spans="8:9">
      <c r="H16734" s="1358"/>
      <c r="I16734" s="1358"/>
    </row>
    <row r="16735" spans="8:9">
      <c r="H16735" s="1358"/>
      <c r="I16735" s="1358"/>
    </row>
    <row r="16736" spans="8:9">
      <c r="H16736" s="1358"/>
      <c r="I16736" s="1358"/>
    </row>
    <row r="16737" spans="8:9">
      <c r="H16737" s="1358"/>
      <c r="I16737" s="1358"/>
    </row>
    <row r="16738" spans="8:9">
      <c r="H16738" s="1358"/>
      <c r="I16738" s="1358"/>
    </row>
    <row r="16739" spans="8:9">
      <c r="H16739" s="1358"/>
      <c r="I16739" s="1358"/>
    </row>
    <row r="16740" spans="8:9">
      <c r="H16740" s="1358"/>
      <c r="I16740" s="1358"/>
    </row>
    <row r="16741" spans="8:9">
      <c r="H16741" s="1358"/>
      <c r="I16741" s="1358"/>
    </row>
    <row r="16742" spans="8:9">
      <c r="H16742" s="1358"/>
      <c r="I16742" s="1358"/>
    </row>
    <row r="16743" spans="8:9">
      <c r="H16743" s="1358"/>
      <c r="I16743" s="1358"/>
    </row>
    <row r="16744" spans="8:9">
      <c r="H16744" s="1358"/>
      <c r="I16744" s="1358"/>
    </row>
    <row r="16745" spans="8:9">
      <c r="H16745" s="1358"/>
      <c r="I16745" s="1358"/>
    </row>
    <row r="16746" spans="8:9">
      <c r="H16746" s="1358"/>
      <c r="I16746" s="1358"/>
    </row>
    <row r="16747" spans="8:9">
      <c r="H16747" s="1358"/>
      <c r="I16747" s="1358"/>
    </row>
    <row r="16748" spans="8:9">
      <c r="H16748" s="1358"/>
      <c r="I16748" s="1358"/>
    </row>
    <row r="16749" spans="8:9">
      <c r="H16749" s="1358"/>
      <c r="I16749" s="1358"/>
    </row>
    <row r="16750" spans="8:9">
      <c r="H16750" s="1358"/>
      <c r="I16750" s="1358"/>
    </row>
    <row r="16751" spans="8:9">
      <c r="H16751" s="1358"/>
      <c r="I16751" s="1358"/>
    </row>
    <row r="16752" spans="8:9">
      <c r="H16752" s="1358"/>
      <c r="I16752" s="1358"/>
    </row>
    <row r="16753" spans="8:9">
      <c r="H16753" s="1358"/>
      <c r="I16753" s="1358"/>
    </row>
    <row r="16754" spans="8:9">
      <c r="H16754" s="1358"/>
      <c r="I16754" s="1358"/>
    </row>
    <row r="16755" spans="8:9">
      <c r="H16755" s="1358"/>
      <c r="I16755" s="1358"/>
    </row>
    <row r="16756" spans="8:9">
      <c r="H16756" s="1358"/>
      <c r="I16756" s="1358"/>
    </row>
    <row r="16757" spans="8:9">
      <c r="H16757" s="1358"/>
      <c r="I16757" s="1358"/>
    </row>
    <row r="16758" spans="8:9">
      <c r="H16758" s="1358"/>
      <c r="I16758" s="1358"/>
    </row>
    <row r="16759" spans="8:9">
      <c r="H16759" s="1358"/>
      <c r="I16759" s="1358"/>
    </row>
    <row r="16760" spans="8:9">
      <c r="H16760" s="1358"/>
      <c r="I16760" s="1358"/>
    </row>
    <row r="16761" spans="8:9">
      <c r="H16761" s="1358"/>
      <c r="I16761" s="1358"/>
    </row>
    <row r="16762" spans="8:9">
      <c r="H16762" s="1358"/>
      <c r="I16762" s="1358"/>
    </row>
    <row r="16763" spans="8:9">
      <c r="H16763" s="1358"/>
      <c r="I16763" s="1358"/>
    </row>
    <row r="16764" spans="8:9">
      <c r="H16764" s="1358"/>
      <c r="I16764" s="1358"/>
    </row>
    <row r="16765" spans="8:9">
      <c r="H16765" s="1358"/>
      <c r="I16765" s="1358"/>
    </row>
    <row r="16766" spans="8:9">
      <c r="H16766" s="1358"/>
      <c r="I16766" s="1358"/>
    </row>
    <row r="16767" spans="8:9">
      <c r="H16767" s="1358"/>
      <c r="I16767" s="1358"/>
    </row>
    <row r="16768" spans="8:9">
      <c r="H16768" s="1358"/>
      <c r="I16768" s="1358"/>
    </row>
    <row r="16769" spans="8:9">
      <c r="H16769" s="1358"/>
      <c r="I16769" s="1358"/>
    </row>
    <row r="16770" spans="8:9">
      <c r="H16770" s="1358"/>
      <c r="I16770" s="1358"/>
    </row>
    <row r="16771" spans="8:9">
      <c r="H16771" s="1358"/>
      <c r="I16771" s="1358"/>
    </row>
    <row r="16772" spans="8:9">
      <c r="H16772" s="1358"/>
      <c r="I16772" s="1358"/>
    </row>
    <row r="16773" spans="8:9">
      <c r="H16773" s="1358"/>
      <c r="I16773" s="1358"/>
    </row>
    <row r="16774" spans="8:9">
      <c r="H16774" s="1358"/>
      <c r="I16774" s="1358"/>
    </row>
    <row r="16775" spans="8:9">
      <c r="H16775" s="1358"/>
      <c r="I16775" s="1358"/>
    </row>
    <row r="16776" spans="8:9">
      <c r="H16776" s="1358"/>
      <c r="I16776" s="1358"/>
    </row>
    <row r="16777" spans="8:9">
      <c r="H16777" s="1358"/>
      <c r="I16777" s="1358"/>
    </row>
    <row r="16778" spans="8:9">
      <c r="H16778" s="1358"/>
      <c r="I16778" s="1358"/>
    </row>
    <row r="16779" spans="8:9">
      <c r="H16779" s="1358"/>
      <c r="I16779" s="1358"/>
    </row>
    <row r="16780" spans="8:9">
      <c r="H16780" s="1358"/>
      <c r="I16780" s="1358"/>
    </row>
    <row r="16781" spans="8:9">
      <c r="H16781" s="1358"/>
      <c r="I16781" s="1358"/>
    </row>
    <row r="16782" spans="8:9">
      <c r="H16782" s="1358"/>
      <c r="I16782" s="1358"/>
    </row>
    <row r="16783" spans="8:9">
      <c r="H16783" s="1358"/>
      <c r="I16783" s="1358"/>
    </row>
    <row r="16784" spans="8:9">
      <c r="H16784" s="1358"/>
      <c r="I16784" s="1358"/>
    </row>
    <row r="16785" spans="8:9">
      <c r="H16785" s="1358"/>
      <c r="I16785" s="1358"/>
    </row>
    <row r="16786" spans="8:9">
      <c r="H16786" s="1358"/>
      <c r="I16786" s="1358"/>
    </row>
    <row r="16787" spans="8:9">
      <c r="H16787" s="1358"/>
      <c r="I16787" s="1358"/>
    </row>
    <row r="16788" spans="8:9">
      <c r="H16788" s="1358"/>
      <c r="I16788" s="1358"/>
    </row>
    <row r="16789" spans="8:9">
      <c r="H16789" s="1358"/>
      <c r="I16789" s="1358"/>
    </row>
    <row r="16790" spans="8:9">
      <c r="H16790" s="1358"/>
      <c r="I16790" s="1358"/>
    </row>
    <row r="16791" spans="8:9">
      <c r="H16791" s="1358"/>
      <c r="I16791" s="1358"/>
    </row>
    <row r="16792" spans="8:9">
      <c r="H16792" s="1358"/>
      <c r="I16792" s="1358"/>
    </row>
    <row r="16793" spans="8:9">
      <c r="H16793" s="1358"/>
      <c r="I16793" s="1358"/>
    </row>
    <row r="16794" spans="8:9">
      <c r="H16794" s="1358"/>
      <c r="I16794" s="1358"/>
    </row>
    <row r="16795" spans="8:9">
      <c r="H16795" s="1358"/>
      <c r="I16795" s="1358"/>
    </row>
    <row r="16796" spans="8:9">
      <c r="H16796" s="1358"/>
      <c r="I16796" s="1358"/>
    </row>
    <row r="16797" spans="8:9">
      <c r="H16797" s="1358"/>
      <c r="I16797" s="1358"/>
    </row>
    <row r="16798" spans="8:9">
      <c r="H16798" s="1358"/>
      <c r="I16798" s="1358"/>
    </row>
    <row r="16799" spans="8:9">
      <c r="H16799" s="1358"/>
      <c r="I16799" s="1358"/>
    </row>
    <row r="16800" spans="8:9">
      <c r="H16800" s="1358"/>
      <c r="I16800" s="1358"/>
    </row>
    <row r="16801" spans="8:9">
      <c r="H16801" s="1358"/>
      <c r="I16801" s="1358"/>
    </row>
    <row r="16802" spans="8:9">
      <c r="H16802" s="1358"/>
      <c r="I16802" s="1358"/>
    </row>
    <row r="16803" spans="8:9">
      <c r="H16803" s="1358"/>
      <c r="I16803" s="1358"/>
    </row>
    <row r="16804" spans="8:9">
      <c r="H16804" s="1358"/>
      <c r="I16804" s="1358"/>
    </row>
    <row r="16805" spans="8:9">
      <c r="H16805" s="1358"/>
      <c r="I16805" s="1358"/>
    </row>
    <row r="16806" spans="8:9">
      <c r="H16806" s="1358"/>
      <c r="I16806" s="1358"/>
    </row>
    <row r="16807" spans="8:9">
      <c r="H16807" s="1358"/>
      <c r="I16807" s="1358"/>
    </row>
    <row r="16808" spans="8:9">
      <c r="H16808" s="1358"/>
      <c r="I16808" s="1358"/>
    </row>
    <row r="16809" spans="8:9">
      <c r="H16809" s="1358"/>
      <c r="I16809" s="1358"/>
    </row>
    <row r="16810" spans="8:9">
      <c r="H16810" s="1358"/>
      <c r="I16810" s="1358"/>
    </row>
    <row r="16811" spans="8:9">
      <c r="H16811" s="1358"/>
      <c r="I16811" s="1358"/>
    </row>
    <row r="16812" spans="8:9">
      <c r="H16812" s="1358"/>
      <c r="I16812" s="1358"/>
    </row>
    <row r="16813" spans="8:9">
      <c r="H16813" s="1358"/>
      <c r="I16813" s="1358"/>
    </row>
    <row r="16814" spans="8:9">
      <c r="H16814" s="1358"/>
      <c r="I16814" s="1358"/>
    </row>
    <row r="16815" spans="8:9">
      <c r="H16815" s="1358"/>
      <c r="I16815" s="1358"/>
    </row>
    <row r="16816" spans="8:9">
      <c r="H16816" s="1358"/>
      <c r="I16816" s="1358"/>
    </row>
    <row r="16817" spans="8:9">
      <c r="H16817" s="1358"/>
      <c r="I16817" s="1358"/>
    </row>
    <row r="16818" spans="8:9">
      <c r="H16818" s="1358"/>
      <c r="I16818" s="1358"/>
    </row>
    <row r="16819" spans="8:9">
      <c r="H16819" s="1358"/>
      <c r="I16819" s="1358"/>
    </row>
    <row r="16820" spans="8:9">
      <c r="H16820" s="1358"/>
      <c r="I16820" s="1358"/>
    </row>
    <row r="16821" spans="8:9">
      <c r="H16821" s="1358"/>
      <c r="I16821" s="1358"/>
    </row>
    <row r="16822" spans="8:9">
      <c r="H16822" s="1358"/>
      <c r="I16822" s="1358"/>
    </row>
    <row r="16823" spans="8:9">
      <c r="H16823" s="1358"/>
      <c r="I16823" s="1358"/>
    </row>
    <row r="16824" spans="8:9">
      <c r="H16824" s="1358"/>
      <c r="I16824" s="1358"/>
    </row>
    <row r="16825" spans="8:9">
      <c r="H16825" s="1358"/>
      <c r="I16825" s="1358"/>
    </row>
    <row r="16826" spans="8:9">
      <c r="H16826" s="1358"/>
      <c r="I16826" s="1358"/>
    </row>
    <row r="16827" spans="8:9">
      <c r="H16827" s="1358"/>
      <c r="I16827" s="1358"/>
    </row>
    <row r="16828" spans="8:9">
      <c r="H16828" s="1358"/>
      <c r="I16828" s="1358"/>
    </row>
    <row r="16829" spans="8:9">
      <c r="H16829" s="1358"/>
      <c r="I16829" s="1358"/>
    </row>
    <row r="16830" spans="8:9">
      <c r="H16830" s="1358"/>
      <c r="I16830" s="1358"/>
    </row>
    <row r="16831" spans="8:9">
      <c r="H16831" s="1358"/>
      <c r="I16831" s="1358"/>
    </row>
    <row r="16832" spans="8:9">
      <c r="H16832" s="1358"/>
      <c r="I16832" s="1358"/>
    </row>
    <row r="16833" spans="8:9">
      <c r="H16833" s="1358"/>
      <c r="I16833" s="1358"/>
    </row>
    <row r="16834" spans="8:9">
      <c r="H16834" s="1358"/>
      <c r="I16834" s="1358"/>
    </row>
    <row r="16835" spans="8:9">
      <c r="H16835" s="1358"/>
      <c r="I16835" s="1358"/>
    </row>
    <row r="16836" spans="8:9">
      <c r="H16836" s="1358"/>
      <c r="I16836" s="1358"/>
    </row>
    <row r="16837" spans="8:9">
      <c r="H16837" s="1358"/>
      <c r="I16837" s="1358"/>
    </row>
    <row r="16838" spans="8:9">
      <c r="H16838" s="1358"/>
      <c r="I16838" s="1358"/>
    </row>
    <row r="16839" spans="8:9">
      <c r="H16839" s="1358"/>
      <c r="I16839" s="1358"/>
    </row>
    <row r="16840" spans="8:9">
      <c r="H16840" s="1358"/>
      <c r="I16840" s="1358"/>
    </row>
    <row r="16841" spans="8:9">
      <c r="H16841" s="1358"/>
      <c r="I16841" s="1358"/>
    </row>
    <row r="16842" spans="8:9">
      <c r="H16842" s="1358"/>
      <c r="I16842" s="1358"/>
    </row>
    <row r="16843" spans="8:9">
      <c r="H16843" s="1358"/>
      <c r="I16843" s="1358"/>
    </row>
    <row r="16844" spans="8:9">
      <c r="H16844" s="1358"/>
      <c r="I16844" s="1358"/>
    </row>
    <row r="16845" spans="8:9">
      <c r="H16845" s="1358"/>
      <c r="I16845" s="1358"/>
    </row>
    <row r="16846" spans="8:9">
      <c r="H16846" s="1358"/>
      <c r="I16846" s="1358"/>
    </row>
    <row r="16847" spans="8:9">
      <c r="H16847" s="1358"/>
      <c r="I16847" s="1358"/>
    </row>
    <row r="16848" spans="8:9">
      <c r="H16848" s="1358"/>
      <c r="I16848" s="1358"/>
    </row>
    <row r="16849" spans="8:9">
      <c r="H16849" s="1358"/>
      <c r="I16849" s="1358"/>
    </row>
    <row r="16850" spans="8:9">
      <c r="H16850" s="1358"/>
      <c r="I16850" s="1358"/>
    </row>
    <row r="16851" spans="8:9">
      <c r="H16851" s="1358"/>
      <c r="I16851" s="1358"/>
    </row>
    <row r="16852" spans="8:9">
      <c r="H16852" s="1358"/>
      <c r="I16852" s="1358"/>
    </row>
    <row r="16853" spans="8:9">
      <c r="H16853" s="1358"/>
      <c r="I16853" s="1358"/>
    </row>
    <row r="16854" spans="8:9">
      <c r="H16854" s="1358"/>
      <c r="I16854" s="1358"/>
    </row>
    <row r="16855" spans="8:9">
      <c r="H16855" s="1358"/>
      <c r="I16855" s="1358"/>
    </row>
    <row r="16856" spans="8:9">
      <c r="H16856" s="1358"/>
      <c r="I16856" s="1358"/>
    </row>
    <row r="16857" spans="8:9">
      <c r="H16857" s="1358"/>
      <c r="I16857" s="1358"/>
    </row>
    <row r="16858" spans="8:9">
      <c r="H16858" s="1358"/>
      <c r="I16858" s="1358"/>
    </row>
    <row r="16859" spans="8:9">
      <c r="H16859" s="1358"/>
      <c r="I16859" s="1358"/>
    </row>
    <row r="16860" spans="8:9">
      <c r="H16860" s="1358"/>
      <c r="I16860" s="1358"/>
    </row>
    <row r="16861" spans="8:9">
      <c r="H16861" s="1358"/>
      <c r="I16861" s="1358"/>
    </row>
    <row r="16862" spans="8:9">
      <c r="H16862" s="1358"/>
      <c r="I16862" s="1358"/>
    </row>
    <row r="16863" spans="8:9">
      <c r="H16863" s="1358"/>
      <c r="I16863" s="1358"/>
    </row>
    <row r="16864" spans="8:9">
      <c r="H16864" s="1358"/>
      <c r="I16864" s="1358"/>
    </row>
    <row r="16865" spans="8:9">
      <c r="H16865" s="1358"/>
      <c r="I16865" s="1358"/>
    </row>
    <row r="16866" spans="8:9">
      <c r="H16866" s="1358"/>
      <c r="I16866" s="1358"/>
    </row>
    <row r="16867" spans="8:9">
      <c r="H16867" s="1358"/>
      <c r="I16867" s="1358"/>
    </row>
    <row r="16868" spans="8:9">
      <c r="H16868" s="1358"/>
      <c r="I16868" s="1358"/>
    </row>
    <row r="16869" spans="8:9">
      <c r="H16869" s="1358"/>
      <c r="I16869" s="1358"/>
    </row>
    <row r="16870" spans="8:9">
      <c r="H16870" s="1358"/>
      <c r="I16870" s="1358"/>
    </row>
    <row r="16871" spans="8:9">
      <c r="H16871" s="1358"/>
      <c r="I16871" s="1358"/>
    </row>
    <row r="16872" spans="8:9">
      <c r="H16872" s="1358"/>
      <c r="I16872" s="1358"/>
    </row>
    <row r="16873" spans="8:9">
      <c r="H16873" s="1358"/>
      <c r="I16873" s="1358"/>
    </row>
    <row r="16874" spans="8:9">
      <c r="H16874" s="1358"/>
      <c r="I16874" s="1358"/>
    </row>
    <row r="16875" spans="8:9">
      <c r="H16875" s="1358"/>
      <c r="I16875" s="1358"/>
    </row>
    <row r="16876" spans="8:9">
      <c r="H16876" s="1358"/>
      <c r="I16876" s="1358"/>
    </row>
    <row r="16877" spans="8:9">
      <c r="H16877" s="1358"/>
      <c r="I16877" s="1358"/>
    </row>
    <row r="16878" spans="8:9">
      <c r="H16878" s="1358"/>
      <c r="I16878" s="1358"/>
    </row>
    <row r="16879" spans="8:9">
      <c r="H16879" s="1358"/>
      <c r="I16879" s="1358"/>
    </row>
    <row r="16880" spans="8:9">
      <c r="H16880" s="1358"/>
      <c r="I16880" s="1358"/>
    </row>
    <row r="16881" spans="8:9">
      <c r="H16881" s="1358"/>
      <c r="I16881" s="1358"/>
    </row>
    <row r="16882" spans="8:9">
      <c r="H16882" s="1358"/>
      <c r="I16882" s="1358"/>
    </row>
    <row r="16883" spans="8:9">
      <c r="H16883" s="1358"/>
      <c r="I16883" s="1358"/>
    </row>
    <row r="16884" spans="8:9">
      <c r="H16884" s="1358"/>
      <c r="I16884" s="1358"/>
    </row>
    <row r="16885" spans="8:9">
      <c r="H16885" s="1358"/>
      <c r="I16885" s="1358"/>
    </row>
    <row r="16886" spans="8:9">
      <c r="H16886" s="1358"/>
      <c r="I16886" s="1358"/>
    </row>
    <row r="16887" spans="8:9">
      <c r="H16887" s="1358"/>
      <c r="I16887" s="1358"/>
    </row>
    <row r="16888" spans="8:9">
      <c r="H16888" s="1358"/>
      <c r="I16888" s="1358"/>
    </row>
    <row r="16889" spans="8:9">
      <c r="H16889" s="1358"/>
      <c r="I16889" s="1358"/>
    </row>
    <row r="16890" spans="8:9">
      <c r="H16890" s="1358"/>
      <c r="I16890" s="1358"/>
    </row>
    <row r="16891" spans="8:9">
      <c r="H16891" s="1358"/>
      <c r="I16891" s="1358"/>
    </row>
    <row r="16892" spans="8:9">
      <c r="H16892" s="1358"/>
      <c r="I16892" s="1358"/>
    </row>
    <row r="16893" spans="8:9">
      <c r="H16893" s="1358"/>
      <c r="I16893" s="1358"/>
    </row>
    <row r="16894" spans="8:9">
      <c r="H16894" s="1358"/>
      <c r="I16894" s="1358"/>
    </row>
    <row r="16895" spans="8:9">
      <c r="H16895" s="1358"/>
      <c r="I16895" s="1358"/>
    </row>
    <row r="16896" spans="8:9">
      <c r="H16896" s="1358"/>
      <c r="I16896" s="1358"/>
    </row>
    <row r="16897" spans="8:9">
      <c r="H16897" s="1358"/>
      <c r="I16897" s="1358"/>
    </row>
    <row r="16898" spans="8:9">
      <c r="H16898" s="1358"/>
      <c r="I16898" s="1358"/>
    </row>
    <row r="16899" spans="8:9">
      <c r="H16899" s="1358"/>
      <c r="I16899" s="1358"/>
    </row>
    <row r="16900" spans="8:9">
      <c r="H16900" s="1358"/>
      <c r="I16900" s="1358"/>
    </row>
    <row r="16901" spans="8:9">
      <c r="H16901" s="1358"/>
      <c r="I16901" s="1358"/>
    </row>
    <row r="16902" spans="8:9">
      <c r="H16902" s="1358"/>
      <c r="I16902" s="1358"/>
    </row>
    <row r="16903" spans="8:9">
      <c r="H16903" s="1358"/>
      <c r="I16903" s="1358"/>
    </row>
    <row r="16904" spans="8:9">
      <c r="H16904" s="1358"/>
      <c r="I16904" s="1358"/>
    </row>
    <row r="16905" spans="8:9">
      <c r="H16905" s="1358"/>
      <c r="I16905" s="1358"/>
    </row>
    <row r="16906" spans="8:9">
      <c r="H16906" s="1358"/>
      <c r="I16906" s="1358"/>
    </row>
    <row r="16907" spans="8:9">
      <c r="H16907" s="1358"/>
      <c r="I16907" s="1358"/>
    </row>
    <row r="16908" spans="8:9">
      <c r="H16908" s="1358"/>
      <c r="I16908" s="1358"/>
    </row>
    <row r="16909" spans="8:9">
      <c r="H16909" s="1358"/>
      <c r="I16909" s="1358"/>
    </row>
    <row r="16910" spans="8:9">
      <c r="H16910" s="1358"/>
      <c r="I16910" s="1358"/>
    </row>
    <row r="16911" spans="8:9">
      <c r="H16911" s="1358"/>
      <c r="I16911" s="1358"/>
    </row>
    <row r="16912" spans="8:9">
      <c r="H16912" s="1358"/>
      <c r="I16912" s="1358"/>
    </row>
    <row r="16913" spans="8:9">
      <c r="H16913" s="1358"/>
      <c r="I16913" s="1358"/>
    </row>
    <row r="16914" spans="8:9">
      <c r="H16914" s="1358"/>
      <c r="I16914" s="1358"/>
    </row>
    <row r="16915" spans="8:9">
      <c r="H16915" s="1358"/>
      <c r="I16915" s="1358"/>
    </row>
    <row r="16916" spans="8:9">
      <c r="H16916" s="1358"/>
      <c r="I16916" s="1358"/>
    </row>
    <row r="16917" spans="8:9">
      <c r="H16917" s="1358"/>
      <c r="I16917" s="1358"/>
    </row>
    <row r="16918" spans="8:9">
      <c r="H16918" s="1358"/>
      <c r="I16918" s="1358"/>
    </row>
    <row r="16919" spans="8:9">
      <c r="H16919" s="1358"/>
      <c r="I16919" s="1358"/>
    </row>
    <row r="16920" spans="8:9">
      <c r="H16920" s="1358"/>
      <c r="I16920" s="1358"/>
    </row>
    <row r="16921" spans="8:9">
      <c r="H16921" s="1358"/>
      <c r="I16921" s="1358"/>
    </row>
    <row r="16922" spans="8:9">
      <c r="H16922" s="1358"/>
      <c r="I16922" s="1358"/>
    </row>
    <row r="16923" spans="8:9">
      <c r="H16923" s="1358"/>
      <c r="I16923" s="1358"/>
    </row>
    <row r="16924" spans="8:9">
      <c r="H16924" s="1358"/>
      <c r="I16924" s="1358"/>
    </row>
    <row r="16925" spans="8:9">
      <c r="H16925" s="1358"/>
      <c r="I16925" s="1358"/>
    </row>
    <row r="16926" spans="8:9">
      <c r="H16926" s="1358"/>
      <c r="I16926" s="1358"/>
    </row>
    <row r="16927" spans="8:9">
      <c r="H16927" s="1358"/>
      <c r="I16927" s="1358"/>
    </row>
    <row r="16928" spans="8:9">
      <c r="H16928" s="1358"/>
      <c r="I16928" s="1358"/>
    </row>
    <row r="16929" spans="8:9">
      <c r="H16929" s="1358"/>
      <c r="I16929" s="1358"/>
    </row>
    <row r="16930" spans="8:9">
      <c r="H16930" s="1358"/>
      <c r="I16930" s="1358"/>
    </row>
    <row r="16931" spans="8:9">
      <c r="H16931" s="1358"/>
      <c r="I16931" s="1358"/>
    </row>
    <row r="16932" spans="8:9">
      <c r="H16932" s="1358"/>
      <c r="I16932" s="1358"/>
    </row>
    <row r="16933" spans="8:9">
      <c r="H16933" s="1358"/>
      <c r="I16933" s="1358"/>
    </row>
    <row r="16934" spans="8:9">
      <c r="H16934" s="1358"/>
      <c r="I16934" s="1358"/>
    </row>
    <row r="16935" spans="8:9">
      <c r="H16935" s="1358"/>
      <c r="I16935" s="1358"/>
    </row>
    <row r="16936" spans="8:9">
      <c r="H16936" s="1358"/>
      <c r="I16936" s="1358"/>
    </row>
    <row r="16937" spans="8:9">
      <c r="H16937" s="1358"/>
      <c r="I16937" s="1358"/>
    </row>
    <row r="16938" spans="8:9">
      <c r="H16938" s="1358"/>
      <c r="I16938" s="1358"/>
    </row>
    <row r="16939" spans="8:9">
      <c r="H16939" s="1358"/>
      <c r="I16939" s="1358"/>
    </row>
    <row r="16940" spans="8:9">
      <c r="H16940" s="1358"/>
      <c r="I16940" s="1358"/>
    </row>
    <row r="16941" spans="8:9">
      <c r="H16941" s="1358"/>
      <c r="I16941" s="1358"/>
    </row>
    <row r="16942" spans="8:9">
      <c r="H16942" s="1358"/>
      <c r="I16942" s="1358"/>
    </row>
    <row r="16943" spans="8:9">
      <c r="H16943" s="1358"/>
      <c r="I16943" s="1358"/>
    </row>
    <row r="16944" spans="8:9">
      <c r="H16944" s="1358"/>
      <c r="I16944" s="1358"/>
    </row>
    <row r="16945" spans="8:9">
      <c r="H16945" s="1358"/>
      <c r="I16945" s="1358"/>
    </row>
    <row r="16946" spans="8:9">
      <c r="H16946" s="1358"/>
      <c r="I16946" s="1358"/>
    </row>
    <row r="16947" spans="8:9">
      <c r="H16947" s="1358"/>
      <c r="I16947" s="1358"/>
    </row>
    <row r="16948" spans="8:9">
      <c r="H16948" s="1358"/>
      <c r="I16948" s="1358"/>
    </row>
    <row r="16949" spans="8:9">
      <c r="H16949" s="1358"/>
      <c r="I16949" s="1358"/>
    </row>
    <row r="16950" spans="8:9">
      <c r="H16950" s="1358"/>
      <c r="I16950" s="1358"/>
    </row>
    <row r="16951" spans="8:9">
      <c r="H16951" s="1358"/>
      <c r="I16951" s="1358"/>
    </row>
    <row r="16952" spans="8:9">
      <c r="H16952" s="1358"/>
      <c r="I16952" s="1358"/>
    </row>
    <row r="16953" spans="8:9">
      <c r="H16953" s="1358"/>
      <c r="I16953" s="1358"/>
    </row>
    <row r="16954" spans="8:9">
      <c r="H16954" s="1358"/>
      <c r="I16954" s="1358"/>
    </row>
    <row r="16955" spans="8:9">
      <c r="H16955" s="1358"/>
      <c r="I16955" s="1358"/>
    </row>
    <row r="16956" spans="8:9">
      <c r="H16956" s="1358"/>
      <c r="I16956" s="1358"/>
    </row>
    <row r="16957" spans="8:9">
      <c r="H16957" s="1358"/>
      <c r="I16957" s="1358"/>
    </row>
    <row r="16958" spans="8:9">
      <c r="H16958" s="1358"/>
      <c r="I16958" s="1358"/>
    </row>
    <row r="16959" spans="8:9">
      <c r="H16959" s="1358"/>
      <c r="I16959" s="1358"/>
    </row>
    <row r="16960" spans="8:9">
      <c r="H16960" s="1358"/>
      <c r="I16960" s="1358"/>
    </row>
    <row r="16961" spans="8:9">
      <c r="H16961" s="1358"/>
      <c r="I16961" s="1358"/>
    </row>
    <row r="16962" spans="8:9">
      <c r="H16962" s="1358"/>
      <c r="I16962" s="1358"/>
    </row>
    <row r="16963" spans="8:9">
      <c r="H16963" s="1358"/>
      <c r="I16963" s="1358"/>
    </row>
    <row r="16964" spans="8:9">
      <c r="H16964" s="1358"/>
      <c r="I16964" s="1358"/>
    </row>
    <row r="16965" spans="8:9">
      <c r="H16965" s="1358"/>
      <c r="I16965" s="1358"/>
    </row>
    <row r="16966" spans="8:9">
      <c r="H16966" s="1358"/>
      <c r="I16966" s="1358"/>
    </row>
    <row r="16967" spans="8:9">
      <c r="H16967" s="1358"/>
      <c r="I16967" s="1358"/>
    </row>
    <row r="16968" spans="8:9">
      <c r="H16968" s="1358"/>
      <c r="I16968" s="1358"/>
    </row>
    <row r="16969" spans="8:9">
      <c r="H16969" s="1358"/>
      <c r="I16969" s="1358"/>
    </row>
    <row r="16970" spans="8:9">
      <c r="H16970" s="1358"/>
      <c r="I16970" s="1358"/>
    </row>
    <row r="16971" spans="8:9">
      <c r="H16971" s="1358"/>
      <c r="I16971" s="1358"/>
    </row>
    <row r="16972" spans="8:9">
      <c r="H16972" s="1358"/>
      <c r="I16972" s="1358"/>
    </row>
    <row r="16973" spans="8:9">
      <c r="H16973" s="1358"/>
      <c r="I16973" s="1358"/>
    </row>
    <row r="16974" spans="8:9">
      <c r="H16974" s="1358"/>
      <c r="I16974" s="1358"/>
    </row>
    <row r="16975" spans="8:9">
      <c r="H16975" s="1358"/>
      <c r="I16975" s="1358"/>
    </row>
    <row r="16976" spans="8:9">
      <c r="H16976" s="1358"/>
      <c r="I16976" s="1358"/>
    </row>
    <row r="16977" spans="8:9">
      <c r="H16977" s="1358"/>
      <c r="I16977" s="1358"/>
    </row>
    <row r="16978" spans="8:9">
      <c r="H16978" s="1358"/>
      <c r="I16978" s="1358"/>
    </row>
    <row r="16979" spans="8:9">
      <c r="H16979" s="1358"/>
      <c r="I16979" s="1358"/>
    </row>
    <row r="16980" spans="8:9">
      <c r="H16980" s="1358"/>
      <c r="I16980" s="1358"/>
    </row>
    <row r="16981" spans="8:9">
      <c r="H16981" s="1358"/>
      <c r="I16981" s="1358"/>
    </row>
    <row r="16982" spans="8:9">
      <c r="H16982" s="1358"/>
      <c r="I16982" s="1358"/>
    </row>
    <row r="16983" spans="8:9">
      <c r="H16983" s="1358"/>
      <c r="I16983" s="1358"/>
    </row>
    <row r="16984" spans="8:9">
      <c r="H16984" s="1358"/>
      <c r="I16984" s="1358"/>
    </row>
    <row r="16985" spans="8:9">
      <c r="H16985" s="1358"/>
      <c r="I16985" s="1358"/>
    </row>
    <row r="16986" spans="8:9">
      <c r="H16986" s="1358"/>
      <c r="I16986" s="1358"/>
    </row>
    <row r="16987" spans="8:9">
      <c r="H16987" s="1358"/>
      <c r="I16987" s="1358"/>
    </row>
    <row r="16988" spans="8:9">
      <c r="H16988" s="1358"/>
      <c r="I16988" s="1358"/>
    </row>
    <row r="16989" spans="8:9">
      <c r="H16989" s="1358"/>
      <c r="I16989" s="1358"/>
    </row>
    <row r="16990" spans="8:9">
      <c r="H16990" s="1358"/>
      <c r="I16990" s="1358"/>
    </row>
    <row r="16991" spans="8:9">
      <c r="H16991" s="1358"/>
      <c r="I16991" s="1358"/>
    </row>
    <row r="16992" spans="8:9">
      <c r="H16992" s="1358"/>
      <c r="I16992" s="1358"/>
    </row>
    <row r="16993" spans="8:9">
      <c r="H16993" s="1358"/>
      <c r="I16993" s="1358"/>
    </row>
    <row r="16994" spans="8:9">
      <c r="H16994" s="1358"/>
      <c r="I16994" s="1358"/>
    </row>
    <row r="16995" spans="8:9">
      <c r="H16995" s="1358"/>
      <c r="I16995" s="1358"/>
    </row>
    <row r="16996" spans="8:9">
      <c r="H16996" s="1358"/>
      <c r="I16996" s="1358"/>
    </row>
    <row r="16997" spans="8:9">
      <c r="H16997" s="1358"/>
      <c r="I16997" s="1358"/>
    </row>
    <row r="16998" spans="8:9">
      <c r="H16998" s="1358"/>
      <c r="I16998" s="1358"/>
    </row>
    <row r="16999" spans="8:9">
      <c r="H16999" s="1358"/>
      <c r="I16999" s="1358"/>
    </row>
    <row r="17000" spans="8:9">
      <c r="H17000" s="1358"/>
      <c r="I17000" s="1358"/>
    </row>
    <row r="17001" spans="8:9">
      <c r="H17001" s="1358"/>
      <c r="I17001" s="1358"/>
    </row>
    <row r="17002" spans="8:9">
      <c r="H17002" s="1358"/>
      <c r="I17002" s="1358"/>
    </row>
    <row r="17003" spans="8:9">
      <c r="H17003" s="1358"/>
      <c r="I17003" s="1358"/>
    </row>
    <row r="17004" spans="8:9">
      <c r="H17004" s="1358"/>
      <c r="I17004" s="1358"/>
    </row>
    <row r="17005" spans="8:9">
      <c r="H17005" s="1358"/>
      <c r="I17005" s="1358"/>
    </row>
    <row r="17006" spans="8:9">
      <c r="H17006" s="1358"/>
      <c r="I17006" s="1358"/>
    </row>
    <row r="17007" spans="8:9">
      <c r="H17007" s="1358"/>
      <c r="I17007" s="1358"/>
    </row>
    <row r="17008" spans="8:9">
      <c r="H17008" s="1358"/>
      <c r="I17008" s="1358"/>
    </row>
    <row r="17009" spans="8:9">
      <c r="H17009" s="1358"/>
      <c r="I17009" s="1358"/>
    </row>
    <row r="17010" spans="8:9">
      <c r="H17010" s="1358"/>
      <c r="I17010" s="1358"/>
    </row>
    <row r="17011" spans="8:9">
      <c r="H17011" s="1358"/>
      <c r="I17011" s="1358"/>
    </row>
    <row r="17012" spans="8:9">
      <c r="H17012" s="1358"/>
      <c r="I17012" s="1358"/>
    </row>
    <row r="17013" spans="8:9">
      <c r="H17013" s="1358"/>
      <c r="I17013" s="1358"/>
    </row>
    <row r="17014" spans="8:9">
      <c r="H17014" s="1358"/>
      <c r="I17014" s="1358"/>
    </row>
    <row r="17015" spans="8:9">
      <c r="H17015" s="1358"/>
      <c r="I17015" s="1358"/>
    </row>
    <row r="17016" spans="8:9">
      <c r="H17016" s="1358"/>
      <c r="I17016" s="1358"/>
    </row>
    <row r="17017" spans="8:9">
      <c r="H17017" s="1358"/>
      <c r="I17017" s="1358"/>
    </row>
    <row r="17018" spans="8:9">
      <c r="H17018" s="1358"/>
      <c r="I17018" s="1358"/>
    </row>
    <row r="17019" spans="8:9">
      <c r="H17019" s="1358"/>
      <c r="I17019" s="1358"/>
    </row>
    <row r="17020" spans="8:9">
      <c r="H17020" s="1358"/>
      <c r="I17020" s="1358"/>
    </row>
    <row r="17021" spans="8:9">
      <c r="H17021" s="1358"/>
      <c r="I17021" s="1358"/>
    </row>
    <row r="17022" spans="8:9">
      <c r="H17022" s="1358"/>
      <c r="I17022" s="1358"/>
    </row>
    <row r="17023" spans="8:9">
      <c r="H17023" s="1358"/>
      <c r="I17023" s="1358"/>
    </row>
    <row r="17024" spans="8:9">
      <c r="H17024" s="1358"/>
      <c r="I17024" s="1358"/>
    </row>
    <row r="17025" spans="8:9">
      <c r="H17025" s="1358"/>
      <c r="I17025" s="1358"/>
    </row>
    <row r="17026" spans="8:9">
      <c r="H17026" s="1358"/>
      <c r="I17026" s="1358"/>
    </row>
    <row r="17027" spans="8:9">
      <c r="H17027" s="1358"/>
      <c r="I17027" s="1358"/>
    </row>
    <row r="17028" spans="8:9">
      <c r="H17028" s="1358"/>
      <c r="I17028" s="1358"/>
    </row>
    <row r="17029" spans="8:9">
      <c r="H17029" s="1358"/>
      <c r="I17029" s="1358"/>
    </row>
    <row r="17030" spans="8:9">
      <c r="H17030" s="1358"/>
      <c r="I17030" s="1358"/>
    </row>
    <row r="17031" spans="8:9">
      <c r="H17031" s="1358"/>
      <c r="I17031" s="1358"/>
    </row>
    <row r="17032" spans="8:9">
      <c r="H17032" s="1358"/>
      <c r="I17032" s="1358"/>
    </row>
    <row r="17033" spans="8:9">
      <c r="H17033" s="1358"/>
      <c r="I17033" s="1358"/>
    </row>
    <row r="17034" spans="8:9">
      <c r="H17034" s="1358"/>
      <c r="I17034" s="1358"/>
    </row>
    <row r="17035" spans="8:9">
      <c r="H17035" s="1358"/>
      <c r="I17035" s="1358"/>
    </row>
    <row r="17036" spans="8:9">
      <c r="H17036" s="1358"/>
      <c r="I17036" s="1358"/>
    </row>
    <row r="17037" spans="8:9">
      <c r="H17037" s="1358"/>
      <c r="I17037" s="1358"/>
    </row>
    <row r="17038" spans="8:9">
      <c r="H17038" s="1358"/>
      <c r="I17038" s="1358"/>
    </row>
    <row r="17039" spans="8:9">
      <c r="H17039" s="1358"/>
      <c r="I17039" s="1358"/>
    </row>
    <row r="17040" spans="8:9">
      <c r="H17040" s="1358"/>
      <c r="I17040" s="1358"/>
    </row>
    <row r="17041" spans="8:9">
      <c r="H17041" s="1358"/>
      <c r="I17041" s="1358"/>
    </row>
    <row r="17042" spans="8:9">
      <c r="H17042" s="1358"/>
      <c r="I17042" s="1358"/>
    </row>
    <row r="17043" spans="8:9">
      <c r="H17043" s="1358"/>
      <c r="I17043" s="1358"/>
    </row>
    <row r="17044" spans="8:9">
      <c r="H17044" s="1358"/>
      <c r="I17044" s="1358"/>
    </row>
    <row r="17045" spans="8:9">
      <c r="H17045" s="1358"/>
      <c r="I17045" s="1358"/>
    </row>
    <row r="17046" spans="8:9">
      <c r="H17046" s="1358"/>
      <c r="I17046" s="1358"/>
    </row>
    <row r="17047" spans="8:9">
      <c r="H17047" s="1358"/>
      <c r="I17047" s="1358"/>
    </row>
    <row r="17048" spans="8:9">
      <c r="H17048" s="1358"/>
      <c r="I17048" s="1358"/>
    </row>
    <row r="17049" spans="8:9">
      <c r="H17049" s="1358"/>
      <c r="I17049" s="1358"/>
    </row>
    <row r="17050" spans="8:9">
      <c r="H17050" s="1358"/>
      <c r="I17050" s="1358"/>
    </row>
    <row r="17051" spans="8:9">
      <c r="H17051" s="1358"/>
      <c r="I17051" s="1358"/>
    </row>
    <row r="17052" spans="8:9">
      <c r="H17052" s="1358"/>
      <c r="I17052" s="1358"/>
    </row>
    <row r="17053" spans="8:9">
      <c r="H17053" s="1358"/>
      <c r="I17053" s="1358"/>
    </row>
    <row r="17054" spans="8:9">
      <c r="H17054" s="1358"/>
      <c r="I17054" s="1358"/>
    </row>
    <row r="17055" spans="8:9">
      <c r="H17055" s="1358"/>
      <c r="I17055" s="1358"/>
    </row>
    <row r="17056" spans="8:9">
      <c r="H17056" s="1358"/>
      <c r="I17056" s="1358"/>
    </row>
    <row r="17057" spans="8:9">
      <c r="H17057" s="1358"/>
      <c r="I17057" s="1358"/>
    </row>
    <row r="17058" spans="8:9">
      <c r="H17058" s="1358"/>
      <c r="I17058" s="1358"/>
    </row>
    <row r="17059" spans="8:9">
      <c r="H17059" s="1358"/>
      <c r="I17059" s="1358"/>
    </row>
    <row r="17060" spans="8:9">
      <c r="H17060" s="1358"/>
      <c r="I17060" s="1358"/>
    </row>
    <row r="17061" spans="8:9">
      <c r="H17061" s="1358"/>
      <c r="I17061" s="1358"/>
    </row>
    <row r="17062" spans="8:9">
      <c r="H17062" s="1358"/>
      <c r="I17062" s="1358"/>
    </row>
    <row r="17063" spans="8:9">
      <c r="H17063" s="1358"/>
      <c r="I17063" s="1358"/>
    </row>
    <row r="17064" spans="8:9">
      <c r="H17064" s="1358"/>
      <c r="I17064" s="1358"/>
    </row>
    <row r="17065" spans="8:9">
      <c r="H17065" s="1358"/>
      <c r="I17065" s="1358"/>
    </row>
    <row r="17066" spans="8:9">
      <c r="H17066" s="1358"/>
      <c r="I17066" s="1358"/>
    </row>
    <row r="17067" spans="8:9">
      <c r="H17067" s="1358"/>
      <c r="I17067" s="1358"/>
    </row>
    <row r="17068" spans="8:9">
      <c r="H17068" s="1358"/>
      <c r="I17068" s="1358"/>
    </row>
    <row r="17069" spans="8:9">
      <c r="H17069" s="1358"/>
      <c r="I17069" s="1358"/>
    </row>
    <row r="17070" spans="8:9">
      <c r="H17070" s="1358"/>
      <c r="I17070" s="1358"/>
    </row>
    <row r="17071" spans="8:9">
      <c r="H17071" s="1358"/>
      <c r="I17071" s="1358"/>
    </row>
    <row r="17072" spans="8:9">
      <c r="H17072" s="1358"/>
      <c r="I17072" s="1358"/>
    </row>
    <row r="17073" spans="8:9">
      <c r="H17073" s="1358"/>
      <c r="I17073" s="1358"/>
    </row>
    <row r="17074" spans="8:9">
      <c r="H17074" s="1358"/>
      <c r="I17074" s="1358"/>
    </row>
    <row r="17075" spans="8:9">
      <c r="H17075" s="1358"/>
      <c r="I17075" s="1358"/>
    </row>
    <row r="17076" spans="8:9">
      <c r="H17076" s="1358"/>
      <c r="I17076" s="1358"/>
    </row>
    <row r="17077" spans="8:9">
      <c r="H17077" s="1358"/>
      <c r="I17077" s="1358"/>
    </row>
    <row r="17078" spans="8:9">
      <c r="H17078" s="1358"/>
      <c r="I17078" s="1358"/>
    </row>
    <row r="17079" spans="8:9">
      <c r="H17079" s="1358"/>
      <c r="I17079" s="1358"/>
    </row>
    <row r="17080" spans="8:9">
      <c r="H17080" s="1358"/>
      <c r="I17080" s="1358"/>
    </row>
    <row r="17081" spans="8:9">
      <c r="H17081" s="1358"/>
      <c r="I17081" s="1358"/>
    </row>
    <row r="17082" spans="8:9">
      <c r="H17082" s="1358"/>
      <c r="I17082" s="1358"/>
    </row>
    <row r="17083" spans="8:9">
      <c r="H17083" s="1358"/>
      <c r="I17083" s="1358"/>
    </row>
    <row r="17084" spans="8:9">
      <c r="H17084" s="1358"/>
      <c r="I17084" s="1358"/>
    </row>
    <row r="17085" spans="8:9">
      <c r="H17085" s="1358"/>
      <c r="I17085" s="1358"/>
    </row>
    <row r="17086" spans="8:9">
      <c r="H17086" s="1358"/>
      <c r="I17086" s="1358"/>
    </row>
    <row r="17087" spans="8:9">
      <c r="H17087" s="1358"/>
      <c r="I17087" s="1358"/>
    </row>
    <row r="17088" spans="8:9">
      <c r="H17088" s="1358"/>
      <c r="I17088" s="1358"/>
    </row>
    <row r="17089" spans="8:9">
      <c r="H17089" s="1358"/>
      <c r="I17089" s="1358"/>
    </row>
    <row r="17090" spans="8:9">
      <c r="H17090" s="1358"/>
      <c r="I17090" s="1358"/>
    </row>
    <row r="17091" spans="8:9">
      <c r="H17091" s="1358"/>
      <c r="I17091" s="1358"/>
    </row>
    <row r="17092" spans="8:9">
      <c r="H17092" s="1358"/>
      <c r="I17092" s="1358"/>
    </row>
    <row r="17093" spans="8:9">
      <c r="H17093" s="1358"/>
      <c r="I17093" s="1358"/>
    </row>
    <row r="17094" spans="8:9">
      <c r="H17094" s="1358"/>
      <c r="I17094" s="1358"/>
    </row>
    <row r="17095" spans="8:9">
      <c r="H17095" s="1358"/>
      <c r="I17095" s="1358"/>
    </row>
    <row r="17096" spans="8:9">
      <c r="H17096" s="1358"/>
      <c r="I17096" s="1358"/>
    </row>
    <row r="17097" spans="8:9">
      <c r="H17097" s="1358"/>
      <c r="I17097" s="1358"/>
    </row>
    <row r="17098" spans="8:9">
      <c r="H17098" s="1358"/>
      <c r="I17098" s="1358"/>
    </row>
    <row r="17099" spans="8:9">
      <c r="H17099" s="1358"/>
      <c r="I17099" s="1358"/>
    </row>
    <row r="17100" spans="8:9">
      <c r="H17100" s="1358"/>
      <c r="I17100" s="1358"/>
    </row>
    <row r="17101" spans="8:9">
      <c r="H17101" s="1358"/>
      <c r="I17101" s="1358"/>
    </row>
    <row r="17102" spans="8:9">
      <c r="H17102" s="1358"/>
      <c r="I17102" s="1358"/>
    </row>
    <row r="17103" spans="8:9">
      <c r="H17103" s="1358"/>
      <c r="I17103" s="1358"/>
    </row>
    <row r="17104" spans="8:9">
      <c r="H17104" s="1358"/>
      <c r="I17104" s="1358"/>
    </row>
    <row r="17105" spans="8:9">
      <c r="H17105" s="1358"/>
      <c r="I17105" s="1358"/>
    </row>
    <row r="17106" spans="8:9">
      <c r="H17106" s="1358"/>
      <c r="I17106" s="1358"/>
    </row>
    <row r="17107" spans="8:9">
      <c r="H17107" s="1358"/>
      <c r="I17107" s="1358"/>
    </row>
    <row r="17108" spans="8:9">
      <c r="H17108" s="1358"/>
      <c r="I17108" s="1358"/>
    </row>
    <row r="17109" spans="8:9">
      <c r="H17109" s="1358"/>
      <c r="I17109" s="1358"/>
    </row>
    <row r="17110" spans="8:9">
      <c r="H17110" s="1358"/>
      <c r="I17110" s="1358"/>
    </row>
    <row r="17111" spans="8:9">
      <c r="H17111" s="1358"/>
      <c r="I17111" s="1358"/>
    </row>
    <row r="17112" spans="8:9">
      <c r="H17112" s="1358"/>
      <c r="I17112" s="1358"/>
    </row>
    <row r="17113" spans="8:9">
      <c r="H17113" s="1358"/>
      <c r="I17113" s="1358"/>
    </row>
    <row r="17114" spans="8:9">
      <c r="H17114" s="1358"/>
      <c r="I17114" s="1358"/>
    </row>
    <row r="17115" spans="8:9">
      <c r="H17115" s="1358"/>
      <c r="I17115" s="1358"/>
    </row>
    <row r="17116" spans="8:9">
      <c r="H17116" s="1358"/>
      <c r="I17116" s="1358"/>
    </row>
    <row r="17117" spans="8:9">
      <c r="H17117" s="1358"/>
      <c r="I17117" s="1358"/>
    </row>
    <row r="17118" spans="8:9">
      <c r="H17118" s="1358"/>
      <c r="I17118" s="1358"/>
    </row>
    <row r="17119" spans="8:9">
      <c r="H17119" s="1358"/>
      <c r="I17119" s="1358"/>
    </row>
    <row r="17120" spans="8:9">
      <c r="H17120" s="1358"/>
      <c r="I17120" s="1358"/>
    </row>
    <row r="17121" spans="8:9">
      <c r="H17121" s="1358"/>
      <c r="I17121" s="1358"/>
    </row>
    <row r="17122" spans="8:9">
      <c r="H17122" s="1358"/>
      <c r="I17122" s="1358"/>
    </row>
    <row r="17123" spans="8:9">
      <c r="H17123" s="1358"/>
      <c r="I17123" s="1358"/>
    </row>
    <row r="17124" spans="8:9">
      <c r="H17124" s="1358"/>
      <c r="I17124" s="1358"/>
    </row>
    <row r="17125" spans="8:9">
      <c r="H17125" s="1358"/>
      <c r="I17125" s="1358"/>
    </row>
    <row r="17126" spans="8:9">
      <c r="H17126" s="1358"/>
      <c r="I17126" s="1358"/>
    </row>
    <row r="17127" spans="8:9">
      <c r="H17127" s="1358"/>
      <c r="I17127" s="1358"/>
    </row>
    <row r="17128" spans="8:9">
      <c r="H17128" s="1358"/>
      <c r="I17128" s="1358"/>
    </row>
    <row r="17129" spans="8:9">
      <c r="H17129" s="1358"/>
      <c r="I17129" s="1358"/>
    </row>
    <row r="17130" spans="8:9">
      <c r="H17130" s="1358"/>
      <c r="I17130" s="1358"/>
    </row>
    <row r="17131" spans="8:9">
      <c r="H17131" s="1358"/>
      <c r="I17131" s="1358"/>
    </row>
    <row r="17132" spans="8:9">
      <c r="H17132" s="1358"/>
      <c r="I17132" s="1358"/>
    </row>
    <row r="17133" spans="8:9">
      <c r="H17133" s="1358"/>
      <c r="I17133" s="1358"/>
    </row>
    <row r="17134" spans="8:9">
      <c r="H17134" s="1358"/>
      <c r="I17134" s="1358"/>
    </row>
    <row r="17135" spans="8:9">
      <c r="H17135" s="1358"/>
      <c r="I17135" s="1358"/>
    </row>
    <row r="17136" spans="8:9">
      <c r="H17136" s="1358"/>
      <c r="I17136" s="1358"/>
    </row>
    <row r="17137" spans="8:9">
      <c r="H17137" s="1358"/>
      <c r="I17137" s="1358"/>
    </row>
    <row r="17138" spans="8:9">
      <c r="H17138" s="1358"/>
      <c r="I17138" s="1358"/>
    </row>
    <row r="17139" spans="8:9">
      <c r="H17139" s="1358"/>
      <c r="I17139" s="1358"/>
    </row>
    <row r="17140" spans="8:9">
      <c r="H17140" s="1358"/>
      <c r="I17140" s="1358"/>
    </row>
    <row r="17141" spans="8:9">
      <c r="H17141" s="1358"/>
      <c r="I17141" s="1358"/>
    </row>
    <row r="17142" spans="8:9">
      <c r="H17142" s="1358"/>
      <c r="I17142" s="1358"/>
    </row>
    <row r="17143" spans="8:9">
      <c r="H17143" s="1358"/>
      <c r="I17143" s="1358"/>
    </row>
    <row r="17144" spans="8:9">
      <c r="H17144" s="1358"/>
      <c r="I17144" s="1358"/>
    </row>
    <row r="17145" spans="8:9">
      <c r="H17145" s="1358"/>
      <c r="I17145" s="1358"/>
    </row>
    <row r="17146" spans="8:9">
      <c r="H17146" s="1358"/>
      <c r="I17146" s="1358"/>
    </row>
    <row r="17147" spans="8:9">
      <c r="H17147" s="1358"/>
      <c r="I17147" s="1358"/>
    </row>
    <row r="17148" spans="8:9">
      <c r="H17148" s="1358"/>
      <c r="I17148" s="1358"/>
    </row>
    <row r="17149" spans="8:9">
      <c r="H17149" s="1358"/>
      <c r="I17149" s="1358"/>
    </row>
    <row r="17150" spans="8:9">
      <c r="H17150" s="1358"/>
      <c r="I17150" s="1358"/>
    </row>
    <row r="17151" spans="8:9">
      <c r="H17151" s="1358"/>
      <c r="I17151" s="1358"/>
    </row>
    <row r="17152" spans="8:9">
      <c r="H17152" s="1358"/>
      <c r="I17152" s="1358"/>
    </row>
    <row r="17153" spans="8:9">
      <c r="H17153" s="1358"/>
      <c r="I17153" s="1358"/>
    </row>
    <row r="17154" spans="8:9">
      <c r="H17154" s="1358"/>
      <c r="I17154" s="1358"/>
    </row>
    <row r="17155" spans="8:9">
      <c r="H17155" s="1358"/>
      <c r="I17155" s="1358"/>
    </row>
    <row r="17156" spans="8:9">
      <c r="H17156" s="1358"/>
      <c r="I17156" s="1358"/>
    </row>
    <row r="17157" spans="8:9">
      <c r="H17157" s="1358"/>
      <c r="I17157" s="1358"/>
    </row>
    <row r="17158" spans="8:9">
      <c r="H17158" s="1358"/>
      <c r="I17158" s="1358"/>
    </row>
    <row r="17159" spans="8:9">
      <c r="H17159" s="1358"/>
      <c r="I17159" s="1358"/>
    </row>
    <row r="17160" spans="8:9">
      <c r="H17160" s="1358"/>
      <c r="I17160" s="1358"/>
    </row>
    <row r="17161" spans="8:9">
      <c r="H17161" s="1358"/>
      <c r="I17161" s="1358"/>
    </row>
    <row r="17162" spans="8:9">
      <c r="H17162" s="1358"/>
      <c r="I17162" s="1358"/>
    </row>
    <row r="17163" spans="8:9">
      <c r="H17163" s="1358"/>
      <c r="I17163" s="1358"/>
    </row>
    <row r="17164" spans="8:9">
      <c r="H17164" s="1358"/>
      <c r="I17164" s="1358"/>
    </row>
    <row r="17165" spans="8:9">
      <c r="H17165" s="1358"/>
      <c r="I17165" s="1358"/>
    </row>
    <row r="17166" spans="8:9">
      <c r="H17166" s="1358"/>
      <c r="I17166" s="1358"/>
    </row>
    <row r="17167" spans="8:9">
      <c r="H17167" s="1358"/>
      <c r="I17167" s="1358"/>
    </row>
    <row r="17168" spans="8:9">
      <c r="H17168" s="1358"/>
      <c r="I17168" s="1358"/>
    </row>
    <row r="17169" spans="8:9">
      <c r="H17169" s="1358"/>
      <c r="I17169" s="1358"/>
    </row>
    <row r="17170" spans="8:9">
      <c r="H17170" s="1358"/>
      <c r="I17170" s="1358"/>
    </row>
    <row r="17171" spans="8:9">
      <c r="H17171" s="1358"/>
      <c r="I17171" s="1358"/>
    </row>
    <row r="17172" spans="8:9">
      <c r="H17172" s="1358"/>
      <c r="I17172" s="1358"/>
    </row>
    <row r="17173" spans="8:9">
      <c r="H17173" s="1358"/>
      <c r="I17173" s="1358"/>
    </row>
    <row r="17174" spans="8:9">
      <c r="H17174" s="1358"/>
      <c r="I17174" s="1358"/>
    </row>
    <row r="17175" spans="8:9">
      <c r="H17175" s="1358"/>
      <c r="I17175" s="1358"/>
    </row>
    <row r="17176" spans="8:9">
      <c r="H17176" s="1358"/>
      <c r="I17176" s="1358"/>
    </row>
    <row r="17177" spans="8:9">
      <c r="H17177" s="1358"/>
      <c r="I17177" s="1358"/>
    </row>
    <row r="17178" spans="8:9">
      <c r="H17178" s="1358"/>
      <c r="I17178" s="1358"/>
    </row>
    <row r="17179" spans="8:9">
      <c r="H17179" s="1358"/>
      <c r="I17179" s="1358"/>
    </row>
    <row r="17180" spans="8:9">
      <c r="H17180" s="1358"/>
      <c r="I17180" s="1358"/>
    </row>
    <row r="17181" spans="8:9">
      <c r="H17181" s="1358"/>
      <c r="I17181" s="1358"/>
    </row>
    <row r="17182" spans="8:9">
      <c r="H17182" s="1358"/>
      <c r="I17182" s="1358"/>
    </row>
    <row r="17183" spans="8:9">
      <c r="H17183" s="1358"/>
      <c r="I17183" s="1358"/>
    </row>
    <row r="17184" spans="8:9">
      <c r="H17184" s="1358"/>
      <c r="I17184" s="1358"/>
    </row>
    <row r="17185" spans="8:9">
      <c r="H17185" s="1358"/>
      <c r="I17185" s="1358"/>
    </row>
    <row r="17186" spans="8:9">
      <c r="H17186" s="1358"/>
      <c r="I17186" s="1358"/>
    </row>
    <row r="17187" spans="8:9">
      <c r="H17187" s="1358"/>
      <c r="I17187" s="1358"/>
    </row>
    <row r="17188" spans="8:9">
      <c r="H17188" s="1358"/>
      <c r="I17188" s="1358"/>
    </row>
    <row r="17189" spans="8:9">
      <c r="H17189" s="1358"/>
      <c r="I17189" s="1358"/>
    </row>
    <row r="17190" spans="8:9">
      <c r="H17190" s="1358"/>
      <c r="I17190" s="1358"/>
    </row>
    <row r="17191" spans="8:9">
      <c r="H17191" s="1358"/>
      <c r="I17191" s="1358"/>
    </row>
    <row r="17192" spans="8:9">
      <c r="H17192" s="1358"/>
      <c r="I17192" s="1358"/>
    </row>
    <row r="17193" spans="8:9">
      <c r="H17193" s="1358"/>
      <c r="I17193" s="1358"/>
    </row>
    <row r="17194" spans="8:9">
      <c r="H17194" s="1358"/>
      <c r="I17194" s="1358"/>
    </row>
    <row r="17195" spans="8:9">
      <c r="H17195" s="1358"/>
      <c r="I17195" s="1358"/>
    </row>
    <row r="17196" spans="8:9">
      <c r="H17196" s="1358"/>
      <c r="I17196" s="1358"/>
    </row>
    <row r="17197" spans="8:9">
      <c r="H17197" s="1358"/>
      <c r="I17197" s="1358"/>
    </row>
    <row r="17198" spans="8:9">
      <c r="H17198" s="1358"/>
      <c r="I17198" s="1358"/>
    </row>
    <row r="17199" spans="8:9">
      <c r="H17199" s="1358"/>
      <c r="I17199" s="1358"/>
    </row>
    <row r="17200" spans="8:9">
      <c r="H17200" s="1358"/>
      <c r="I17200" s="1358"/>
    </row>
    <row r="17201" spans="8:9">
      <c r="H17201" s="1358"/>
      <c r="I17201" s="1358"/>
    </row>
    <row r="17202" spans="8:9">
      <c r="H17202" s="1358"/>
      <c r="I17202" s="1358"/>
    </row>
    <row r="17203" spans="8:9">
      <c r="H17203" s="1358"/>
      <c r="I17203" s="1358"/>
    </row>
    <row r="17204" spans="8:9">
      <c r="H17204" s="1358"/>
      <c r="I17204" s="1358"/>
    </row>
    <row r="17205" spans="8:9">
      <c r="H17205" s="1358"/>
      <c r="I17205" s="1358"/>
    </row>
    <row r="17206" spans="8:9">
      <c r="H17206" s="1358"/>
      <c r="I17206" s="1358"/>
    </row>
    <row r="17207" spans="8:9">
      <c r="H17207" s="1358"/>
      <c r="I17207" s="1358"/>
    </row>
    <row r="17208" spans="8:9">
      <c r="H17208" s="1358"/>
      <c r="I17208" s="1358"/>
    </row>
    <row r="17209" spans="8:9">
      <c r="H17209" s="1358"/>
      <c r="I17209" s="1358"/>
    </row>
    <row r="17210" spans="8:9">
      <c r="H17210" s="1358"/>
      <c r="I17210" s="1358"/>
    </row>
    <row r="17211" spans="8:9">
      <c r="H17211" s="1358"/>
      <c r="I17211" s="1358"/>
    </row>
    <row r="17212" spans="8:9">
      <c r="H17212" s="1358"/>
      <c r="I17212" s="1358"/>
    </row>
    <row r="17213" spans="8:9">
      <c r="H17213" s="1358"/>
      <c r="I17213" s="1358"/>
    </row>
    <row r="17214" spans="8:9">
      <c r="H17214" s="1358"/>
      <c r="I17214" s="1358"/>
    </row>
    <row r="17215" spans="8:9">
      <c r="H17215" s="1358"/>
      <c r="I17215" s="1358"/>
    </row>
    <row r="17216" spans="8:9">
      <c r="H17216" s="1358"/>
      <c r="I17216" s="1358"/>
    </row>
    <row r="17217" spans="8:9">
      <c r="H17217" s="1358"/>
      <c r="I17217" s="1358"/>
    </row>
    <row r="17218" spans="8:9">
      <c r="H17218" s="1358"/>
      <c r="I17218" s="1358"/>
    </row>
    <row r="17219" spans="8:9">
      <c r="H17219" s="1358"/>
      <c r="I17219" s="1358"/>
    </row>
    <row r="17220" spans="8:9">
      <c r="H17220" s="1358"/>
      <c r="I17220" s="1358"/>
    </row>
    <row r="17221" spans="8:9">
      <c r="H17221" s="1358"/>
      <c r="I17221" s="1358"/>
    </row>
    <row r="17222" spans="8:9">
      <c r="H17222" s="1358"/>
      <c r="I17222" s="1358"/>
    </row>
    <row r="17223" spans="8:9">
      <c r="H17223" s="1358"/>
      <c r="I17223" s="1358"/>
    </row>
    <row r="17224" spans="8:9">
      <c r="H17224" s="1358"/>
      <c r="I17224" s="1358"/>
    </row>
    <row r="17225" spans="8:9">
      <c r="H17225" s="1358"/>
      <c r="I17225" s="1358"/>
    </row>
    <row r="17226" spans="8:9">
      <c r="H17226" s="1358"/>
      <c r="I17226" s="1358"/>
    </row>
    <row r="17227" spans="8:9">
      <c r="H17227" s="1358"/>
      <c r="I17227" s="1358"/>
    </row>
    <row r="17228" spans="8:9">
      <c r="H17228" s="1358"/>
      <c r="I17228" s="1358"/>
    </row>
    <row r="17229" spans="8:9">
      <c r="H17229" s="1358"/>
      <c r="I17229" s="1358"/>
    </row>
    <row r="17230" spans="8:9">
      <c r="H17230" s="1358"/>
      <c r="I17230" s="1358"/>
    </row>
    <row r="17231" spans="8:9">
      <c r="H17231" s="1358"/>
      <c r="I17231" s="1358"/>
    </row>
    <row r="17232" spans="8:9">
      <c r="H17232" s="1358"/>
      <c r="I17232" s="1358"/>
    </row>
    <row r="17233" spans="8:9">
      <c r="H17233" s="1358"/>
      <c r="I17233" s="1358"/>
    </row>
    <row r="17234" spans="8:9">
      <c r="H17234" s="1358"/>
      <c r="I17234" s="1358"/>
    </row>
    <row r="17235" spans="8:9">
      <c r="H17235" s="1358"/>
      <c r="I17235" s="1358"/>
    </row>
    <row r="17236" spans="8:9">
      <c r="H17236" s="1358"/>
      <c r="I17236" s="1358"/>
    </row>
    <row r="17237" spans="8:9">
      <c r="H17237" s="1358"/>
      <c r="I17237" s="1358"/>
    </row>
    <row r="17238" spans="8:9">
      <c r="H17238" s="1358"/>
      <c r="I17238" s="1358"/>
    </row>
    <row r="17239" spans="8:9">
      <c r="H17239" s="1358"/>
      <c r="I17239" s="1358"/>
    </row>
    <row r="17240" spans="8:9">
      <c r="H17240" s="1358"/>
      <c r="I17240" s="1358"/>
    </row>
    <row r="17241" spans="8:9">
      <c r="H17241" s="1358"/>
      <c r="I17241" s="1358"/>
    </row>
    <row r="17242" spans="8:9">
      <c r="H17242" s="1358"/>
      <c r="I17242" s="1358"/>
    </row>
    <row r="17243" spans="8:9">
      <c r="H17243" s="1358"/>
      <c r="I17243" s="1358"/>
    </row>
    <row r="17244" spans="8:9">
      <c r="H17244" s="1358"/>
      <c r="I17244" s="1358"/>
    </row>
    <row r="17245" spans="8:9">
      <c r="H17245" s="1358"/>
      <c r="I17245" s="1358"/>
    </row>
    <row r="17246" spans="8:9">
      <c r="H17246" s="1358"/>
      <c r="I17246" s="1358"/>
    </row>
    <row r="17247" spans="8:9">
      <c r="H17247" s="1358"/>
      <c r="I17247" s="1358"/>
    </row>
    <row r="17248" spans="8:9">
      <c r="H17248" s="1358"/>
      <c r="I17248" s="1358"/>
    </row>
    <row r="17249" spans="8:9">
      <c r="H17249" s="1358"/>
      <c r="I17249" s="1358"/>
    </row>
    <row r="17250" spans="8:9">
      <c r="H17250" s="1358"/>
      <c r="I17250" s="1358"/>
    </row>
    <row r="17251" spans="8:9">
      <c r="H17251" s="1358"/>
      <c r="I17251" s="1358"/>
    </row>
    <row r="17252" spans="8:9">
      <c r="H17252" s="1358"/>
      <c r="I17252" s="1358"/>
    </row>
    <row r="17253" spans="8:9">
      <c r="H17253" s="1358"/>
      <c r="I17253" s="1358"/>
    </row>
    <row r="17254" spans="8:9">
      <c r="H17254" s="1358"/>
      <c r="I17254" s="1358"/>
    </row>
    <row r="17255" spans="8:9">
      <c r="H17255" s="1358"/>
      <c r="I17255" s="1358"/>
    </row>
    <row r="17256" spans="8:9">
      <c r="H17256" s="1358"/>
      <c r="I17256" s="1358"/>
    </row>
    <row r="17257" spans="8:9">
      <c r="H17257" s="1358"/>
      <c r="I17257" s="1358"/>
    </row>
    <row r="17258" spans="8:9">
      <c r="H17258" s="1358"/>
      <c r="I17258" s="1358"/>
    </row>
    <row r="17259" spans="8:9">
      <c r="H17259" s="1358"/>
      <c r="I17259" s="1358"/>
    </row>
    <row r="17260" spans="8:9">
      <c r="H17260" s="1358"/>
      <c r="I17260" s="1358"/>
    </row>
    <row r="17261" spans="8:9">
      <c r="H17261" s="1358"/>
      <c r="I17261" s="1358"/>
    </row>
    <row r="17262" spans="8:9">
      <c r="H17262" s="1358"/>
      <c r="I17262" s="1358"/>
    </row>
    <row r="17263" spans="8:9">
      <c r="H17263" s="1358"/>
      <c r="I17263" s="1358"/>
    </row>
    <row r="17264" spans="8:9">
      <c r="H17264" s="1358"/>
      <c r="I17264" s="1358"/>
    </row>
    <row r="17265" spans="8:9">
      <c r="H17265" s="1358"/>
      <c r="I17265" s="1358"/>
    </row>
    <row r="17266" spans="8:9">
      <c r="H17266" s="1358"/>
      <c r="I17266" s="1358"/>
    </row>
    <row r="17267" spans="8:9">
      <c r="H17267" s="1358"/>
      <c r="I17267" s="1358"/>
    </row>
    <row r="17268" spans="8:9">
      <c r="H17268" s="1358"/>
      <c r="I17268" s="1358"/>
    </row>
    <row r="17269" spans="8:9">
      <c r="H17269" s="1358"/>
      <c r="I17269" s="1358"/>
    </row>
    <row r="17270" spans="8:9">
      <c r="H17270" s="1358"/>
      <c r="I17270" s="1358"/>
    </row>
    <row r="17271" spans="8:9">
      <c r="H17271" s="1358"/>
      <c r="I17271" s="1358"/>
    </row>
    <row r="17272" spans="8:9">
      <c r="H17272" s="1358"/>
      <c r="I17272" s="1358"/>
    </row>
    <row r="17273" spans="8:9">
      <c r="H17273" s="1358"/>
      <c r="I17273" s="1358"/>
    </row>
    <row r="17274" spans="8:9">
      <c r="H17274" s="1358"/>
      <c r="I17274" s="1358"/>
    </row>
    <row r="17275" spans="8:9">
      <c r="H17275" s="1358"/>
      <c r="I17275" s="1358"/>
    </row>
    <row r="17276" spans="8:9">
      <c r="H17276" s="1358"/>
      <c r="I17276" s="1358"/>
    </row>
    <row r="17277" spans="8:9">
      <c r="H17277" s="1358"/>
      <c r="I17277" s="1358"/>
    </row>
    <row r="17278" spans="8:9">
      <c r="H17278" s="1358"/>
      <c r="I17278" s="1358"/>
    </row>
    <row r="17279" spans="8:9">
      <c r="H17279" s="1358"/>
      <c r="I17279" s="1358"/>
    </row>
    <row r="17280" spans="8:9">
      <c r="H17280" s="1358"/>
      <c r="I17280" s="1358"/>
    </row>
    <row r="17281" spans="8:9">
      <c r="H17281" s="1358"/>
      <c r="I17281" s="1358"/>
    </row>
    <row r="17282" spans="8:9">
      <c r="H17282" s="1358"/>
      <c r="I17282" s="1358"/>
    </row>
    <row r="17283" spans="8:9">
      <c r="H17283" s="1358"/>
      <c r="I17283" s="1358"/>
    </row>
    <row r="17284" spans="8:9">
      <c r="H17284" s="1358"/>
      <c r="I17284" s="1358"/>
    </row>
    <row r="17285" spans="8:9">
      <c r="H17285" s="1358"/>
      <c r="I17285" s="1358"/>
    </row>
    <row r="17286" spans="8:9">
      <c r="H17286" s="1358"/>
      <c r="I17286" s="1358"/>
    </row>
    <row r="17287" spans="8:9">
      <c r="H17287" s="1358"/>
      <c r="I17287" s="1358"/>
    </row>
    <row r="17288" spans="8:9">
      <c r="H17288" s="1358"/>
      <c r="I17288" s="1358"/>
    </row>
    <row r="17289" spans="8:9">
      <c r="H17289" s="1358"/>
      <c r="I17289" s="1358"/>
    </row>
    <row r="17290" spans="8:9">
      <c r="H17290" s="1358"/>
      <c r="I17290" s="1358"/>
    </row>
    <row r="17291" spans="8:9">
      <c r="H17291" s="1358"/>
      <c r="I17291" s="1358"/>
    </row>
    <row r="17292" spans="8:9">
      <c r="H17292" s="1358"/>
      <c r="I17292" s="1358"/>
    </row>
    <row r="17293" spans="8:9">
      <c r="H17293" s="1358"/>
      <c r="I17293" s="1358"/>
    </row>
    <row r="17294" spans="8:9">
      <c r="H17294" s="1358"/>
      <c r="I17294" s="1358"/>
    </row>
    <row r="17295" spans="8:9">
      <c r="H17295" s="1358"/>
      <c r="I17295" s="1358"/>
    </row>
    <row r="17296" spans="8:9">
      <c r="H17296" s="1358"/>
      <c r="I17296" s="1358"/>
    </row>
    <row r="17297" spans="8:9">
      <c r="H17297" s="1358"/>
      <c r="I17297" s="1358"/>
    </row>
    <row r="17298" spans="8:9">
      <c r="H17298" s="1358"/>
      <c r="I17298" s="1358"/>
    </row>
    <row r="17299" spans="8:9">
      <c r="H17299" s="1358"/>
      <c r="I17299" s="1358"/>
    </row>
    <row r="17300" spans="8:9">
      <c r="H17300" s="1358"/>
      <c r="I17300" s="1358"/>
    </row>
    <row r="17301" spans="8:9">
      <c r="H17301" s="1358"/>
      <c r="I17301" s="1358"/>
    </row>
    <row r="17302" spans="8:9">
      <c r="H17302" s="1358"/>
      <c r="I17302" s="1358"/>
    </row>
    <row r="17303" spans="8:9">
      <c r="H17303" s="1358"/>
      <c r="I17303" s="1358"/>
    </row>
    <row r="17304" spans="8:9">
      <c r="H17304" s="1358"/>
      <c r="I17304" s="1358"/>
    </row>
    <row r="17305" spans="8:9">
      <c r="H17305" s="1358"/>
      <c r="I17305" s="1358"/>
    </row>
    <row r="17306" spans="8:9">
      <c r="H17306" s="1358"/>
      <c r="I17306" s="1358"/>
    </row>
    <row r="17307" spans="8:9">
      <c r="H17307" s="1358"/>
      <c r="I17307" s="1358"/>
    </row>
    <row r="17308" spans="8:9">
      <c r="H17308" s="1358"/>
      <c r="I17308" s="1358"/>
    </row>
    <row r="17309" spans="8:9">
      <c r="H17309" s="1358"/>
      <c r="I17309" s="1358"/>
    </row>
    <row r="17310" spans="8:9">
      <c r="H17310" s="1358"/>
      <c r="I17310" s="1358"/>
    </row>
    <row r="17311" spans="8:9">
      <c r="H17311" s="1358"/>
      <c r="I17311" s="1358"/>
    </row>
    <row r="17312" spans="8:9">
      <c r="H17312" s="1358"/>
      <c r="I17312" s="1358"/>
    </row>
    <row r="17313" spans="8:9">
      <c r="H17313" s="1358"/>
      <c r="I17313" s="1358"/>
    </row>
    <row r="17314" spans="8:9">
      <c r="H17314" s="1358"/>
      <c r="I17314" s="1358"/>
    </row>
    <row r="17315" spans="8:9">
      <c r="H17315" s="1358"/>
      <c r="I17315" s="1358"/>
    </row>
    <row r="17316" spans="8:9">
      <c r="H17316" s="1358"/>
      <c r="I17316" s="1358"/>
    </row>
    <row r="17317" spans="8:9">
      <c r="H17317" s="1358"/>
      <c r="I17317" s="1358"/>
    </row>
    <row r="17318" spans="8:9">
      <c r="H17318" s="1358"/>
      <c r="I17318" s="1358"/>
    </row>
    <row r="17319" spans="8:9">
      <c r="H17319" s="1358"/>
      <c r="I17319" s="1358"/>
    </row>
    <row r="17320" spans="8:9">
      <c r="H17320" s="1358"/>
      <c r="I17320" s="1358"/>
    </row>
    <row r="17321" spans="8:9">
      <c r="H17321" s="1358"/>
      <c r="I17321" s="1358"/>
    </row>
    <row r="17322" spans="8:9">
      <c r="H17322" s="1358"/>
      <c r="I17322" s="1358"/>
    </row>
    <row r="17323" spans="8:9">
      <c r="H17323" s="1358"/>
      <c r="I17323" s="1358"/>
    </row>
    <row r="17324" spans="8:9">
      <c r="H17324" s="1358"/>
      <c r="I17324" s="1358"/>
    </row>
    <row r="17325" spans="8:9">
      <c r="H17325" s="1358"/>
      <c r="I17325" s="1358"/>
    </row>
    <row r="17326" spans="8:9">
      <c r="H17326" s="1358"/>
      <c r="I17326" s="1358"/>
    </row>
    <row r="17327" spans="8:9">
      <c r="H17327" s="1358"/>
      <c r="I17327" s="1358"/>
    </row>
    <row r="17328" spans="8:9">
      <c r="H17328" s="1358"/>
      <c r="I17328" s="1358"/>
    </row>
    <row r="17329" spans="8:9">
      <c r="H17329" s="1358"/>
      <c r="I17329" s="1358"/>
    </row>
    <row r="17330" spans="8:9">
      <c r="H17330" s="1358"/>
      <c r="I17330" s="1358"/>
    </row>
    <row r="17331" spans="8:9">
      <c r="H17331" s="1358"/>
      <c r="I17331" s="1358"/>
    </row>
    <row r="17332" spans="8:9">
      <c r="H17332" s="1358"/>
      <c r="I17332" s="1358"/>
    </row>
    <row r="17333" spans="8:9">
      <c r="H17333" s="1358"/>
      <c r="I17333" s="1358"/>
    </row>
    <row r="17334" spans="8:9">
      <c r="H17334" s="1358"/>
      <c r="I17334" s="1358"/>
    </row>
    <row r="17335" spans="8:9">
      <c r="H17335" s="1358"/>
      <c r="I17335" s="1358"/>
    </row>
    <row r="17336" spans="8:9">
      <c r="H17336" s="1358"/>
      <c r="I17336" s="1358"/>
    </row>
    <row r="17337" spans="8:9">
      <c r="H17337" s="1358"/>
      <c r="I17337" s="1358"/>
    </row>
    <row r="17338" spans="8:9">
      <c r="H17338" s="1358"/>
      <c r="I17338" s="1358"/>
    </row>
    <row r="17339" spans="8:9">
      <c r="H17339" s="1358"/>
      <c r="I17339" s="1358"/>
    </row>
    <row r="17340" spans="8:9">
      <c r="H17340" s="1358"/>
      <c r="I17340" s="1358"/>
    </row>
    <row r="17341" spans="8:9">
      <c r="H17341" s="1358"/>
      <c r="I17341" s="1358"/>
    </row>
    <row r="17342" spans="8:9">
      <c r="H17342" s="1358"/>
      <c r="I17342" s="1358"/>
    </row>
    <row r="17343" spans="8:9">
      <c r="H17343" s="1358"/>
      <c r="I17343" s="1358"/>
    </row>
    <row r="17344" spans="8:9">
      <c r="H17344" s="1358"/>
      <c r="I17344" s="1358"/>
    </row>
    <row r="17345" spans="8:9">
      <c r="H17345" s="1358"/>
      <c r="I17345" s="1358"/>
    </row>
    <row r="17346" spans="8:9">
      <c r="H17346" s="1358"/>
      <c r="I17346" s="1358"/>
    </row>
    <row r="17347" spans="8:9">
      <c r="H17347" s="1358"/>
      <c r="I17347" s="1358"/>
    </row>
    <row r="17348" spans="8:9">
      <c r="H17348" s="1358"/>
      <c r="I17348" s="1358"/>
    </row>
    <row r="17349" spans="8:9">
      <c r="H17349" s="1358"/>
      <c r="I17349" s="1358"/>
    </row>
    <row r="17350" spans="8:9">
      <c r="H17350" s="1358"/>
      <c r="I17350" s="1358"/>
    </row>
    <row r="17351" spans="8:9">
      <c r="H17351" s="1358"/>
      <c r="I17351" s="1358"/>
    </row>
    <row r="17352" spans="8:9">
      <c r="H17352" s="1358"/>
      <c r="I17352" s="1358"/>
    </row>
    <row r="17353" spans="8:9">
      <c r="H17353" s="1358"/>
      <c r="I17353" s="1358"/>
    </row>
    <row r="17354" spans="8:9">
      <c r="H17354" s="1358"/>
      <c r="I17354" s="1358"/>
    </row>
    <row r="17355" spans="8:9">
      <c r="H17355" s="1358"/>
      <c r="I17355" s="1358"/>
    </row>
    <row r="17356" spans="8:9">
      <c r="H17356" s="1358"/>
      <c r="I17356" s="1358"/>
    </row>
    <row r="17357" spans="8:9">
      <c r="H17357" s="1358"/>
      <c r="I17357" s="1358"/>
    </row>
    <row r="17358" spans="8:9">
      <c r="H17358" s="1358"/>
      <c r="I17358" s="1358"/>
    </row>
    <row r="17359" spans="8:9">
      <c r="H17359" s="1358"/>
      <c r="I17359" s="1358"/>
    </row>
    <row r="17360" spans="8:9">
      <c r="H17360" s="1358"/>
      <c r="I17360" s="1358"/>
    </row>
    <row r="17361" spans="8:9">
      <c r="H17361" s="1358"/>
      <c r="I17361" s="1358"/>
    </row>
    <row r="17362" spans="8:9">
      <c r="H17362" s="1358"/>
      <c r="I17362" s="1358"/>
    </row>
    <row r="17363" spans="8:9">
      <c r="H17363" s="1358"/>
      <c r="I17363" s="1358"/>
    </row>
    <row r="17364" spans="8:9">
      <c r="H17364" s="1358"/>
      <c r="I17364" s="1358"/>
    </row>
    <row r="17365" spans="8:9">
      <c r="H17365" s="1358"/>
      <c r="I17365" s="1358"/>
    </row>
    <row r="17366" spans="8:9">
      <c r="H17366" s="1358"/>
      <c r="I17366" s="1358"/>
    </row>
    <row r="17367" spans="8:9">
      <c r="H17367" s="1358"/>
      <c r="I17367" s="1358"/>
    </row>
    <row r="17368" spans="8:9">
      <c r="H17368" s="1358"/>
      <c r="I17368" s="1358"/>
    </row>
    <row r="17369" spans="8:9">
      <c r="H17369" s="1358"/>
      <c r="I17369" s="1358"/>
    </row>
    <row r="17370" spans="8:9">
      <c r="H17370" s="1358"/>
      <c r="I17370" s="1358"/>
    </row>
    <row r="17371" spans="8:9">
      <c r="H17371" s="1358"/>
      <c r="I17371" s="1358"/>
    </row>
    <row r="17372" spans="8:9">
      <c r="H17372" s="1358"/>
      <c r="I17372" s="1358"/>
    </row>
    <row r="17373" spans="8:9">
      <c r="H17373" s="1358"/>
      <c r="I17373" s="1358"/>
    </row>
    <row r="17374" spans="8:9">
      <c r="H17374" s="1358"/>
      <c r="I17374" s="1358"/>
    </row>
    <row r="17375" spans="8:9">
      <c r="H17375" s="1358"/>
      <c r="I17375" s="1358"/>
    </row>
    <row r="17376" spans="8:9">
      <c r="H17376" s="1358"/>
      <c r="I17376" s="1358"/>
    </row>
    <row r="17377" spans="8:9">
      <c r="H17377" s="1358"/>
      <c r="I17377" s="1358"/>
    </row>
    <row r="17378" spans="8:9">
      <c r="H17378" s="1358"/>
      <c r="I17378" s="1358"/>
    </row>
    <row r="17379" spans="8:9">
      <c r="H17379" s="1358"/>
      <c r="I17379" s="1358"/>
    </row>
    <row r="17380" spans="8:9">
      <c r="H17380" s="1358"/>
      <c r="I17380" s="1358"/>
    </row>
    <row r="17381" spans="8:9">
      <c r="H17381" s="1358"/>
      <c r="I17381" s="1358"/>
    </row>
    <row r="17382" spans="8:9">
      <c r="H17382" s="1358"/>
      <c r="I17382" s="1358"/>
    </row>
    <row r="17383" spans="8:9">
      <c r="H17383" s="1358"/>
      <c r="I17383" s="1358"/>
    </row>
    <row r="17384" spans="8:9">
      <c r="H17384" s="1358"/>
      <c r="I17384" s="1358"/>
    </row>
    <row r="17385" spans="8:9">
      <c r="H17385" s="1358"/>
      <c r="I17385" s="1358"/>
    </row>
    <row r="17386" spans="8:9">
      <c r="H17386" s="1358"/>
      <c r="I17386" s="1358"/>
    </row>
    <row r="17387" spans="8:9">
      <c r="H17387" s="1358"/>
      <c r="I17387" s="1358"/>
    </row>
    <row r="17388" spans="8:9">
      <c r="H17388" s="1358"/>
      <c r="I17388" s="1358"/>
    </row>
    <row r="17389" spans="8:9">
      <c r="H17389" s="1358"/>
      <c r="I17389" s="1358"/>
    </row>
    <row r="17390" spans="8:9">
      <c r="H17390" s="1358"/>
      <c r="I17390" s="1358"/>
    </row>
    <row r="17391" spans="8:9">
      <c r="H17391" s="1358"/>
      <c r="I17391" s="1358"/>
    </row>
    <row r="17392" spans="8:9">
      <c r="H17392" s="1358"/>
      <c r="I17392" s="1358"/>
    </row>
    <row r="17393" spans="8:9">
      <c r="H17393" s="1358"/>
      <c r="I17393" s="1358"/>
    </row>
    <row r="17394" spans="8:9">
      <c r="H17394" s="1358"/>
      <c r="I17394" s="1358"/>
    </row>
    <row r="17395" spans="8:9">
      <c r="H17395" s="1358"/>
      <c r="I17395" s="1358"/>
    </row>
    <row r="17396" spans="8:9">
      <c r="H17396" s="1358"/>
      <c r="I17396" s="1358"/>
    </row>
    <row r="17397" spans="8:9">
      <c r="H17397" s="1358"/>
      <c r="I17397" s="1358"/>
    </row>
    <row r="17398" spans="8:9">
      <c r="H17398" s="1358"/>
      <c r="I17398" s="1358"/>
    </row>
    <row r="17399" spans="8:9">
      <c r="H17399" s="1358"/>
      <c r="I17399" s="1358"/>
    </row>
    <row r="17400" spans="8:9">
      <c r="H17400" s="1358"/>
      <c r="I17400" s="1358"/>
    </row>
    <row r="17401" spans="8:9">
      <c r="H17401" s="1358"/>
      <c r="I17401" s="1358"/>
    </row>
    <row r="17402" spans="8:9">
      <c r="H17402" s="1358"/>
      <c r="I17402" s="1358"/>
    </row>
    <row r="17403" spans="8:9">
      <c r="H17403" s="1358"/>
      <c r="I17403" s="1358"/>
    </row>
    <row r="17404" spans="8:9">
      <c r="H17404" s="1358"/>
      <c r="I17404" s="1358"/>
    </row>
    <row r="17405" spans="8:9">
      <c r="H17405" s="1358"/>
      <c r="I17405" s="1358"/>
    </row>
    <row r="17406" spans="8:9">
      <c r="H17406" s="1358"/>
      <c r="I17406" s="1358"/>
    </row>
    <row r="17407" spans="8:9">
      <c r="H17407" s="1358"/>
      <c r="I17407" s="1358"/>
    </row>
    <row r="17408" spans="8:9">
      <c r="H17408" s="1358"/>
      <c r="I17408" s="1358"/>
    </row>
    <row r="17409" spans="8:9">
      <c r="H17409" s="1358"/>
      <c r="I17409" s="1358"/>
    </row>
    <row r="17410" spans="8:9">
      <c r="H17410" s="1358"/>
      <c r="I17410" s="1358"/>
    </row>
    <row r="17411" spans="8:9">
      <c r="H17411" s="1358"/>
      <c r="I17411" s="1358"/>
    </row>
    <row r="17412" spans="8:9">
      <c r="H17412" s="1358"/>
      <c r="I17412" s="1358"/>
    </row>
    <row r="17413" spans="8:9">
      <c r="H17413" s="1358"/>
      <c r="I17413" s="1358"/>
    </row>
    <row r="17414" spans="8:9">
      <c r="H17414" s="1358"/>
      <c r="I17414" s="1358"/>
    </row>
    <row r="17415" spans="8:9">
      <c r="H17415" s="1358"/>
      <c r="I17415" s="1358"/>
    </row>
    <row r="17416" spans="8:9">
      <c r="H17416" s="1358"/>
      <c r="I17416" s="1358"/>
    </row>
    <row r="17417" spans="8:9">
      <c r="H17417" s="1358"/>
      <c r="I17417" s="1358"/>
    </row>
    <row r="17418" spans="8:9">
      <c r="H17418" s="1358"/>
      <c r="I17418" s="1358"/>
    </row>
    <row r="17419" spans="8:9">
      <c r="H17419" s="1358"/>
      <c r="I17419" s="1358"/>
    </row>
    <row r="17420" spans="8:9">
      <c r="H17420" s="1358"/>
      <c r="I17420" s="1358"/>
    </row>
    <row r="17421" spans="8:9">
      <c r="H17421" s="1358"/>
      <c r="I17421" s="1358"/>
    </row>
    <row r="17422" spans="8:9">
      <c r="H17422" s="1358"/>
      <c r="I17422" s="1358"/>
    </row>
    <row r="17423" spans="8:9">
      <c r="H17423" s="1358"/>
      <c r="I17423" s="1358"/>
    </row>
    <row r="17424" spans="8:9">
      <c r="H17424" s="1358"/>
      <c r="I17424" s="1358"/>
    </row>
    <row r="17425" spans="8:9">
      <c r="H17425" s="1358"/>
      <c r="I17425" s="1358"/>
    </row>
    <row r="17426" spans="8:9">
      <c r="H17426" s="1358"/>
      <c r="I17426" s="1358"/>
    </row>
    <row r="17427" spans="8:9">
      <c r="H17427" s="1358"/>
      <c r="I17427" s="1358"/>
    </row>
    <row r="17428" spans="8:9">
      <c r="H17428" s="1358"/>
      <c r="I17428" s="1358"/>
    </row>
    <row r="17429" spans="8:9">
      <c r="H17429" s="1358"/>
      <c r="I17429" s="1358"/>
    </row>
    <row r="17430" spans="8:9">
      <c r="H17430" s="1358"/>
      <c r="I17430" s="1358"/>
    </row>
    <row r="17431" spans="8:9">
      <c r="H17431" s="1358"/>
      <c r="I17431" s="1358"/>
    </row>
    <row r="17432" spans="8:9">
      <c r="H17432" s="1358"/>
      <c r="I17432" s="1358"/>
    </row>
    <row r="17433" spans="8:9">
      <c r="H17433" s="1358"/>
      <c r="I17433" s="1358"/>
    </row>
    <row r="17434" spans="8:9">
      <c r="H17434" s="1358"/>
      <c r="I17434" s="1358"/>
    </row>
    <row r="17435" spans="8:9">
      <c r="H17435" s="1358"/>
      <c r="I17435" s="1358"/>
    </row>
    <row r="17436" spans="8:9">
      <c r="H17436" s="1358"/>
      <c r="I17436" s="1358"/>
    </row>
    <row r="17437" spans="8:9">
      <c r="H17437" s="1358"/>
      <c r="I17437" s="1358"/>
    </row>
    <row r="17438" spans="8:9">
      <c r="H17438" s="1358"/>
      <c r="I17438" s="1358"/>
    </row>
    <row r="17439" spans="8:9">
      <c r="H17439" s="1358"/>
      <c r="I17439" s="1358"/>
    </row>
    <row r="17440" spans="8:9">
      <c r="H17440" s="1358"/>
      <c r="I17440" s="1358"/>
    </row>
    <row r="17441" spans="8:9">
      <c r="H17441" s="1358"/>
      <c r="I17441" s="1358"/>
    </row>
    <row r="17442" spans="8:9">
      <c r="H17442" s="1358"/>
      <c r="I17442" s="1358"/>
    </row>
    <row r="17443" spans="8:9">
      <c r="H17443" s="1358"/>
      <c r="I17443" s="1358"/>
    </row>
    <row r="17444" spans="8:9">
      <c r="H17444" s="1358"/>
      <c r="I17444" s="1358"/>
    </row>
    <row r="17445" spans="8:9">
      <c r="H17445" s="1358"/>
      <c r="I17445" s="1358"/>
    </row>
    <row r="17446" spans="8:9">
      <c r="H17446" s="1358"/>
      <c r="I17446" s="1358"/>
    </row>
    <row r="17447" spans="8:9">
      <c r="H17447" s="1358"/>
      <c r="I17447" s="1358"/>
    </row>
    <row r="17448" spans="8:9">
      <c r="H17448" s="1358"/>
      <c r="I17448" s="1358"/>
    </row>
    <row r="17449" spans="8:9">
      <c r="H17449" s="1358"/>
      <c r="I17449" s="1358"/>
    </row>
    <row r="17450" spans="8:9">
      <c r="H17450" s="1358"/>
      <c r="I17450" s="1358"/>
    </row>
    <row r="17451" spans="8:9">
      <c r="H17451" s="1358"/>
      <c r="I17451" s="1358"/>
    </row>
    <row r="17452" spans="8:9">
      <c r="H17452" s="1358"/>
      <c r="I17452" s="1358"/>
    </row>
    <row r="17453" spans="8:9">
      <c r="H17453" s="1358"/>
      <c r="I17453" s="1358"/>
    </row>
    <row r="17454" spans="8:9">
      <c r="H17454" s="1358"/>
      <c r="I17454" s="1358"/>
    </row>
    <row r="17455" spans="8:9">
      <c r="H17455" s="1358"/>
      <c r="I17455" s="1358"/>
    </row>
    <row r="17456" spans="8:9">
      <c r="H17456" s="1358"/>
      <c r="I17456" s="1358"/>
    </row>
    <row r="17457" spans="8:9">
      <c r="H17457" s="1358"/>
      <c r="I17457" s="1358"/>
    </row>
    <row r="17458" spans="8:9">
      <c r="H17458" s="1358"/>
      <c r="I17458" s="1358"/>
    </row>
    <row r="17459" spans="8:9">
      <c r="H17459" s="1358"/>
      <c r="I17459" s="1358"/>
    </row>
    <row r="17460" spans="8:9">
      <c r="H17460" s="1358"/>
      <c r="I17460" s="1358"/>
    </row>
    <row r="17461" spans="8:9">
      <c r="H17461" s="1358"/>
      <c r="I17461" s="1358"/>
    </row>
    <row r="17462" spans="8:9">
      <c r="H17462" s="1358"/>
      <c r="I17462" s="1358"/>
    </row>
    <row r="17463" spans="8:9">
      <c r="H17463" s="1358"/>
      <c r="I17463" s="1358"/>
    </row>
    <row r="17464" spans="8:9">
      <c r="H17464" s="1358"/>
      <c r="I17464" s="1358"/>
    </row>
    <row r="17465" spans="8:9">
      <c r="H17465" s="1358"/>
      <c r="I17465" s="1358"/>
    </row>
    <row r="17466" spans="8:9">
      <c r="H17466" s="1358"/>
      <c r="I17466" s="1358"/>
    </row>
    <row r="17467" spans="8:9">
      <c r="H17467" s="1358"/>
      <c r="I17467" s="1358"/>
    </row>
    <row r="17468" spans="8:9">
      <c r="H17468" s="1358"/>
      <c r="I17468" s="1358"/>
    </row>
    <row r="17469" spans="8:9">
      <c r="H17469" s="1358"/>
      <c r="I17469" s="1358"/>
    </row>
    <row r="17470" spans="8:9">
      <c r="H17470" s="1358"/>
      <c r="I17470" s="1358"/>
    </row>
    <row r="17471" spans="8:9">
      <c r="H17471" s="1358"/>
      <c r="I17471" s="1358"/>
    </row>
    <row r="17472" spans="8:9">
      <c r="H17472" s="1358"/>
      <c r="I17472" s="1358"/>
    </row>
    <row r="17473" spans="8:9">
      <c r="H17473" s="1358"/>
      <c r="I17473" s="1358"/>
    </row>
    <row r="17474" spans="8:9">
      <c r="H17474" s="1358"/>
      <c r="I17474" s="1358"/>
    </row>
    <row r="17475" spans="8:9">
      <c r="H17475" s="1358"/>
      <c r="I17475" s="1358"/>
    </row>
    <row r="17476" spans="8:9">
      <c r="H17476" s="1358"/>
      <c r="I17476" s="1358"/>
    </row>
    <row r="17477" spans="8:9">
      <c r="H17477" s="1358"/>
      <c r="I17477" s="1358"/>
    </row>
    <row r="17478" spans="8:9">
      <c r="H17478" s="1358"/>
      <c r="I17478" s="1358"/>
    </row>
    <row r="17479" spans="8:9">
      <c r="H17479" s="1358"/>
      <c r="I17479" s="1358"/>
    </row>
    <row r="17480" spans="8:9">
      <c r="H17480" s="1358"/>
      <c r="I17480" s="1358"/>
    </row>
    <row r="17481" spans="8:9">
      <c r="H17481" s="1358"/>
      <c r="I17481" s="1358"/>
    </row>
    <row r="17482" spans="8:9">
      <c r="H17482" s="1358"/>
      <c r="I17482" s="1358"/>
    </row>
    <row r="17483" spans="8:9">
      <c r="H17483" s="1358"/>
      <c r="I17483" s="1358"/>
    </row>
    <row r="17484" spans="8:9">
      <c r="H17484" s="1358"/>
      <c r="I17484" s="1358"/>
    </row>
    <row r="17485" spans="8:9">
      <c r="H17485" s="1358"/>
      <c r="I17485" s="1358"/>
    </row>
    <row r="17486" spans="8:9">
      <c r="H17486" s="1358"/>
      <c r="I17486" s="1358"/>
    </row>
    <row r="17487" spans="8:9">
      <c r="H17487" s="1358"/>
      <c r="I17487" s="1358"/>
    </row>
    <row r="17488" spans="8:9">
      <c r="H17488" s="1358"/>
      <c r="I17488" s="1358"/>
    </row>
    <row r="17489" spans="8:9">
      <c r="H17489" s="1358"/>
      <c r="I17489" s="1358"/>
    </row>
    <row r="17490" spans="8:9">
      <c r="H17490" s="1358"/>
      <c r="I17490" s="1358"/>
    </row>
    <row r="17491" spans="8:9">
      <c r="H17491" s="1358"/>
      <c r="I17491" s="1358"/>
    </row>
    <row r="17492" spans="8:9">
      <c r="H17492" s="1358"/>
      <c r="I17492" s="1358"/>
    </row>
    <row r="17493" spans="8:9">
      <c r="H17493" s="1358"/>
      <c r="I17493" s="1358"/>
    </row>
    <row r="17494" spans="8:9">
      <c r="H17494" s="1358"/>
      <c r="I17494" s="1358"/>
    </row>
    <row r="17495" spans="8:9">
      <c r="H17495" s="1358"/>
      <c r="I17495" s="1358"/>
    </row>
    <row r="17496" spans="8:9">
      <c r="H17496" s="1358"/>
      <c r="I17496" s="1358"/>
    </row>
    <row r="17497" spans="8:9">
      <c r="H17497" s="1358"/>
      <c r="I17497" s="1358"/>
    </row>
    <row r="17498" spans="8:9">
      <c r="H17498" s="1358"/>
      <c r="I17498" s="1358"/>
    </row>
    <row r="17499" spans="8:9">
      <c r="H17499" s="1358"/>
      <c r="I17499" s="1358"/>
    </row>
    <row r="17500" spans="8:9">
      <c r="H17500" s="1358"/>
      <c r="I17500" s="1358"/>
    </row>
    <row r="17501" spans="8:9">
      <c r="H17501" s="1358"/>
      <c r="I17501" s="1358"/>
    </row>
    <row r="17502" spans="8:9">
      <c r="H17502" s="1358"/>
      <c r="I17502" s="1358"/>
    </row>
    <row r="17503" spans="8:9">
      <c r="H17503" s="1358"/>
      <c r="I17503" s="1358"/>
    </row>
    <row r="17504" spans="8:9">
      <c r="H17504" s="1358"/>
      <c r="I17504" s="1358"/>
    </row>
    <row r="17505" spans="8:9">
      <c r="H17505" s="1358"/>
      <c r="I17505" s="1358"/>
    </row>
    <row r="17506" spans="8:9">
      <c r="H17506" s="1358"/>
      <c r="I17506" s="1358"/>
    </row>
    <row r="17507" spans="8:9">
      <c r="H17507" s="1358"/>
      <c r="I17507" s="1358"/>
    </row>
    <row r="17508" spans="8:9">
      <c r="H17508" s="1358"/>
      <c r="I17508" s="1358"/>
    </row>
    <row r="17509" spans="8:9">
      <c r="H17509" s="1358"/>
      <c r="I17509" s="1358"/>
    </row>
    <row r="17510" spans="8:9">
      <c r="H17510" s="1358"/>
      <c r="I17510" s="1358"/>
    </row>
    <row r="17511" spans="8:9">
      <c r="H17511" s="1358"/>
      <c r="I17511" s="1358"/>
    </row>
    <row r="17512" spans="8:9">
      <c r="H17512" s="1358"/>
      <c r="I17512" s="1358"/>
    </row>
    <row r="17513" spans="8:9">
      <c r="H17513" s="1358"/>
      <c r="I17513" s="1358"/>
    </row>
    <row r="17514" spans="8:9">
      <c r="H17514" s="1358"/>
      <c r="I17514" s="1358"/>
    </row>
    <row r="17515" spans="8:9">
      <c r="H17515" s="1358"/>
      <c r="I17515" s="1358"/>
    </row>
    <row r="17516" spans="8:9">
      <c r="H17516" s="1358"/>
      <c r="I17516" s="1358"/>
    </row>
    <row r="17517" spans="8:9">
      <c r="H17517" s="1358"/>
      <c r="I17517" s="1358"/>
    </row>
    <row r="17518" spans="8:9">
      <c r="H17518" s="1358"/>
      <c r="I17518" s="1358"/>
    </row>
    <row r="17519" spans="8:9">
      <c r="H17519" s="1358"/>
      <c r="I17519" s="1358"/>
    </row>
    <row r="17520" spans="8:9">
      <c r="H17520" s="1358"/>
      <c r="I17520" s="1358"/>
    </row>
    <row r="17521" spans="8:9">
      <c r="H17521" s="1358"/>
      <c r="I17521" s="1358"/>
    </row>
    <row r="17522" spans="8:9">
      <c r="H17522" s="1358"/>
      <c r="I17522" s="1358"/>
    </row>
    <row r="17523" spans="8:9">
      <c r="H17523" s="1358"/>
      <c r="I17523" s="1358"/>
    </row>
    <row r="17524" spans="8:9">
      <c r="H17524" s="1358"/>
      <c r="I17524" s="1358"/>
    </row>
    <row r="17525" spans="8:9">
      <c r="H17525" s="1358"/>
      <c r="I17525" s="1358"/>
    </row>
    <row r="17526" spans="8:9">
      <c r="H17526" s="1358"/>
      <c r="I17526" s="1358"/>
    </row>
    <row r="17527" spans="8:9">
      <c r="H17527" s="1358"/>
      <c r="I17527" s="1358"/>
    </row>
    <row r="17528" spans="8:9">
      <c r="H17528" s="1358"/>
      <c r="I17528" s="1358"/>
    </row>
    <row r="17529" spans="8:9">
      <c r="H17529" s="1358"/>
      <c r="I17529" s="1358"/>
    </row>
    <row r="17530" spans="8:9">
      <c r="H17530" s="1358"/>
      <c r="I17530" s="1358"/>
    </row>
    <row r="17531" spans="8:9">
      <c r="H17531" s="1358"/>
      <c r="I17531" s="1358"/>
    </row>
    <row r="17532" spans="8:9">
      <c r="H17532" s="1358"/>
      <c r="I17532" s="1358"/>
    </row>
    <row r="17533" spans="8:9">
      <c r="H17533" s="1358"/>
      <c r="I17533" s="1358"/>
    </row>
    <row r="17534" spans="8:9">
      <c r="H17534" s="1358"/>
      <c r="I17534" s="1358"/>
    </row>
    <row r="17535" spans="8:9">
      <c r="H17535" s="1358"/>
      <c r="I17535" s="1358"/>
    </row>
    <row r="17536" spans="8:9">
      <c r="H17536" s="1358"/>
      <c r="I17536" s="1358"/>
    </row>
    <row r="17537" spans="8:9">
      <c r="H17537" s="1358"/>
      <c r="I17537" s="1358"/>
    </row>
    <row r="17538" spans="8:9">
      <c r="H17538" s="1358"/>
      <c r="I17538" s="1358"/>
    </row>
    <row r="17539" spans="8:9">
      <c r="H17539" s="1358"/>
      <c r="I17539" s="1358"/>
    </row>
    <row r="17540" spans="8:9">
      <c r="H17540" s="1358"/>
      <c r="I17540" s="1358"/>
    </row>
    <row r="17541" spans="8:9">
      <c r="H17541" s="1358"/>
      <c r="I17541" s="1358"/>
    </row>
    <row r="17542" spans="8:9">
      <c r="H17542" s="1358"/>
      <c r="I17542" s="1358"/>
    </row>
    <row r="17543" spans="8:9">
      <c r="H17543" s="1358"/>
      <c r="I17543" s="1358"/>
    </row>
    <row r="17544" spans="8:9">
      <c r="H17544" s="1358"/>
      <c r="I17544" s="1358"/>
    </row>
    <row r="17545" spans="8:9">
      <c r="H17545" s="1358"/>
      <c r="I17545" s="1358"/>
    </row>
    <row r="17546" spans="8:9">
      <c r="H17546" s="1358"/>
      <c r="I17546" s="1358"/>
    </row>
    <row r="17547" spans="8:9">
      <c r="H17547" s="1358"/>
      <c r="I17547" s="1358"/>
    </row>
    <row r="17548" spans="8:9">
      <c r="H17548" s="1358"/>
      <c r="I17548" s="1358"/>
    </row>
    <row r="17549" spans="8:9">
      <c r="H17549" s="1358"/>
      <c r="I17549" s="1358"/>
    </row>
    <row r="17550" spans="8:9">
      <c r="H17550" s="1358"/>
      <c r="I17550" s="1358"/>
    </row>
    <row r="17551" spans="8:9">
      <c r="H17551" s="1358"/>
      <c r="I17551" s="1358"/>
    </row>
    <row r="17552" spans="8:9">
      <c r="H17552" s="1358"/>
      <c r="I17552" s="1358"/>
    </row>
    <row r="17553" spans="8:9">
      <c r="H17553" s="1358"/>
      <c r="I17553" s="1358"/>
    </row>
    <row r="17554" spans="8:9">
      <c r="H17554" s="1358"/>
      <c r="I17554" s="1358"/>
    </row>
    <row r="17555" spans="8:9">
      <c r="H17555" s="1358"/>
      <c r="I17555" s="1358"/>
    </row>
    <row r="17556" spans="8:9">
      <c r="H17556" s="1358"/>
      <c r="I17556" s="1358"/>
    </row>
    <row r="17557" spans="8:9">
      <c r="H17557" s="1358"/>
      <c r="I17557" s="1358"/>
    </row>
    <row r="17558" spans="8:9">
      <c r="H17558" s="1358"/>
      <c r="I17558" s="1358"/>
    </row>
    <row r="17559" spans="8:9">
      <c r="H17559" s="1358"/>
      <c r="I17559" s="1358"/>
    </row>
    <row r="17560" spans="8:9">
      <c r="H17560" s="1358"/>
      <c r="I17560" s="1358"/>
    </row>
    <row r="17561" spans="8:9">
      <c r="H17561" s="1358"/>
      <c r="I17561" s="1358"/>
    </row>
    <row r="17562" spans="8:9">
      <c r="H17562" s="1358"/>
      <c r="I17562" s="1358"/>
    </row>
    <row r="17563" spans="8:9">
      <c r="H17563" s="1358"/>
      <c r="I17563" s="1358"/>
    </row>
    <row r="17564" spans="8:9">
      <c r="H17564" s="1358"/>
      <c r="I17564" s="1358"/>
    </row>
    <row r="17565" spans="8:9">
      <c r="H17565" s="1358"/>
      <c r="I17565" s="1358"/>
    </row>
    <row r="17566" spans="8:9">
      <c r="H17566" s="1358"/>
      <c r="I17566" s="1358"/>
    </row>
    <row r="17567" spans="8:9">
      <c r="H17567" s="1358"/>
      <c r="I17567" s="1358"/>
    </row>
    <row r="17568" spans="8:9">
      <c r="H17568" s="1358"/>
      <c r="I17568" s="1358"/>
    </row>
    <row r="17569" spans="8:9">
      <c r="H17569" s="1358"/>
      <c r="I17569" s="1358"/>
    </row>
    <row r="17570" spans="8:9">
      <c r="H17570" s="1358"/>
      <c r="I17570" s="1358"/>
    </row>
    <row r="17571" spans="8:9">
      <c r="H17571" s="1358"/>
      <c r="I17571" s="1358"/>
    </row>
    <row r="17572" spans="8:9">
      <c r="H17572" s="1358"/>
      <c r="I17572" s="1358"/>
    </row>
    <row r="17573" spans="8:9">
      <c r="H17573" s="1358"/>
      <c r="I17573" s="1358"/>
    </row>
    <row r="17574" spans="8:9">
      <c r="H17574" s="1358"/>
      <c r="I17574" s="1358"/>
    </row>
    <row r="17575" spans="8:9">
      <c r="H17575" s="1358"/>
      <c r="I17575" s="1358"/>
    </row>
    <row r="17576" spans="8:9">
      <c r="H17576" s="1358"/>
      <c r="I17576" s="1358"/>
    </row>
    <row r="17577" spans="8:9">
      <c r="H17577" s="1358"/>
      <c r="I17577" s="1358"/>
    </row>
    <row r="17578" spans="8:9">
      <c r="H17578" s="1358"/>
      <c r="I17578" s="1358"/>
    </row>
    <row r="17579" spans="8:9">
      <c r="H17579" s="1358"/>
      <c r="I17579" s="1358"/>
    </row>
    <row r="17580" spans="8:9">
      <c r="H17580" s="1358"/>
      <c r="I17580" s="1358"/>
    </row>
    <row r="17581" spans="8:9">
      <c r="H17581" s="1358"/>
      <c r="I17581" s="1358"/>
    </row>
    <row r="17582" spans="8:9">
      <c r="H17582" s="1358"/>
      <c r="I17582" s="1358"/>
    </row>
    <row r="17583" spans="8:9">
      <c r="H17583" s="1358"/>
      <c r="I17583" s="1358"/>
    </row>
    <row r="17584" spans="8:9">
      <c r="H17584" s="1358"/>
      <c r="I17584" s="1358"/>
    </row>
    <row r="17585" spans="8:9">
      <c r="H17585" s="1358"/>
      <c r="I17585" s="1358"/>
    </row>
    <row r="17586" spans="8:9">
      <c r="H17586" s="1358"/>
      <c r="I17586" s="1358"/>
    </row>
    <row r="17587" spans="8:9">
      <c r="H17587" s="1358"/>
      <c r="I17587" s="1358"/>
    </row>
    <row r="17588" spans="8:9">
      <c r="H17588" s="1358"/>
      <c r="I17588" s="1358"/>
    </row>
    <row r="17589" spans="8:9">
      <c r="H17589" s="1358"/>
      <c r="I17589" s="1358"/>
    </row>
    <row r="17590" spans="8:9">
      <c r="H17590" s="1358"/>
      <c r="I17590" s="1358"/>
    </row>
    <row r="17591" spans="8:9">
      <c r="H17591" s="1358"/>
      <c r="I17591" s="1358"/>
    </row>
    <row r="17592" spans="8:9">
      <c r="H17592" s="1358"/>
      <c r="I17592" s="1358"/>
    </row>
    <row r="17593" spans="8:9">
      <c r="H17593" s="1358"/>
      <c r="I17593" s="1358"/>
    </row>
    <row r="17594" spans="8:9">
      <c r="H17594" s="1358"/>
      <c r="I17594" s="1358"/>
    </row>
    <row r="17595" spans="8:9">
      <c r="H17595" s="1358"/>
      <c r="I17595" s="1358"/>
    </row>
    <row r="17596" spans="8:9">
      <c r="H17596" s="1358"/>
      <c r="I17596" s="1358"/>
    </row>
    <row r="17597" spans="8:9">
      <c r="H17597" s="1358"/>
      <c r="I17597" s="1358"/>
    </row>
    <row r="17598" spans="8:9">
      <c r="H17598" s="1358"/>
      <c r="I17598" s="1358"/>
    </row>
    <row r="17599" spans="8:9">
      <c r="H17599" s="1358"/>
      <c r="I17599" s="1358"/>
    </row>
    <row r="17600" spans="8:9">
      <c r="H17600" s="1358"/>
      <c r="I17600" s="1358"/>
    </row>
    <row r="17601" spans="8:9">
      <c r="H17601" s="1358"/>
      <c r="I17601" s="1358"/>
    </row>
    <row r="17602" spans="8:9">
      <c r="H17602" s="1358"/>
      <c r="I17602" s="1358"/>
    </row>
    <row r="17603" spans="8:9">
      <c r="H17603" s="1358"/>
      <c r="I17603" s="1358"/>
    </row>
    <row r="17604" spans="8:9">
      <c r="H17604" s="1358"/>
      <c r="I17604" s="1358"/>
    </row>
    <row r="17605" spans="8:9">
      <c r="H17605" s="1358"/>
      <c r="I17605" s="1358"/>
    </row>
    <row r="17606" spans="8:9">
      <c r="H17606" s="1358"/>
      <c r="I17606" s="1358"/>
    </row>
    <row r="17607" spans="8:9">
      <c r="H17607" s="1358"/>
      <c r="I17607" s="1358"/>
    </row>
    <row r="17608" spans="8:9">
      <c r="H17608" s="1358"/>
      <c r="I17608" s="1358"/>
    </row>
    <row r="17609" spans="8:9">
      <c r="H17609" s="1358"/>
      <c r="I17609" s="1358"/>
    </row>
    <row r="17610" spans="8:9">
      <c r="H17610" s="1358"/>
      <c r="I17610" s="1358"/>
    </row>
    <row r="17611" spans="8:9">
      <c r="H17611" s="1358"/>
      <c r="I17611" s="1358"/>
    </row>
    <row r="17612" spans="8:9">
      <c r="H17612" s="1358"/>
      <c r="I17612" s="1358"/>
    </row>
    <row r="17613" spans="8:9">
      <c r="H17613" s="1358"/>
      <c r="I17613" s="1358"/>
    </row>
    <row r="17614" spans="8:9">
      <c r="H17614" s="1358"/>
      <c r="I17614" s="1358"/>
    </row>
    <row r="17615" spans="8:9">
      <c r="H17615" s="1358"/>
      <c r="I17615" s="1358"/>
    </row>
    <row r="17616" spans="8:9">
      <c r="H17616" s="1358"/>
      <c r="I17616" s="1358"/>
    </row>
    <row r="17617" spans="8:9">
      <c r="H17617" s="1358"/>
      <c r="I17617" s="1358"/>
    </row>
    <row r="17618" spans="8:9">
      <c r="H17618" s="1358"/>
      <c r="I17618" s="1358"/>
    </row>
    <row r="17619" spans="8:9">
      <c r="H17619" s="1358"/>
      <c r="I17619" s="1358"/>
    </row>
    <row r="17620" spans="8:9">
      <c r="H17620" s="1358"/>
      <c r="I17620" s="1358"/>
    </row>
    <row r="17621" spans="8:9">
      <c r="H17621" s="1358"/>
      <c r="I17621" s="1358"/>
    </row>
    <row r="17622" spans="8:9">
      <c r="H17622" s="1358"/>
      <c r="I17622" s="1358"/>
    </row>
    <row r="17623" spans="8:9">
      <c r="H17623" s="1358"/>
      <c r="I17623" s="1358"/>
    </row>
    <row r="17624" spans="8:9">
      <c r="H17624" s="1358"/>
      <c r="I17624" s="1358"/>
    </row>
    <row r="17625" spans="8:9">
      <c r="H17625" s="1358"/>
      <c r="I17625" s="1358"/>
    </row>
    <row r="17626" spans="8:9">
      <c r="H17626" s="1358"/>
      <c r="I17626" s="1358"/>
    </row>
    <row r="17627" spans="8:9">
      <c r="H17627" s="1358"/>
      <c r="I17627" s="1358"/>
    </row>
    <row r="17628" spans="8:9">
      <c r="H17628" s="1358"/>
      <c r="I17628" s="1358"/>
    </row>
    <row r="17629" spans="8:9">
      <c r="H17629" s="1358"/>
      <c r="I17629" s="1358"/>
    </row>
    <row r="17630" spans="8:9">
      <c r="H17630" s="1358"/>
      <c r="I17630" s="1358"/>
    </row>
    <row r="17631" spans="8:9">
      <c r="H17631" s="1358"/>
      <c r="I17631" s="1358"/>
    </row>
    <row r="17632" spans="8:9">
      <c r="H17632" s="1358"/>
      <c r="I17632" s="1358"/>
    </row>
    <row r="17633" spans="8:9">
      <c r="H17633" s="1358"/>
      <c r="I17633" s="1358"/>
    </row>
    <row r="17634" spans="8:9">
      <c r="H17634" s="1358"/>
      <c r="I17634" s="1358"/>
    </row>
    <row r="17635" spans="8:9">
      <c r="H17635" s="1358"/>
      <c r="I17635" s="1358"/>
    </row>
    <row r="17636" spans="8:9">
      <c r="H17636" s="1358"/>
      <c r="I17636" s="1358"/>
    </row>
    <row r="17637" spans="8:9">
      <c r="H17637" s="1358"/>
      <c r="I17637" s="1358"/>
    </row>
    <row r="17638" spans="8:9">
      <c r="H17638" s="1358"/>
      <c r="I17638" s="1358"/>
    </row>
    <row r="17639" spans="8:9">
      <c r="H17639" s="1358"/>
      <c r="I17639" s="1358"/>
    </row>
    <row r="17640" spans="8:9">
      <c r="H17640" s="1358"/>
      <c r="I17640" s="1358"/>
    </row>
    <row r="17641" spans="8:9">
      <c r="H17641" s="1358"/>
      <c r="I17641" s="1358"/>
    </row>
    <row r="17642" spans="8:9">
      <c r="H17642" s="1358"/>
      <c r="I17642" s="1358"/>
    </row>
    <row r="17643" spans="8:9">
      <c r="H17643" s="1358"/>
      <c r="I17643" s="1358"/>
    </row>
    <row r="17644" spans="8:9">
      <c r="H17644" s="1358"/>
      <c r="I17644" s="1358"/>
    </row>
    <row r="17645" spans="8:9">
      <c r="H17645" s="1358"/>
      <c r="I17645" s="1358"/>
    </row>
    <row r="17646" spans="8:9">
      <c r="H17646" s="1358"/>
      <c r="I17646" s="1358"/>
    </row>
    <row r="17647" spans="8:9">
      <c r="H17647" s="1358"/>
      <c r="I17647" s="1358"/>
    </row>
    <row r="17648" spans="8:9">
      <c r="H17648" s="1358"/>
      <c r="I17648" s="1358"/>
    </row>
    <row r="17649" spans="8:9">
      <c r="H17649" s="1358"/>
      <c r="I17649" s="1358"/>
    </row>
    <row r="17650" spans="8:9">
      <c r="H17650" s="1358"/>
      <c r="I17650" s="1358"/>
    </row>
    <row r="17651" spans="8:9">
      <c r="H17651" s="1358"/>
      <c r="I17651" s="1358"/>
    </row>
    <row r="17652" spans="8:9">
      <c r="H17652" s="1358"/>
      <c r="I17652" s="1358"/>
    </row>
    <row r="17653" spans="8:9">
      <c r="H17653" s="1358"/>
      <c r="I17653" s="1358"/>
    </row>
    <row r="17654" spans="8:9">
      <c r="H17654" s="1358"/>
      <c r="I17654" s="1358"/>
    </row>
    <row r="17655" spans="8:9">
      <c r="H17655" s="1358"/>
      <c r="I17655" s="1358"/>
    </row>
    <row r="17656" spans="8:9">
      <c r="H17656" s="1358"/>
      <c r="I17656" s="1358"/>
    </row>
    <row r="17657" spans="8:9">
      <c r="H17657" s="1358"/>
      <c r="I17657" s="1358"/>
    </row>
    <row r="17658" spans="8:9">
      <c r="H17658" s="1358"/>
      <c r="I17658" s="1358"/>
    </row>
    <row r="17659" spans="8:9">
      <c r="H17659" s="1358"/>
      <c r="I17659" s="1358"/>
    </row>
    <row r="17660" spans="8:9">
      <c r="H17660" s="1358"/>
      <c r="I17660" s="1358"/>
    </row>
    <row r="17661" spans="8:9">
      <c r="H17661" s="1358"/>
      <c r="I17661" s="1358"/>
    </row>
    <row r="17662" spans="8:9">
      <c r="H17662" s="1358"/>
      <c r="I17662" s="1358"/>
    </row>
    <row r="17663" spans="8:9">
      <c r="H17663" s="1358"/>
      <c r="I17663" s="1358"/>
    </row>
    <row r="17664" spans="8:9">
      <c r="H17664" s="1358"/>
      <c r="I17664" s="1358"/>
    </row>
    <row r="17665" spans="8:9">
      <c r="H17665" s="1358"/>
      <c r="I17665" s="1358"/>
    </row>
    <row r="17666" spans="8:9">
      <c r="H17666" s="1358"/>
      <c r="I17666" s="1358"/>
    </row>
    <row r="17667" spans="8:9">
      <c r="H17667" s="1358"/>
      <c r="I17667" s="1358"/>
    </row>
    <row r="17668" spans="8:9">
      <c r="H17668" s="1358"/>
      <c r="I17668" s="1358"/>
    </row>
    <row r="17669" spans="8:9">
      <c r="H17669" s="1358"/>
      <c r="I17669" s="1358"/>
    </row>
    <row r="17670" spans="8:9">
      <c r="H17670" s="1358"/>
      <c r="I17670" s="1358"/>
    </row>
    <row r="17671" spans="8:9">
      <c r="H17671" s="1358"/>
      <c r="I17671" s="1358"/>
    </row>
    <row r="17672" spans="8:9">
      <c r="H17672" s="1358"/>
      <c r="I17672" s="1358"/>
    </row>
    <row r="17673" spans="8:9">
      <c r="H17673" s="1358"/>
      <c r="I17673" s="1358"/>
    </row>
    <row r="17674" spans="8:9">
      <c r="H17674" s="1358"/>
      <c r="I17674" s="1358"/>
    </row>
    <row r="17675" spans="8:9">
      <c r="H17675" s="1358"/>
      <c r="I17675" s="1358"/>
    </row>
    <row r="17676" spans="8:9">
      <c r="H17676" s="1358"/>
      <c r="I17676" s="1358"/>
    </row>
    <row r="17677" spans="8:9">
      <c r="H17677" s="1358"/>
      <c r="I17677" s="1358"/>
    </row>
    <row r="17678" spans="8:9">
      <c r="H17678" s="1358"/>
      <c r="I17678" s="1358"/>
    </row>
    <row r="17679" spans="8:9">
      <c r="H17679" s="1358"/>
      <c r="I17679" s="1358"/>
    </row>
    <row r="17680" spans="8:9">
      <c r="H17680" s="1358"/>
      <c r="I17680" s="1358"/>
    </row>
    <row r="17681" spans="8:9">
      <c r="H17681" s="1358"/>
      <c r="I17681" s="1358"/>
    </row>
    <row r="17682" spans="8:9">
      <c r="H17682" s="1358"/>
      <c r="I17682" s="1358"/>
    </row>
    <row r="17683" spans="8:9">
      <c r="H17683" s="1358"/>
      <c r="I17683" s="1358"/>
    </row>
    <row r="17684" spans="8:9">
      <c r="H17684" s="1358"/>
      <c r="I17684" s="1358"/>
    </row>
    <row r="17685" spans="8:9">
      <c r="H17685" s="1358"/>
      <c r="I17685" s="1358"/>
    </row>
    <row r="17686" spans="8:9">
      <c r="H17686" s="1358"/>
      <c r="I17686" s="1358"/>
    </row>
    <row r="17687" spans="8:9">
      <c r="H17687" s="1358"/>
      <c r="I17687" s="1358"/>
    </row>
    <row r="17688" spans="8:9">
      <c r="H17688" s="1358"/>
      <c r="I17688" s="1358"/>
    </row>
    <row r="17689" spans="8:9">
      <c r="H17689" s="1358"/>
      <c r="I17689" s="1358"/>
    </row>
    <row r="17690" spans="8:9">
      <c r="H17690" s="1358"/>
      <c r="I17690" s="1358"/>
    </row>
    <row r="17691" spans="8:9">
      <c r="H17691" s="1358"/>
      <c r="I17691" s="1358"/>
    </row>
    <row r="17692" spans="8:9">
      <c r="H17692" s="1358"/>
      <c r="I17692" s="1358"/>
    </row>
    <row r="17693" spans="8:9">
      <c r="H17693" s="1358"/>
      <c r="I17693" s="1358"/>
    </row>
    <row r="17694" spans="8:9">
      <c r="H17694" s="1358"/>
      <c r="I17694" s="1358"/>
    </row>
    <row r="17695" spans="8:9">
      <c r="H17695" s="1358"/>
      <c r="I17695" s="1358"/>
    </row>
    <row r="17696" spans="8:9">
      <c r="H17696" s="1358"/>
      <c r="I17696" s="1358"/>
    </row>
    <row r="17697" spans="8:9">
      <c r="H17697" s="1358"/>
      <c r="I17697" s="1358"/>
    </row>
    <row r="17698" spans="8:9">
      <c r="H17698" s="1358"/>
      <c r="I17698" s="1358"/>
    </row>
    <row r="17699" spans="8:9">
      <c r="H17699" s="1358"/>
      <c r="I17699" s="1358"/>
    </row>
    <row r="17700" spans="8:9">
      <c r="H17700" s="1358"/>
      <c r="I17700" s="1358"/>
    </row>
    <row r="17701" spans="8:9">
      <c r="H17701" s="1358"/>
      <c r="I17701" s="1358"/>
    </row>
    <row r="17702" spans="8:9">
      <c r="H17702" s="1358"/>
      <c r="I17702" s="1358"/>
    </row>
    <row r="17703" spans="8:9">
      <c r="H17703" s="1358"/>
      <c r="I17703" s="1358"/>
    </row>
    <row r="17704" spans="8:9">
      <c r="H17704" s="1358"/>
      <c r="I17704" s="1358"/>
    </row>
    <row r="17705" spans="8:9">
      <c r="H17705" s="1358"/>
      <c r="I17705" s="1358"/>
    </row>
    <row r="17706" spans="8:9">
      <c r="H17706" s="1358"/>
      <c r="I17706" s="1358"/>
    </row>
    <row r="17707" spans="8:9">
      <c r="H17707" s="1358"/>
      <c r="I17707" s="1358"/>
    </row>
    <row r="17708" spans="8:9">
      <c r="H17708" s="1358"/>
      <c r="I17708" s="1358"/>
    </row>
    <row r="17709" spans="8:9">
      <c r="H17709" s="1358"/>
      <c r="I17709" s="1358"/>
    </row>
    <row r="17710" spans="8:9">
      <c r="H17710" s="1358"/>
      <c r="I17710" s="1358"/>
    </row>
    <row r="17711" spans="8:9">
      <c r="H17711" s="1358"/>
      <c r="I17711" s="1358"/>
    </row>
    <row r="17712" spans="8:9">
      <c r="H17712" s="1358"/>
      <c r="I17712" s="1358"/>
    </row>
    <row r="17713" spans="8:9">
      <c r="H17713" s="1358"/>
      <c r="I17713" s="1358"/>
    </row>
    <row r="17714" spans="8:9">
      <c r="H17714" s="1358"/>
      <c r="I17714" s="1358"/>
    </row>
    <row r="17715" spans="8:9">
      <c r="H17715" s="1358"/>
      <c r="I17715" s="1358"/>
    </row>
    <row r="17716" spans="8:9">
      <c r="H17716" s="1358"/>
      <c r="I17716" s="1358"/>
    </row>
    <row r="17717" spans="8:9">
      <c r="H17717" s="1358"/>
      <c r="I17717" s="1358"/>
    </row>
    <row r="17718" spans="8:9">
      <c r="H17718" s="1358"/>
      <c r="I17718" s="1358"/>
    </row>
    <row r="17719" spans="8:9">
      <c r="H17719" s="1358"/>
      <c r="I17719" s="1358"/>
    </row>
    <row r="17720" spans="8:9">
      <c r="H17720" s="1358"/>
      <c r="I17720" s="1358"/>
    </row>
    <row r="17721" spans="8:9">
      <c r="H17721" s="1358"/>
      <c r="I17721" s="1358"/>
    </row>
    <row r="17722" spans="8:9">
      <c r="H17722" s="1358"/>
      <c r="I17722" s="1358"/>
    </row>
    <row r="17723" spans="8:9">
      <c r="H17723" s="1358"/>
      <c r="I17723" s="1358"/>
    </row>
    <row r="17724" spans="8:9">
      <c r="H17724" s="1358"/>
      <c r="I17724" s="1358"/>
    </row>
    <row r="17725" spans="8:9">
      <c r="H17725" s="1358"/>
      <c r="I17725" s="1358"/>
    </row>
    <row r="17726" spans="8:9">
      <c r="H17726" s="1358"/>
      <c r="I17726" s="1358"/>
    </row>
    <row r="17727" spans="8:9">
      <c r="H17727" s="1358"/>
      <c r="I17727" s="1358"/>
    </row>
    <row r="17728" spans="8:9">
      <c r="H17728" s="1358"/>
      <c r="I17728" s="1358"/>
    </row>
    <row r="17729" spans="8:9">
      <c r="H17729" s="1358"/>
      <c r="I17729" s="1358"/>
    </row>
    <row r="17730" spans="8:9">
      <c r="H17730" s="1358"/>
      <c r="I17730" s="1358"/>
    </row>
    <row r="17731" spans="8:9">
      <c r="H17731" s="1358"/>
      <c r="I17731" s="1358"/>
    </row>
    <row r="17732" spans="8:9">
      <c r="H17732" s="1358"/>
      <c r="I17732" s="1358"/>
    </row>
    <row r="17733" spans="8:9">
      <c r="H17733" s="1358"/>
      <c r="I17733" s="1358"/>
    </row>
    <row r="17734" spans="8:9">
      <c r="H17734" s="1358"/>
      <c r="I17734" s="1358"/>
    </row>
    <row r="17735" spans="8:9">
      <c r="H17735" s="1358"/>
      <c r="I17735" s="1358"/>
    </row>
    <row r="17736" spans="8:9">
      <c r="H17736" s="1358"/>
      <c r="I17736" s="1358"/>
    </row>
    <row r="17737" spans="8:9">
      <c r="H17737" s="1358"/>
      <c r="I17737" s="1358"/>
    </row>
    <row r="17738" spans="8:9">
      <c r="H17738" s="1358"/>
      <c r="I17738" s="1358"/>
    </row>
    <row r="17739" spans="8:9">
      <c r="H17739" s="1358"/>
      <c r="I17739" s="1358"/>
    </row>
    <row r="17740" spans="8:9">
      <c r="H17740" s="1358"/>
      <c r="I17740" s="1358"/>
    </row>
    <row r="17741" spans="8:9">
      <c r="H17741" s="1358"/>
      <c r="I17741" s="1358"/>
    </row>
    <row r="17742" spans="8:9">
      <c r="H17742" s="1358"/>
      <c r="I17742" s="1358"/>
    </row>
    <row r="17743" spans="8:9">
      <c r="H17743" s="1358"/>
      <c r="I17743" s="1358"/>
    </row>
    <row r="17744" spans="8:9">
      <c r="H17744" s="1358"/>
      <c r="I17744" s="1358"/>
    </row>
    <row r="17745" spans="8:9">
      <c r="H17745" s="1358"/>
      <c r="I17745" s="1358"/>
    </row>
    <row r="17746" spans="8:9">
      <c r="H17746" s="1358"/>
      <c r="I17746" s="1358"/>
    </row>
    <row r="17747" spans="8:9">
      <c r="H17747" s="1358"/>
      <c r="I17747" s="1358"/>
    </row>
    <row r="17748" spans="8:9">
      <c r="H17748" s="1358"/>
      <c r="I17748" s="1358"/>
    </row>
    <row r="17749" spans="8:9">
      <c r="H17749" s="1358"/>
      <c r="I17749" s="1358"/>
    </row>
    <row r="17750" spans="8:9">
      <c r="H17750" s="1358"/>
      <c r="I17750" s="1358"/>
    </row>
    <row r="17751" spans="8:9">
      <c r="H17751" s="1358"/>
      <c r="I17751" s="1358"/>
    </row>
    <row r="17752" spans="8:9">
      <c r="H17752" s="1358"/>
      <c r="I17752" s="1358"/>
    </row>
    <row r="17753" spans="8:9">
      <c r="H17753" s="1358"/>
      <c r="I17753" s="1358"/>
    </row>
    <row r="17754" spans="8:9">
      <c r="H17754" s="1358"/>
      <c r="I17754" s="1358"/>
    </row>
    <row r="17755" spans="8:9">
      <c r="H17755" s="1358"/>
      <c r="I17755" s="1358"/>
    </row>
    <row r="17756" spans="8:9">
      <c r="H17756" s="1358"/>
      <c r="I17756" s="1358"/>
    </row>
    <row r="17757" spans="8:9">
      <c r="H17757" s="1358"/>
      <c r="I17757" s="1358"/>
    </row>
    <row r="17758" spans="8:9">
      <c r="H17758" s="1358"/>
      <c r="I17758" s="1358"/>
    </row>
    <row r="17759" spans="8:9">
      <c r="H17759" s="1358"/>
      <c r="I17759" s="1358"/>
    </row>
    <row r="17760" spans="8:9">
      <c r="H17760" s="1358"/>
      <c r="I17760" s="1358"/>
    </row>
    <row r="17761" spans="8:9">
      <c r="H17761" s="1358"/>
      <c r="I17761" s="1358"/>
    </row>
    <row r="17762" spans="8:9">
      <c r="H17762" s="1358"/>
      <c r="I17762" s="1358"/>
    </row>
    <row r="17763" spans="8:9">
      <c r="H17763" s="1358"/>
      <c r="I17763" s="1358"/>
    </row>
    <row r="17764" spans="8:9">
      <c r="H17764" s="1358"/>
      <c r="I17764" s="1358"/>
    </row>
    <row r="17765" spans="8:9">
      <c r="H17765" s="1358"/>
      <c r="I17765" s="1358"/>
    </row>
    <row r="17766" spans="8:9">
      <c r="H17766" s="1358"/>
      <c r="I17766" s="1358"/>
    </row>
    <row r="17767" spans="8:9">
      <c r="H17767" s="1358"/>
      <c r="I17767" s="1358"/>
    </row>
    <row r="17768" spans="8:9">
      <c r="H17768" s="1358"/>
      <c r="I17768" s="1358"/>
    </row>
    <row r="17769" spans="8:9">
      <c r="H17769" s="1358"/>
      <c r="I17769" s="1358"/>
    </row>
    <row r="17770" spans="8:9">
      <c r="H17770" s="1358"/>
      <c r="I17770" s="1358"/>
    </row>
    <row r="17771" spans="8:9">
      <c r="H17771" s="1358"/>
      <c r="I17771" s="1358"/>
    </row>
    <row r="17772" spans="8:9">
      <c r="H17772" s="1358"/>
      <c r="I17772" s="1358"/>
    </row>
    <row r="17773" spans="8:9">
      <c r="H17773" s="1358"/>
      <c r="I17773" s="1358"/>
    </row>
    <row r="17774" spans="8:9">
      <c r="H17774" s="1358"/>
      <c r="I17774" s="1358"/>
    </row>
    <row r="17775" spans="8:9">
      <c r="H17775" s="1358"/>
      <c r="I17775" s="1358"/>
    </row>
    <row r="17776" spans="8:9">
      <c r="H17776" s="1358"/>
      <c r="I17776" s="1358"/>
    </row>
    <row r="17777" spans="8:9">
      <c r="H17777" s="1358"/>
      <c r="I17777" s="1358"/>
    </row>
    <row r="17778" spans="8:9">
      <c r="H17778" s="1358"/>
      <c r="I17778" s="1358"/>
    </row>
    <row r="17779" spans="8:9">
      <c r="H17779" s="1358"/>
      <c r="I17779" s="1358"/>
    </row>
    <row r="17780" spans="8:9">
      <c r="H17780" s="1358"/>
      <c r="I17780" s="1358"/>
    </row>
    <row r="17781" spans="8:9">
      <c r="H17781" s="1358"/>
      <c r="I17781" s="1358"/>
    </row>
    <row r="17782" spans="8:9">
      <c r="H17782" s="1358"/>
      <c r="I17782" s="1358"/>
    </row>
    <row r="17783" spans="8:9">
      <c r="H17783" s="1358"/>
      <c r="I17783" s="1358"/>
    </row>
    <row r="17784" spans="8:9">
      <c r="H17784" s="1358"/>
      <c r="I17784" s="1358"/>
    </row>
    <row r="17785" spans="8:9">
      <c r="H17785" s="1358"/>
      <c r="I17785" s="1358"/>
    </row>
    <row r="17786" spans="8:9">
      <c r="H17786" s="1358"/>
      <c r="I17786" s="1358"/>
    </row>
    <row r="17787" spans="8:9">
      <c r="H17787" s="1358"/>
      <c r="I17787" s="1358"/>
    </row>
    <row r="17788" spans="8:9">
      <c r="H17788" s="1358"/>
      <c r="I17788" s="1358"/>
    </row>
    <row r="17789" spans="8:9">
      <c r="H17789" s="1358"/>
      <c r="I17789" s="1358"/>
    </row>
    <row r="17790" spans="8:9">
      <c r="H17790" s="1358"/>
      <c r="I17790" s="1358"/>
    </row>
    <row r="17791" spans="8:9">
      <c r="H17791" s="1358"/>
      <c r="I17791" s="1358"/>
    </row>
    <row r="17792" spans="8:9">
      <c r="H17792" s="1358"/>
      <c r="I17792" s="1358"/>
    </row>
    <row r="17793" spans="8:9">
      <c r="H17793" s="1358"/>
      <c r="I17793" s="1358"/>
    </row>
    <row r="17794" spans="8:9">
      <c r="H17794" s="1358"/>
      <c r="I17794" s="1358"/>
    </row>
    <row r="17795" spans="8:9">
      <c r="H17795" s="1358"/>
      <c r="I17795" s="1358"/>
    </row>
    <row r="17796" spans="8:9">
      <c r="H17796" s="1358"/>
      <c r="I17796" s="1358"/>
    </row>
    <row r="17797" spans="8:9">
      <c r="H17797" s="1358"/>
      <c r="I17797" s="1358"/>
    </row>
    <row r="17798" spans="8:9">
      <c r="H17798" s="1358"/>
      <c r="I17798" s="1358"/>
    </row>
    <row r="17799" spans="8:9">
      <c r="H17799" s="1358"/>
      <c r="I17799" s="1358"/>
    </row>
    <row r="17800" spans="8:9">
      <c r="H17800" s="1358"/>
      <c r="I17800" s="1358"/>
    </row>
    <row r="17801" spans="8:9">
      <c r="H17801" s="1358"/>
      <c r="I17801" s="1358"/>
    </row>
    <row r="17802" spans="8:9">
      <c r="H17802" s="1358"/>
      <c r="I17802" s="1358"/>
    </row>
    <row r="17803" spans="8:9">
      <c r="H17803" s="1358"/>
      <c r="I17803" s="1358"/>
    </row>
    <row r="17804" spans="8:9">
      <c r="H17804" s="1358"/>
      <c r="I17804" s="1358"/>
    </row>
    <row r="17805" spans="8:9">
      <c r="H17805" s="1358"/>
      <c r="I17805" s="1358"/>
    </row>
    <row r="17806" spans="8:9">
      <c r="H17806" s="1358"/>
      <c r="I17806" s="1358"/>
    </row>
    <row r="17807" spans="8:9">
      <c r="H17807" s="1358"/>
      <c r="I17807" s="1358"/>
    </row>
    <row r="17808" spans="8:9">
      <c r="H17808" s="1358"/>
      <c r="I17808" s="1358"/>
    </row>
    <row r="17809" spans="8:9">
      <c r="H17809" s="1358"/>
      <c r="I17809" s="1358"/>
    </row>
    <row r="17810" spans="8:9">
      <c r="H17810" s="1358"/>
      <c r="I17810" s="1358"/>
    </row>
    <row r="17811" spans="8:9">
      <c r="H17811" s="1358"/>
      <c r="I17811" s="1358"/>
    </row>
    <row r="17812" spans="8:9">
      <c r="H17812" s="1358"/>
      <c r="I17812" s="1358"/>
    </row>
    <row r="17813" spans="8:9">
      <c r="H17813" s="1358"/>
      <c r="I17813" s="1358"/>
    </row>
    <row r="17814" spans="8:9">
      <c r="H17814" s="1358"/>
      <c r="I17814" s="1358"/>
    </row>
    <row r="17815" spans="8:9">
      <c r="H17815" s="1358"/>
      <c r="I17815" s="1358"/>
    </row>
    <row r="17816" spans="8:9">
      <c r="H17816" s="1358"/>
      <c r="I17816" s="1358"/>
    </row>
    <row r="17817" spans="8:9">
      <c r="H17817" s="1358"/>
      <c r="I17817" s="1358"/>
    </row>
    <row r="17818" spans="8:9">
      <c r="H17818" s="1358"/>
      <c r="I17818" s="1358"/>
    </row>
    <row r="17819" spans="8:9">
      <c r="H17819" s="1358"/>
      <c r="I17819" s="1358"/>
    </row>
    <row r="17820" spans="8:9">
      <c r="H17820" s="1358"/>
      <c r="I17820" s="1358"/>
    </row>
    <row r="17821" spans="8:9">
      <c r="H17821" s="1358"/>
      <c r="I17821" s="1358"/>
    </row>
    <row r="17822" spans="8:9">
      <c r="H17822" s="1358"/>
      <c r="I17822" s="1358"/>
    </row>
    <row r="17823" spans="8:9">
      <c r="H17823" s="1358"/>
      <c r="I17823" s="1358"/>
    </row>
    <row r="17824" spans="8:9">
      <c r="H17824" s="1358"/>
      <c r="I17824" s="1358"/>
    </row>
    <row r="17825" spans="8:9">
      <c r="H17825" s="1358"/>
      <c r="I17825" s="1358"/>
    </row>
    <row r="17826" spans="8:9">
      <c r="H17826" s="1358"/>
      <c r="I17826" s="1358"/>
    </row>
    <row r="17827" spans="8:9">
      <c r="H17827" s="1358"/>
      <c r="I17827" s="1358"/>
    </row>
    <row r="17828" spans="8:9">
      <c r="H17828" s="1358"/>
      <c r="I17828" s="1358"/>
    </row>
    <row r="17829" spans="8:9">
      <c r="H17829" s="1358"/>
      <c r="I17829" s="1358"/>
    </row>
    <row r="17830" spans="8:9">
      <c r="H17830" s="1358"/>
      <c r="I17830" s="1358"/>
    </row>
    <row r="17831" spans="8:9">
      <c r="H17831" s="1358"/>
      <c r="I17831" s="1358"/>
    </row>
    <row r="17832" spans="8:9">
      <c r="H17832" s="1358"/>
      <c r="I17832" s="1358"/>
    </row>
    <row r="17833" spans="8:9">
      <c r="H17833" s="1358"/>
      <c r="I17833" s="1358"/>
    </row>
    <row r="17834" spans="8:9">
      <c r="H17834" s="1358"/>
      <c r="I17834" s="1358"/>
    </row>
    <row r="17835" spans="8:9">
      <c r="H17835" s="1358"/>
      <c r="I17835" s="1358"/>
    </row>
    <row r="17836" spans="8:9">
      <c r="H17836" s="1358"/>
      <c r="I17836" s="1358"/>
    </row>
    <row r="17837" spans="8:9">
      <c r="H17837" s="1358"/>
      <c r="I17837" s="1358"/>
    </row>
    <row r="17838" spans="8:9">
      <c r="H17838" s="1358"/>
      <c r="I17838" s="1358"/>
    </row>
    <row r="17839" spans="8:9">
      <c r="H17839" s="1358"/>
      <c r="I17839" s="1358"/>
    </row>
    <row r="17840" spans="8:9">
      <c r="H17840" s="1358"/>
      <c r="I17840" s="1358"/>
    </row>
    <row r="17841" spans="8:9">
      <c r="H17841" s="1358"/>
      <c r="I17841" s="1358"/>
    </row>
    <row r="17842" spans="8:9">
      <c r="H17842" s="1358"/>
      <c r="I17842" s="1358"/>
    </row>
    <row r="17843" spans="8:9">
      <c r="H17843" s="1358"/>
      <c r="I17843" s="1358"/>
    </row>
    <row r="17844" spans="8:9">
      <c r="H17844" s="1358"/>
      <c r="I17844" s="1358"/>
    </row>
    <row r="17845" spans="8:9">
      <c r="H17845" s="1358"/>
      <c r="I17845" s="1358"/>
    </row>
    <row r="17846" spans="8:9">
      <c r="H17846" s="1358"/>
      <c r="I17846" s="1358"/>
    </row>
    <row r="17847" spans="8:9">
      <c r="H17847" s="1358"/>
      <c r="I17847" s="1358"/>
    </row>
    <row r="17848" spans="8:9">
      <c r="H17848" s="1358"/>
      <c r="I17848" s="1358"/>
    </row>
    <row r="17849" spans="8:9">
      <c r="H17849" s="1358"/>
      <c r="I17849" s="1358"/>
    </row>
    <row r="17850" spans="8:9">
      <c r="H17850" s="1358"/>
      <c r="I17850" s="1358"/>
    </row>
    <row r="17851" spans="8:9">
      <c r="H17851" s="1358"/>
      <c r="I17851" s="1358"/>
    </row>
    <row r="17852" spans="8:9">
      <c r="H17852" s="1358"/>
      <c r="I17852" s="1358"/>
    </row>
    <row r="17853" spans="8:9">
      <c r="H17853" s="1358"/>
      <c r="I17853" s="1358"/>
    </row>
    <row r="17854" spans="8:9">
      <c r="H17854" s="1358"/>
      <c r="I17854" s="1358"/>
    </row>
    <row r="17855" spans="8:9">
      <c r="H17855" s="1358"/>
      <c r="I17855" s="1358"/>
    </row>
    <row r="17856" spans="8:9">
      <c r="H17856" s="1358"/>
      <c r="I17856" s="1358"/>
    </row>
    <row r="17857" spans="8:9">
      <c r="H17857" s="1358"/>
      <c r="I17857" s="1358"/>
    </row>
    <row r="17858" spans="8:9">
      <c r="H17858" s="1358"/>
      <c r="I17858" s="1358"/>
    </row>
    <row r="17859" spans="8:9">
      <c r="H17859" s="1358"/>
      <c r="I17859" s="1358"/>
    </row>
    <row r="17860" spans="8:9">
      <c r="H17860" s="1358"/>
      <c r="I17860" s="1358"/>
    </row>
    <row r="17861" spans="8:9">
      <c r="H17861" s="1358"/>
      <c r="I17861" s="1358"/>
    </row>
    <row r="17862" spans="8:9">
      <c r="H17862" s="1358"/>
      <c r="I17862" s="1358"/>
    </row>
    <row r="17863" spans="8:9">
      <c r="H17863" s="1358"/>
      <c r="I17863" s="1358"/>
    </row>
    <row r="17864" spans="8:9">
      <c r="H17864" s="1358"/>
      <c r="I17864" s="1358"/>
    </row>
    <row r="17865" spans="8:9">
      <c r="H17865" s="1358"/>
      <c r="I17865" s="1358"/>
    </row>
    <row r="17866" spans="8:9">
      <c r="H17866" s="1358"/>
      <c r="I17866" s="1358"/>
    </row>
    <row r="17867" spans="8:9">
      <c r="H17867" s="1358"/>
      <c r="I17867" s="1358"/>
    </row>
    <row r="17868" spans="8:9">
      <c r="H17868" s="1358"/>
      <c r="I17868" s="1358"/>
    </row>
    <row r="17869" spans="8:9">
      <c r="H17869" s="1358"/>
      <c r="I17869" s="1358"/>
    </row>
    <row r="17870" spans="8:9">
      <c r="H17870" s="1358"/>
      <c r="I17870" s="1358"/>
    </row>
    <row r="17871" spans="8:9">
      <c r="H17871" s="1358"/>
      <c r="I17871" s="1358"/>
    </row>
    <row r="17872" spans="8:9">
      <c r="H17872" s="1358"/>
      <c r="I17872" s="1358"/>
    </row>
    <row r="17873" spans="8:9">
      <c r="H17873" s="1358"/>
      <c r="I17873" s="1358"/>
    </row>
    <row r="17874" spans="8:9">
      <c r="H17874" s="1358"/>
      <c r="I17874" s="1358"/>
    </row>
    <row r="17875" spans="8:9">
      <c r="H17875" s="1358"/>
      <c r="I17875" s="1358"/>
    </row>
    <row r="17876" spans="8:9">
      <c r="H17876" s="1358"/>
      <c r="I17876" s="1358"/>
    </row>
    <row r="17877" spans="8:9">
      <c r="H17877" s="1358"/>
      <c r="I17877" s="1358"/>
    </row>
    <row r="17878" spans="8:9">
      <c r="H17878" s="1358"/>
      <c r="I17878" s="1358"/>
    </row>
    <row r="17879" spans="8:9">
      <c r="H17879" s="1358"/>
      <c r="I17879" s="1358"/>
    </row>
    <row r="17880" spans="8:9">
      <c r="H17880" s="1358"/>
      <c r="I17880" s="1358"/>
    </row>
    <row r="17881" spans="8:9">
      <c r="H17881" s="1358"/>
      <c r="I17881" s="1358"/>
    </row>
    <row r="17882" spans="8:9">
      <c r="H17882" s="1358"/>
      <c r="I17882" s="1358"/>
    </row>
    <row r="17883" spans="8:9">
      <c r="H17883" s="1358"/>
      <c r="I17883" s="1358"/>
    </row>
    <row r="17884" spans="8:9">
      <c r="H17884" s="1358"/>
      <c r="I17884" s="1358"/>
    </row>
    <row r="17885" spans="8:9">
      <c r="H17885" s="1358"/>
      <c r="I17885" s="1358"/>
    </row>
    <row r="17886" spans="8:9">
      <c r="H17886" s="1358"/>
      <c r="I17886" s="1358"/>
    </row>
    <row r="17887" spans="8:9">
      <c r="H17887" s="1358"/>
      <c r="I17887" s="1358"/>
    </row>
    <row r="17888" spans="8:9">
      <c r="H17888" s="1358"/>
      <c r="I17888" s="1358"/>
    </row>
    <row r="17889" spans="8:9">
      <c r="H17889" s="1358"/>
      <c r="I17889" s="1358"/>
    </row>
    <row r="17890" spans="8:9">
      <c r="H17890" s="1358"/>
      <c r="I17890" s="1358"/>
    </row>
    <row r="17891" spans="8:9">
      <c r="H17891" s="1358"/>
      <c r="I17891" s="1358"/>
    </row>
    <row r="17892" spans="8:9">
      <c r="H17892" s="1358"/>
      <c r="I17892" s="1358"/>
    </row>
    <row r="17893" spans="8:9">
      <c r="H17893" s="1358"/>
      <c r="I17893" s="1358"/>
    </row>
    <row r="17894" spans="8:9">
      <c r="H17894" s="1358"/>
      <c r="I17894" s="1358"/>
    </row>
    <row r="17895" spans="8:9">
      <c r="H17895" s="1358"/>
      <c r="I17895" s="1358"/>
    </row>
    <row r="17896" spans="8:9">
      <c r="H17896" s="1358"/>
      <c r="I17896" s="1358"/>
    </row>
    <row r="17897" spans="8:9">
      <c r="H17897" s="1358"/>
      <c r="I17897" s="1358"/>
    </row>
    <row r="17898" spans="8:9">
      <c r="H17898" s="1358"/>
      <c r="I17898" s="1358"/>
    </row>
    <row r="17899" spans="8:9">
      <c r="H17899" s="1358"/>
      <c r="I17899" s="1358"/>
    </row>
    <row r="17900" spans="8:9">
      <c r="H17900" s="1358"/>
      <c r="I17900" s="1358"/>
    </row>
    <row r="17901" spans="8:9">
      <c r="H17901" s="1358"/>
      <c r="I17901" s="1358"/>
    </row>
    <row r="17902" spans="8:9">
      <c r="H17902" s="1358"/>
      <c r="I17902" s="1358"/>
    </row>
    <row r="17903" spans="8:9">
      <c r="H17903" s="1358"/>
      <c r="I17903" s="1358"/>
    </row>
    <row r="17904" spans="8:9">
      <c r="H17904" s="1358"/>
      <c r="I17904" s="1358"/>
    </row>
    <row r="17905" spans="8:9">
      <c r="H17905" s="1358"/>
      <c r="I17905" s="1358"/>
    </row>
    <row r="17906" spans="8:9">
      <c r="H17906" s="1358"/>
      <c r="I17906" s="1358"/>
    </row>
    <row r="17907" spans="8:9">
      <c r="H17907" s="1358"/>
      <c r="I17907" s="1358"/>
    </row>
    <row r="17908" spans="8:9">
      <c r="H17908" s="1358"/>
      <c r="I17908" s="1358"/>
    </row>
    <row r="17909" spans="8:9">
      <c r="H17909" s="1358"/>
      <c r="I17909" s="1358"/>
    </row>
    <row r="17910" spans="8:9">
      <c r="H17910" s="1358"/>
      <c r="I17910" s="1358"/>
    </row>
    <row r="17911" spans="8:9">
      <c r="H17911" s="1358"/>
      <c r="I17911" s="1358"/>
    </row>
    <row r="17912" spans="8:9">
      <c r="H17912" s="1358"/>
      <c r="I17912" s="1358"/>
    </row>
    <row r="17913" spans="8:9">
      <c r="H17913" s="1358"/>
      <c r="I17913" s="1358"/>
    </row>
    <row r="17914" spans="8:9">
      <c r="H17914" s="1358"/>
      <c r="I17914" s="1358"/>
    </row>
    <row r="17915" spans="8:9">
      <c r="H17915" s="1358"/>
      <c r="I17915" s="1358"/>
    </row>
    <row r="17916" spans="8:9">
      <c r="H17916" s="1358"/>
      <c r="I17916" s="1358"/>
    </row>
    <row r="17917" spans="8:9">
      <c r="H17917" s="1358"/>
      <c r="I17917" s="1358"/>
    </row>
    <row r="17918" spans="8:9">
      <c r="H17918" s="1358"/>
      <c r="I17918" s="1358"/>
    </row>
    <row r="17919" spans="8:9">
      <c r="H17919" s="1358"/>
      <c r="I17919" s="1358"/>
    </row>
    <row r="17920" spans="8:9">
      <c r="H17920" s="1358"/>
      <c r="I17920" s="1358"/>
    </row>
    <row r="17921" spans="8:9">
      <c r="H17921" s="1358"/>
      <c r="I17921" s="1358"/>
    </row>
    <row r="17922" spans="8:9">
      <c r="H17922" s="1358"/>
      <c r="I17922" s="1358"/>
    </row>
    <row r="17923" spans="8:9">
      <c r="H17923" s="1358"/>
      <c r="I17923" s="1358"/>
    </row>
    <row r="17924" spans="8:9">
      <c r="H17924" s="1358"/>
      <c r="I17924" s="1358"/>
    </row>
    <row r="17925" spans="8:9">
      <c r="H17925" s="1358"/>
      <c r="I17925" s="1358"/>
    </row>
    <row r="17926" spans="8:9">
      <c r="H17926" s="1358"/>
      <c r="I17926" s="1358"/>
    </row>
    <row r="17927" spans="8:9">
      <c r="H17927" s="1358"/>
      <c r="I17927" s="1358"/>
    </row>
    <row r="17928" spans="8:9">
      <c r="H17928" s="1358"/>
      <c r="I17928" s="1358"/>
    </row>
    <row r="17929" spans="8:9">
      <c r="H17929" s="1358"/>
      <c r="I17929" s="1358"/>
    </row>
    <row r="17930" spans="8:9">
      <c r="H17930" s="1358"/>
      <c r="I17930" s="1358"/>
    </row>
    <row r="17931" spans="8:9">
      <c r="H17931" s="1358"/>
      <c r="I17931" s="1358"/>
    </row>
    <row r="17932" spans="8:9">
      <c r="H17932" s="1358"/>
      <c r="I17932" s="1358"/>
    </row>
    <row r="17933" spans="8:9">
      <c r="H17933" s="1358"/>
      <c r="I17933" s="1358"/>
    </row>
    <row r="17934" spans="8:9">
      <c r="H17934" s="1358"/>
      <c r="I17934" s="1358"/>
    </row>
    <row r="17935" spans="8:9">
      <c r="H17935" s="1358"/>
      <c r="I17935" s="1358"/>
    </row>
    <row r="17936" spans="8:9">
      <c r="H17936" s="1358"/>
      <c r="I17936" s="1358"/>
    </row>
    <row r="17937" spans="8:9">
      <c r="H17937" s="1358"/>
      <c r="I17937" s="1358"/>
    </row>
    <row r="17938" spans="8:9">
      <c r="H17938" s="1358"/>
      <c r="I17938" s="1358"/>
    </row>
    <row r="17939" spans="8:9">
      <c r="H17939" s="1358"/>
      <c r="I17939" s="1358"/>
    </row>
    <row r="17940" spans="8:9">
      <c r="H17940" s="1358"/>
      <c r="I17940" s="1358"/>
    </row>
    <row r="17941" spans="8:9">
      <c r="H17941" s="1358"/>
      <c r="I17941" s="1358"/>
    </row>
    <row r="17942" spans="8:9">
      <c r="H17942" s="1358"/>
      <c r="I17942" s="1358"/>
    </row>
    <row r="17943" spans="8:9">
      <c r="H17943" s="1358"/>
      <c r="I17943" s="1358"/>
    </row>
    <row r="17944" spans="8:9">
      <c r="H17944" s="1358"/>
      <c r="I17944" s="1358"/>
    </row>
    <row r="17945" spans="8:9">
      <c r="H17945" s="1358"/>
      <c r="I17945" s="1358"/>
    </row>
    <row r="17946" spans="8:9">
      <c r="H17946" s="1358"/>
      <c r="I17946" s="1358"/>
    </row>
    <row r="17947" spans="8:9">
      <c r="H17947" s="1358"/>
      <c r="I17947" s="1358"/>
    </row>
    <row r="17948" spans="8:9">
      <c r="H17948" s="1358"/>
      <c r="I17948" s="1358"/>
    </row>
    <row r="17949" spans="8:9">
      <c r="H17949" s="1358"/>
      <c r="I17949" s="1358"/>
    </row>
    <row r="17950" spans="8:9">
      <c r="H17950" s="1358"/>
      <c r="I17950" s="1358"/>
    </row>
    <row r="17951" spans="8:9">
      <c r="H17951" s="1358"/>
      <c r="I17951" s="1358"/>
    </row>
    <row r="17952" spans="8:9">
      <c r="H17952" s="1358"/>
      <c r="I17952" s="1358"/>
    </row>
    <row r="17953" spans="8:9">
      <c r="H17953" s="1358"/>
      <c r="I17953" s="1358"/>
    </row>
    <row r="17954" spans="8:9">
      <c r="H17954" s="1358"/>
      <c r="I17954" s="1358"/>
    </row>
    <row r="17955" spans="8:9">
      <c r="H17955" s="1358"/>
      <c r="I17955" s="1358"/>
    </row>
    <row r="17956" spans="8:9">
      <c r="H17956" s="1358"/>
      <c r="I17956" s="1358"/>
    </row>
    <row r="17957" spans="8:9">
      <c r="H17957" s="1358"/>
      <c r="I17957" s="1358"/>
    </row>
    <row r="17958" spans="8:9">
      <c r="H17958" s="1358"/>
      <c r="I17958" s="1358"/>
    </row>
    <row r="17959" spans="8:9">
      <c r="H17959" s="1358"/>
      <c r="I17959" s="1358"/>
    </row>
    <row r="17960" spans="8:9">
      <c r="H17960" s="1358"/>
      <c r="I17960" s="1358"/>
    </row>
    <row r="17961" spans="8:9">
      <c r="H17961" s="1358"/>
      <c r="I17961" s="1358"/>
    </row>
    <row r="17962" spans="8:9">
      <c r="H17962" s="1358"/>
      <c r="I17962" s="1358"/>
    </row>
    <row r="17963" spans="8:9">
      <c r="H17963" s="1358"/>
      <c r="I17963" s="1358"/>
    </row>
    <row r="17964" spans="8:9">
      <c r="H17964" s="1358"/>
      <c r="I17964" s="1358"/>
    </row>
    <row r="17965" spans="8:9">
      <c r="H17965" s="1358"/>
      <c r="I17965" s="1358"/>
    </row>
    <row r="17966" spans="8:9">
      <c r="H17966" s="1358"/>
      <c r="I17966" s="1358"/>
    </row>
    <row r="17967" spans="8:9">
      <c r="H17967" s="1358"/>
      <c r="I17967" s="1358"/>
    </row>
    <row r="17968" spans="8:9">
      <c r="H17968" s="1358"/>
      <c r="I17968" s="1358"/>
    </row>
    <row r="17969" spans="8:9">
      <c r="H17969" s="1358"/>
      <c r="I17969" s="1358"/>
    </row>
    <row r="17970" spans="8:9">
      <c r="H17970" s="1358"/>
      <c r="I17970" s="1358"/>
    </row>
    <row r="17971" spans="8:9">
      <c r="H17971" s="1358"/>
      <c r="I17971" s="1358"/>
    </row>
    <row r="17972" spans="8:9">
      <c r="H17972" s="1358"/>
      <c r="I17972" s="1358"/>
    </row>
    <row r="17973" spans="8:9">
      <c r="H17973" s="1358"/>
      <c r="I17973" s="1358"/>
    </row>
    <row r="17974" spans="8:9">
      <c r="H17974" s="1358"/>
      <c r="I17974" s="1358"/>
    </row>
    <row r="17975" spans="8:9">
      <c r="H17975" s="1358"/>
      <c r="I17975" s="1358"/>
    </row>
    <row r="17976" spans="8:9">
      <c r="H17976" s="1358"/>
      <c r="I17976" s="1358"/>
    </row>
    <row r="17977" spans="8:9">
      <c r="H17977" s="1358"/>
      <c r="I17977" s="1358"/>
    </row>
    <row r="17978" spans="8:9">
      <c r="H17978" s="1358"/>
      <c r="I17978" s="1358"/>
    </row>
    <row r="17979" spans="8:9">
      <c r="H17979" s="1358"/>
      <c r="I17979" s="1358"/>
    </row>
    <row r="17980" spans="8:9">
      <c r="H17980" s="1358"/>
      <c r="I17980" s="1358"/>
    </row>
    <row r="17981" spans="8:9">
      <c r="H17981" s="1358"/>
      <c r="I17981" s="1358"/>
    </row>
    <row r="17982" spans="8:9">
      <c r="H17982" s="1358"/>
      <c r="I17982" s="1358"/>
    </row>
    <row r="17983" spans="8:9">
      <c r="H17983" s="1358"/>
      <c r="I17983" s="1358"/>
    </row>
    <row r="17984" spans="8:9">
      <c r="H17984" s="1358"/>
      <c r="I17984" s="1358"/>
    </row>
    <row r="17985" spans="8:9">
      <c r="H17985" s="1358"/>
      <c r="I17985" s="1358"/>
    </row>
    <row r="17986" spans="8:9">
      <c r="H17986" s="1358"/>
      <c r="I17986" s="1358"/>
    </row>
    <row r="17987" spans="8:9">
      <c r="H17987" s="1358"/>
      <c r="I17987" s="1358"/>
    </row>
    <row r="17988" spans="8:9">
      <c r="H17988" s="1358"/>
      <c r="I17988" s="1358"/>
    </row>
    <row r="17989" spans="8:9">
      <c r="H17989" s="1358"/>
      <c r="I17989" s="1358"/>
    </row>
    <row r="17990" spans="8:9">
      <c r="H17990" s="1358"/>
      <c r="I17990" s="1358"/>
    </row>
    <row r="17991" spans="8:9">
      <c r="H17991" s="1358"/>
      <c r="I17991" s="1358"/>
    </row>
    <row r="17992" spans="8:9">
      <c r="H17992" s="1358"/>
      <c r="I17992" s="1358"/>
    </row>
    <row r="17993" spans="8:9">
      <c r="H17993" s="1358"/>
      <c r="I17993" s="1358"/>
    </row>
    <row r="17994" spans="8:9">
      <c r="H17994" s="1358"/>
      <c r="I17994" s="1358"/>
    </row>
    <row r="17995" spans="8:9">
      <c r="H17995" s="1358"/>
      <c r="I17995" s="1358"/>
    </row>
    <row r="17996" spans="8:9">
      <c r="H17996" s="1358"/>
      <c r="I17996" s="1358"/>
    </row>
    <row r="17997" spans="8:9">
      <c r="H17997" s="1358"/>
      <c r="I17997" s="1358"/>
    </row>
    <row r="17998" spans="8:9">
      <c r="H17998" s="1358"/>
      <c r="I17998" s="1358"/>
    </row>
    <row r="17999" spans="8:9">
      <c r="H17999" s="1358"/>
      <c r="I17999" s="1358"/>
    </row>
    <row r="18000" spans="8:9">
      <c r="H18000" s="1358"/>
      <c r="I18000" s="1358"/>
    </row>
    <row r="18001" spans="8:9">
      <c r="H18001" s="1358"/>
      <c r="I18001" s="1358"/>
    </row>
    <row r="18002" spans="8:9">
      <c r="H18002" s="1358"/>
      <c r="I18002" s="1358"/>
    </row>
    <row r="18003" spans="8:9">
      <c r="H18003" s="1358"/>
      <c r="I18003" s="1358"/>
    </row>
    <row r="18004" spans="8:9">
      <c r="H18004" s="1358"/>
      <c r="I18004" s="1358"/>
    </row>
    <row r="18005" spans="8:9">
      <c r="H18005" s="1358"/>
      <c r="I18005" s="1358"/>
    </row>
    <row r="18006" spans="8:9">
      <c r="H18006" s="1358"/>
      <c r="I18006" s="1358"/>
    </row>
    <row r="18007" spans="8:9">
      <c r="H18007" s="1358"/>
      <c r="I18007" s="1358"/>
    </row>
    <row r="18008" spans="8:9">
      <c r="H18008" s="1358"/>
      <c r="I18008" s="1358"/>
    </row>
    <row r="18009" spans="8:9">
      <c r="H18009" s="1358"/>
      <c r="I18009" s="1358"/>
    </row>
    <row r="18010" spans="8:9">
      <c r="H18010" s="1358"/>
      <c r="I18010" s="1358"/>
    </row>
    <row r="18011" spans="8:9">
      <c r="H18011" s="1358"/>
      <c r="I18011" s="1358"/>
    </row>
    <row r="18012" spans="8:9">
      <c r="H18012" s="1358"/>
      <c r="I18012" s="1358"/>
    </row>
    <row r="18013" spans="8:9">
      <c r="H18013" s="1358"/>
      <c r="I18013" s="1358"/>
    </row>
    <row r="18014" spans="8:9">
      <c r="H18014" s="1358"/>
      <c r="I18014" s="1358"/>
    </row>
    <row r="18015" spans="8:9">
      <c r="H18015" s="1358"/>
      <c r="I18015" s="1358"/>
    </row>
    <row r="18016" spans="8:9">
      <c r="H18016" s="1358"/>
      <c r="I18016" s="1358"/>
    </row>
    <row r="18017" spans="8:9">
      <c r="H18017" s="1358"/>
      <c r="I18017" s="1358"/>
    </row>
    <row r="18018" spans="8:9">
      <c r="H18018" s="1358"/>
      <c r="I18018" s="1358"/>
    </row>
    <row r="18019" spans="8:9">
      <c r="H18019" s="1358"/>
      <c r="I18019" s="1358"/>
    </row>
    <row r="18020" spans="8:9">
      <c r="H18020" s="1358"/>
      <c r="I18020" s="1358"/>
    </row>
    <row r="18021" spans="8:9">
      <c r="H18021" s="1358"/>
      <c r="I18021" s="1358"/>
    </row>
    <row r="18022" spans="8:9">
      <c r="H18022" s="1358"/>
      <c r="I18022" s="1358"/>
    </row>
    <row r="18023" spans="8:9">
      <c r="H18023" s="1358"/>
      <c r="I18023" s="1358"/>
    </row>
    <row r="18024" spans="8:9">
      <c r="H18024" s="1358"/>
      <c r="I18024" s="1358"/>
    </row>
    <row r="18025" spans="8:9">
      <c r="H18025" s="1358"/>
      <c r="I18025" s="1358"/>
    </row>
    <row r="18026" spans="8:9">
      <c r="H18026" s="1358"/>
      <c r="I18026" s="1358"/>
    </row>
    <row r="18027" spans="8:9">
      <c r="H18027" s="1358"/>
      <c r="I18027" s="1358"/>
    </row>
    <row r="18028" spans="8:9">
      <c r="H18028" s="1358"/>
      <c r="I18028" s="1358"/>
    </row>
    <row r="18029" spans="8:9">
      <c r="H18029" s="1358"/>
      <c r="I18029" s="1358"/>
    </row>
    <row r="18030" spans="8:9">
      <c r="H18030" s="1358"/>
      <c r="I18030" s="1358"/>
    </row>
    <row r="18031" spans="8:9">
      <c r="H18031" s="1358"/>
      <c r="I18031" s="1358"/>
    </row>
    <row r="18032" spans="8:9">
      <c r="H18032" s="1358"/>
      <c r="I18032" s="1358"/>
    </row>
    <row r="18033" spans="8:9">
      <c r="H18033" s="1358"/>
      <c r="I18033" s="1358"/>
    </row>
    <row r="18034" spans="8:9">
      <c r="H18034" s="1358"/>
      <c r="I18034" s="1358"/>
    </row>
    <row r="18035" spans="8:9">
      <c r="H18035" s="1358"/>
      <c r="I18035" s="1358"/>
    </row>
    <row r="18036" spans="8:9">
      <c r="H18036" s="1358"/>
      <c r="I18036" s="1358"/>
    </row>
    <row r="18037" spans="8:9">
      <c r="H18037" s="1358"/>
      <c r="I18037" s="1358"/>
    </row>
    <row r="18038" spans="8:9">
      <c r="H18038" s="1358"/>
      <c r="I18038" s="1358"/>
    </row>
    <row r="18039" spans="8:9">
      <c r="H18039" s="1358"/>
      <c r="I18039" s="1358"/>
    </row>
    <row r="18040" spans="8:9">
      <c r="H18040" s="1358"/>
      <c r="I18040" s="1358"/>
    </row>
    <row r="18041" spans="8:9">
      <c r="H18041" s="1358"/>
      <c r="I18041" s="1358"/>
    </row>
    <row r="18042" spans="8:9">
      <c r="H18042" s="1358"/>
      <c r="I18042" s="1358"/>
    </row>
    <row r="18043" spans="8:9">
      <c r="H18043" s="1358"/>
      <c r="I18043" s="1358"/>
    </row>
    <row r="18044" spans="8:9">
      <c r="H18044" s="1358"/>
      <c r="I18044" s="1358"/>
    </row>
    <row r="18045" spans="8:9">
      <c r="H18045" s="1358"/>
      <c r="I18045" s="1358"/>
    </row>
    <row r="18046" spans="8:9">
      <c r="H18046" s="1358"/>
      <c r="I18046" s="1358"/>
    </row>
    <row r="18047" spans="8:9">
      <c r="H18047" s="1358"/>
      <c r="I18047" s="1358"/>
    </row>
    <row r="18048" spans="8:9">
      <c r="H18048" s="1358"/>
      <c r="I18048" s="1358"/>
    </row>
    <row r="18049" spans="8:9">
      <c r="H18049" s="1358"/>
      <c r="I18049" s="1358"/>
    </row>
    <row r="18050" spans="8:9">
      <c r="H18050" s="1358"/>
      <c r="I18050" s="1358"/>
    </row>
    <row r="18051" spans="8:9">
      <c r="H18051" s="1358"/>
      <c r="I18051" s="1358"/>
    </row>
    <row r="18052" spans="8:9">
      <c r="H18052" s="1358"/>
      <c r="I18052" s="1358"/>
    </row>
    <row r="18053" spans="8:9">
      <c r="H18053" s="1358"/>
      <c r="I18053" s="1358"/>
    </row>
    <row r="18054" spans="8:9">
      <c r="H18054" s="1358"/>
      <c r="I18054" s="1358"/>
    </row>
    <row r="18055" spans="8:9">
      <c r="H18055" s="1358"/>
      <c r="I18055" s="1358"/>
    </row>
    <row r="18056" spans="8:9">
      <c r="H18056" s="1358"/>
      <c r="I18056" s="1358"/>
    </row>
    <row r="18057" spans="8:9">
      <c r="H18057" s="1358"/>
      <c r="I18057" s="1358"/>
    </row>
    <row r="18058" spans="8:9">
      <c r="H18058" s="1358"/>
      <c r="I18058" s="1358"/>
    </row>
    <row r="18059" spans="8:9">
      <c r="H18059" s="1358"/>
      <c r="I18059" s="1358"/>
    </row>
    <row r="18060" spans="8:9">
      <c r="H18060" s="1358"/>
      <c r="I18060" s="1358"/>
    </row>
    <row r="18061" spans="8:9">
      <c r="H18061" s="1358"/>
      <c r="I18061" s="1358"/>
    </row>
    <row r="18062" spans="8:9">
      <c r="H18062" s="1358"/>
      <c r="I18062" s="1358"/>
    </row>
    <row r="18063" spans="8:9">
      <c r="H18063" s="1358"/>
      <c r="I18063" s="1358"/>
    </row>
    <row r="18064" spans="8:9">
      <c r="H18064" s="1358"/>
      <c r="I18064" s="1358"/>
    </row>
    <row r="18065" spans="8:9">
      <c r="H18065" s="1358"/>
      <c r="I18065" s="1358"/>
    </row>
    <row r="18066" spans="8:9">
      <c r="H18066" s="1358"/>
      <c r="I18066" s="1358"/>
    </row>
    <row r="18067" spans="8:9">
      <c r="H18067" s="1358"/>
      <c r="I18067" s="1358"/>
    </row>
    <row r="18068" spans="8:9">
      <c r="H18068" s="1358"/>
      <c r="I18068" s="1358"/>
    </row>
    <row r="18069" spans="8:9">
      <c r="H18069" s="1358"/>
      <c r="I18069" s="1358"/>
    </row>
    <row r="18070" spans="8:9">
      <c r="H18070" s="1358"/>
      <c r="I18070" s="1358"/>
    </row>
    <row r="18071" spans="8:9">
      <c r="H18071" s="1358"/>
      <c r="I18071" s="1358"/>
    </row>
    <row r="18072" spans="8:9">
      <c r="H18072" s="1358"/>
      <c r="I18072" s="1358"/>
    </row>
    <row r="18073" spans="8:9">
      <c r="H18073" s="1358"/>
      <c r="I18073" s="1358"/>
    </row>
    <row r="18074" spans="8:9">
      <c r="H18074" s="1358"/>
      <c r="I18074" s="1358"/>
    </row>
    <row r="18075" spans="8:9">
      <c r="H18075" s="1358"/>
      <c r="I18075" s="1358"/>
    </row>
    <row r="18076" spans="8:9">
      <c r="H18076" s="1358"/>
      <c r="I18076" s="1358"/>
    </row>
    <row r="18077" spans="8:9">
      <c r="H18077" s="1358"/>
      <c r="I18077" s="1358"/>
    </row>
    <row r="18078" spans="8:9">
      <c r="H18078" s="1358"/>
      <c r="I18078" s="1358"/>
    </row>
    <row r="18079" spans="8:9">
      <c r="H18079" s="1358"/>
      <c r="I18079" s="1358"/>
    </row>
    <row r="18080" spans="8:9">
      <c r="H18080" s="1358"/>
      <c r="I18080" s="1358"/>
    </row>
    <row r="18081" spans="8:9">
      <c r="H18081" s="1358"/>
      <c r="I18081" s="1358"/>
    </row>
    <row r="18082" spans="8:9">
      <c r="H18082" s="1358"/>
      <c r="I18082" s="1358"/>
    </row>
    <row r="18083" spans="8:9">
      <c r="H18083" s="1358"/>
      <c r="I18083" s="1358"/>
    </row>
    <row r="18084" spans="8:9">
      <c r="H18084" s="1358"/>
      <c r="I18084" s="1358"/>
    </row>
    <row r="18085" spans="8:9">
      <c r="H18085" s="1358"/>
      <c r="I18085" s="1358"/>
    </row>
    <row r="18086" spans="8:9">
      <c r="H18086" s="1358"/>
      <c r="I18086" s="1358"/>
    </row>
    <row r="18087" spans="8:9">
      <c r="H18087" s="1358"/>
      <c r="I18087" s="1358"/>
    </row>
    <row r="18088" spans="8:9">
      <c r="H18088" s="1358"/>
      <c r="I18088" s="1358"/>
    </row>
    <row r="18089" spans="8:9">
      <c r="H18089" s="1358"/>
      <c r="I18089" s="1358"/>
    </row>
    <row r="18090" spans="8:9">
      <c r="H18090" s="1358"/>
      <c r="I18090" s="1358"/>
    </row>
    <row r="18091" spans="8:9">
      <c r="H18091" s="1358"/>
      <c r="I18091" s="1358"/>
    </row>
    <row r="18092" spans="8:9">
      <c r="H18092" s="1358"/>
      <c r="I18092" s="1358"/>
    </row>
    <row r="18093" spans="8:9">
      <c r="H18093" s="1358"/>
      <c r="I18093" s="1358"/>
    </row>
    <row r="18094" spans="8:9">
      <c r="H18094" s="1358"/>
      <c r="I18094" s="1358"/>
    </row>
    <row r="18095" spans="8:9">
      <c r="H18095" s="1358"/>
      <c r="I18095" s="1358"/>
    </row>
    <row r="18096" spans="8:9">
      <c r="H18096" s="1358"/>
      <c r="I18096" s="1358"/>
    </row>
    <row r="18097" spans="8:9">
      <c r="H18097" s="1358"/>
      <c r="I18097" s="1358"/>
    </row>
    <row r="18098" spans="8:9">
      <c r="H18098" s="1358"/>
      <c r="I18098" s="1358"/>
    </row>
    <row r="18099" spans="8:9">
      <c r="H18099" s="1358"/>
      <c r="I18099" s="1358"/>
    </row>
    <row r="18100" spans="8:9">
      <c r="H18100" s="1358"/>
      <c r="I18100" s="1358"/>
    </row>
    <row r="18101" spans="8:9">
      <c r="H18101" s="1358"/>
      <c r="I18101" s="1358"/>
    </row>
    <row r="18102" spans="8:9">
      <c r="H18102" s="1358"/>
      <c r="I18102" s="1358"/>
    </row>
    <row r="18103" spans="8:9">
      <c r="H18103" s="1358"/>
      <c r="I18103" s="1358"/>
    </row>
    <row r="18104" spans="8:9">
      <c r="H18104" s="1358"/>
      <c r="I18104" s="1358"/>
    </row>
    <row r="18105" spans="8:9">
      <c r="H18105" s="1358"/>
      <c r="I18105" s="1358"/>
    </row>
    <row r="18106" spans="8:9">
      <c r="H18106" s="1358"/>
      <c r="I18106" s="1358"/>
    </row>
    <row r="18107" spans="8:9">
      <c r="H18107" s="1358"/>
      <c r="I18107" s="1358"/>
    </row>
    <row r="18108" spans="8:9">
      <c r="H18108" s="1358"/>
      <c r="I18108" s="1358"/>
    </row>
    <row r="18109" spans="8:9">
      <c r="H18109" s="1358"/>
      <c r="I18109" s="1358"/>
    </row>
    <row r="18110" spans="8:9">
      <c r="H18110" s="1358"/>
      <c r="I18110" s="1358"/>
    </row>
    <row r="18111" spans="8:9">
      <c r="H18111" s="1358"/>
      <c r="I18111" s="1358"/>
    </row>
    <row r="18112" spans="8:9">
      <c r="H18112" s="1358"/>
      <c r="I18112" s="1358"/>
    </row>
    <row r="18113" spans="8:9">
      <c r="H18113" s="1358"/>
      <c r="I18113" s="1358"/>
    </row>
    <row r="18114" spans="8:9">
      <c r="H18114" s="1358"/>
      <c r="I18114" s="1358"/>
    </row>
    <row r="18115" spans="8:9">
      <c r="H18115" s="1358"/>
      <c r="I18115" s="1358"/>
    </row>
    <row r="18116" spans="8:9">
      <c r="H18116" s="1358"/>
      <c r="I18116" s="1358"/>
    </row>
    <row r="18117" spans="8:9">
      <c r="H18117" s="1358"/>
      <c r="I18117" s="1358"/>
    </row>
    <row r="18118" spans="8:9">
      <c r="H18118" s="1358"/>
      <c r="I18118" s="1358"/>
    </row>
    <row r="18119" spans="8:9">
      <c r="H18119" s="1358"/>
      <c r="I18119" s="1358"/>
    </row>
    <row r="18120" spans="8:9">
      <c r="H18120" s="1358"/>
      <c r="I18120" s="1358"/>
    </row>
    <row r="18121" spans="8:9">
      <c r="H18121" s="1358"/>
      <c r="I18121" s="1358"/>
    </row>
    <row r="18122" spans="8:9">
      <c r="H18122" s="1358"/>
      <c r="I18122" s="1358"/>
    </row>
    <row r="18123" spans="8:9">
      <c r="H18123" s="1358"/>
      <c r="I18123" s="1358"/>
    </row>
    <row r="18124" spans="8:9">
      <c r="H18124" s="1358"/>
      <c r="I18124" s="1358"/>
    </row>
    <row r="18125" spans="8:9">
      <c r="H18125" s="1358"/>
      <c r="I18125" s="1358"/>
    </row>
    <row r="18126" spans="8:9">
      <c r="H18126" s="1358"/>
      <c r="I18126" s="1358"/>
    </row>
    <row r="18127" spans="8:9">
      <c r="H18127" s="1358"/>
      <c r="I18127" s="1358"/>
    </row>
    <row r="18128" spans="8:9">
      <c r="H18128" s="1358"/>
      <c r="I18128" s="1358"/>
    </row>
    <row r="18129" spans="8:9">
      <c r="H18129" s="1358"/>
      <c r="I18129" s="1358"/>
    </row>
    <row r="18130" spans="8:9">
      <c r="H18130" s="1358"/>
      <c r="I18130" s="1358"/>
    </row>
    <row r="18131" spans="8:9">
      <c r="H18131" s="1358"/>
      <c r="I18131" s="1358"/>
    </row>
    <row r="18132" spans="8:9">
      <c r="H18132" s="1358"/>
      <c r="I18132" s="1358"/>
    </row>
    <row r="18133" spans="8:9">
      <c r="H18133" s="1358"/>
      <c r="I18133" s="1358"/>
    </row>
    <row r="18134" spans="8:9">
      <c r="H18134" s="1358"/>
      <c r="I18134" s="1358"/>
    </row>
    <row r="18135" spans="8:9">
      <c r="H18135" s="1358"/>
      <c r="I18135" s="1358"/>
    </row>
    <row r="18136" spans="8:9">
      <c r="H18136" s="1358"/>
      <c r="I18136" s="1358"/>
    </row>
    <row r="18137" spans="8:9">
      <c r="H18137" s="1358"/>
      <c r="I18137" s="1358"/>
    </row>
    <row r="18138" spans="8:9">
      <c r="H18138" s="1358"/>
      <c r="I18138" s="1358"/>
    </row>
    <row r="18139" spans="8:9">
      <c r="H18139" s="1358"/>
      <c r="I18139" s="1358"/>
    </row>
    <row r="18140" spans="8:9">
      <c r="H18140" s="1358"/>
      <c r="I18140" s="1358"/>
    </row>
    <row r="18141" spans="8:9">
      <c r="H18141" s="1358"/>
      <c r="I18141" s="1358"/>
    </row>
    <row r="18142" spans="8:9">
      <c r="H18142" s="1358"/>
      <c r="I18142" s="1358"/>
    </row>
    <row r="18143" spans="8:9">
      <c r="H18143" s="1358"/>
      <c r="I18143" s="1358"/>
    </row>
    <row r="18144" spans="8:9">
      <c r="H18144" s="1358"/>
      <c r="I18144" s="1358"/>
    </row>
    <row r="18145" spans="8:9">
      <c r="H18145" s="1358"/>
      <c r="I18145" s="1358"/>
    </row>
    <row r="18146" spans="8:9">
      <c r="H18146" s="1358"/>
      <c r="I18146" s="1358"/>
    </row>
    <row r="18147" spans="8:9">
      <c r="H18147" s="1358"/>
      <c r="I18147" s="1358"/>
    </row>
    <row r="18148" spans="8:9">
      <c r="H18148" s="1358"/>
      <c r="I18148" s="1358"/>
    </row>
    <row r="18149" spans="8:9">
      <c r="H18149" s="1358"/>
      <c r="I18149" s="1358"/>
    </row>
    <row r="18150" spans="8:9">
      <c r="H18150" s="1358"/>
      <c r="I18150" s="1358"/>
    </row>
    <row r="18151" spans="8:9">
      <c r="H18151" s="1358"/>
      <c r="I18151" s="1358"/>
    </row>
    <row r="18152" spans="8:9">
      <c r="H18152" s="1358"/>
      <c r="I18152" s="1358"/>
    </row>
    <row r="18153" spans="8:9">
      <c r="H18153" s="1358"/>
      <c r="I18153" s="1358"/>
    </row>
    <row r="18154" spans="8:9">
      <c r="H18154" s="1358"/>
      <c r="I18154" s="1358"/>
    </row>
    <row r="18155" spans="8:9">
      <c r="H18155" s="1358"/>
      <c r="I18155" s="1358"/>
    </row>
    <row r="18156" spans="8:9">
      <c r="H18156" s="1358"/>
      <c r="I18156" s="1358"/>
    </row>
    <row r="18157" spans="8:9">
      <c r="H18157" s="1358"/>
      <c r="I18157" s="1358"/>
    </row>
    <row r="18158" spans="8:9">
      <c r="H18158" s="1358"/>
      <c r="I18158" s="1358"/>
    </row>
    <row r="18159" spans="8:9">
      <c r="H18159" s="1358"/>
      <c r="I18159" s="1358"/>
    </row>
    <row r="18160" spans="8:9">
      <c r="H18160" s="1358"/>
      <c r="I18160" s="1358"/>
    </row>
    <row r="18161" spans="8:9">
      <c r="H18161" s="1358"/>
      <c r="I18161" s="1358"/>
    </row>
    <row r="18162" spans="8:9">
      <c r="H18162" s="1358"/>
      <c r="I18162" s="1358"/>
    </row>
    <row r="18163" spans="8:9">
      <c r="H18163" s="1358"/>
      <c r="I18163" s="1358"/>
    </row>
    <row r="18164" spans="8:9">
      <c r="H18164" s="1358"/>
      <c r="I18164" s="1358"/>
    </row>
    <row r="18165" spans="8:9">
      <c r="H18165" s="1358"/>
      <c r="I18165" s="1358"/>
    </row>
    <row r="18166" spans="8:9">
      <c r="H18166" s="1358"/>
      <c r="I18166" s="1358"/>
    </row>
    <row r="18167" spans="8:9">
      <c r="H18167" s="1358"/>
      <c r="I18167" s="1358"/>
    </row>
    <row r="18168" spans="8:9">
      <c r="H18168" s="1358"/>
      <c r="I18168" s="1358"/>
    </row>
    <row r="18169" spans="8:9">
      <c r="H18169" s="1358"/>
      <c r="I18169" s="1358"/>
    </row>
    <row r="18170" spans="8:9">
      <c r="H18170" s="1358"/>
      <c r="I18170" s="1358"/>
    </row>
    <row r="18171" spans="8:9">
      <c r="H18171" s="1358"/>
      <c r="I18171" s="1358"/>
    </row>
    <row r="18172" spans="8:9">
      <c r="H18172" s="1358"/>
      <c r="I18172" s="1358"/>
    </row>
    <row r="18173" spans="8:9">
      <c r="H18173" s="1358"/>
      <c r="I18173" s="1358"/>
    </row>
    <row r="18174" spans="8:9">
      <c r="H18174" s="1358"/>
      <c r="I18174" s="1358"/>
    </row>
    <row r="18175" spans="8:9">
      <c r="H18175" s="1358"/>
      <c r="I18175" s="1358"/>
    </row>
    <row r="18176" spans="8:9">
      <c r="H18176" s="1358"/>
      <c r="I18176" s="1358"/>
    </row>
    <row r="18177" spans="8:9">
      <c r="H18177" s="1358"/>
      <c r="I18177" s="1358"/>
    </row>
    <row r="18178" spans="8:9">
      <c r="H18178" s="1358"/>
      <c r="I18178" s="1358"/>
    </row>
    <row r="18179" spans="8:9">
      <c r="H18179" s="1358"/>
      <c r="I18179" s="1358"/>
    </row>
    <row r="18180" spans="8:9">
      <c r="H18180" s="1358"/>
      <c r="I18180" s="1358"/>
    </row>
    <row r="18181" spans="8:9">
      <c r="H18181" s="1358"/>
      <c r="I18181" s="1358"/>
    </row>
    <row r="18182" spans="8:9">
      <c r="H18182" s="1358"/>
      <c r="I18182" s="1358"/>
    </row>
    <row r="18183" spans="8:9">
      <c r="H18183" s="1358"/>
      <c r="I18183" s="1358"/>
    </row>
    <row r="18184" spans="8:9">
      <c r="H18184" s="1358"/>
      <c r="I18184" s="1358"/>
    </row>
    <row r="18185" spans="8:9">
      <c r="H18185" s="1358"/>
      <c r="I18185" s="1358"/>
    </row>
    <row r="18186" spans="8:9">
      <c r="H18186" s="1358"/>
      <c r="I18186" s="1358"/>
    </row>
    <row r="18187" spans="8:9">
      <c r="H18187" s="1358"/>
      <c r="I18187" s="1358"/>
    </row>
    <row r="18188" spans="8:9">
      <c r="H18188" s="1358"/>
      <c r="I18188" s="1358"/>
    </row>
    <row r="18189" spans="8:9">
      <c r="H18189" s="1358"/>
      <c r="I18189" s="1358"/>
    </row>
    <row r="18190" spans="8:9">
      <c r="H18190" s="1358"/>
      <c r="I18190" s="1358"/>
    </row>
    <row r="18191" spans="8:9">
      <c r="H18191" s="1358"/>
      <c r="I18191" s="1358"/>
    </row>
    <row r="18192" spans="8:9">
      <c r="H18192" s="1358"/>
      <c r="I18192" s="1358"/>
    </row>
    <row r="18193" spans="8:9">
      <c r="H18193" s="1358"/>
      <c r="I18193" s="1358"/>
    </row>
    <row r="18194" spans="8:9">
      <c r="H18194" s="1358"/>
      <c r="I18194" s="1358"/>
    </row>
    <row r="18195" spans="8:9">
      <c r="H18195" s="1358"/>
      <c r="I18195" s="1358"/>
    </row>
    <row r="18196" spans="8:9">
      <c r="H18196" s="1358"/>
      <c r="I18196" s="1358"/>
    </row>
    <row r="18197" spans="8:9">
      <c r="H18197" s="1358"/>
      <c r="I18197" s="1358"/>
    </row>
    <row r="18198" spans="8:9">
      <c r="H18198" s="1358"/>
      <c r="I18198" s="1358"/>
    </row>
    <row r="18199" spans="8:9">
      <c r="H18199" s="1358"/>
      <c r="I18199" s="1358"/>
    </row>
    <row r="18200" spans="8:9">
      <c r="H18200" s="1358"/>
      <c r="I18200" s="1358"/>
    </row>
    <row r="18201" spans="8:9">
      <c r="H18201" s="1358"/>
      <c r="I18201" s="1358"/>
    </row>
    <row r="18202" spans="8:9">
      <c r="H18202" s="1358"/>
      <c r="I18202" s="1358"/>
    </row>
    <row r="18203" spans="8:9">
      <c r="H18203" s="1358"/>
      <c r="I18203" s="1358"/>
    </row>
    <row r="18204" spans="8:9">
      <c r="H18204" s="1358"/>
      <c r="I18204" s="1358"/>
    </row>
    <row r="18205" spans="8:9">
      <c r="H18205" s="1358"/>
      <c r="I18205" s="1358"/>
    </row>
    <row r="18206" spans="8:9">
      <c r="H18206" s="1358"/>
      <c r="I18206" s="1358"/>
    </row>
    <row r="18207" spans="8:9">
      <c r="H18207" s="1358"/>
      <c r="I18207" s="1358"/>
    </row>
    <row r="18208" spans="8:9">
      <c r="H18208" s="1358"/>
      <c r="I18208" s="1358"/>
    </row>
    <row r="18209" spans="8:9">
      <c r="H18209" s="1358"/>
      <c r="I18209" s="1358"/>
    </row>
    <row r="18210" spans="8:9">
      <c r="H18210" s="1358"/>
      <c r="I18210" s="1358"/>
    </row>
    <row r="18211" spans="8:9">
      <c r="H18211" s="1358"/>
      <c r="I18211" s="1358"/>
    </row>
    <row r="18212" spans="8:9">
      <c r="H18212" s="1358"/>
      <c r="I18212" s="1358"/>
    </row>
    <row r="18213" spans="8:9">
      <c r="H18213" s="1358"/>
      <c r="I18213" s="1358"/>
    </row>
    <row r="18214" spans="8:9">
      <c r="H18214" s="1358"/>
      <c r="I18214" s="1358"/>
    </row>
    <row r="18215" spans="8:9">
      <c r="H18215" s="1358"/>
      <c r="I18215" s="1358"/>
    </row>
    <row r="18216" spans="8:9">
      <c r="H18216" s="1358"/>
      <c r="I18216" s="1358"/>
    </row>
    <row r="18217" spans="8:9">
      <c r="H18217" s="1358"/>
      <c r="I18217" s="1358"/>
    </row>
    <row r="18218" spans="8:9">
      <c r="H18218" s="1358"/>
      <c r="I18218" s="1358"/>
    </row>
    <row r="18219" spans="8:9">
      <c r="H18219" s="1358"/>
      <c r="I18219" s="1358"/>
    </row>
    <row r="18220" spans="8:9">
      <c r="H18220" s="1358"/>
      <c r="I18220" s="1358"/>
    </row>
    <row r="18221" spans="8:9">
      <c r="H18221" s="1358"/>
      <c r="I18221" s="1358"/>
    </row>
    <row r="18222" spans="8:9">
      <c r="H18222" s="1358"/>
      <c r="I18222" s="1358"/>
    </row>
    <row r="18223" spans="8:9">
      <c r="H18223" s="1358"/>
      <c r="I18223" s="1358"/>
    </row>
    <row r="18224" spans="8:9">
      <c r="H18224" s="1358"/>
      <c r="I18224" s="1358"/>
    </row>
    <row r="18225" spans="8:9">
      <c r="H18225" s="1358"/>
      <c r="I18225" s="1358"/>
    </row>
    <row r="18226" spans="8:9">
      <c r="H18226" s="1358"/>
      <c r="I18226" s="1358"/>
    </row>
    <row r="18227" spans="8:9">
      <c r="H18227" s="1358"/>
      <c r="I18227" s="1358"/>
    </row>
    <row r="18228" spans="8:9">
      <c r="H18228" s="1358"/>
      <c r="I18228" s="1358"/>
    </row>
    <row r="18229" spans="8:9">
      <c r="H18229" s="1358"/>
      <c r="I18229" s="1358"/>
    </row>
    <row r="18230" spans="8:9">
      <c r="H18230" s="1358"/>
      <c r="I18230" s="1358"/>
    </row>
    <row r="18231" spans="8:9">
      <c r="H18231" s="1358"/>
      <c r="I18231" s="1358"/>
    </row>
    <row r="18232" spans="8:9">
      <c r="H18232" s="1358"/>
      <c r="I18232" s="1358"/>
    </row>
    <row r="18233" spans="8:9">
      <c r="H18233" s="1358"/>
      <c r="I18233" s="1358"/>
    </row>
    <row r="18234" spans="8:9">
      <c r="H18234" s="1358"/>
      <c r="I18234" s="1358"/>
    </row>
    <row r="18235" spans="8:9">
      <c r="H18235" s="1358"/>
      <c r="I18235" s="1358"/>
    </row>
    <row r="18236" spans="8:9">
      <c r="H18236" s="1358"/>
      <c r="I18236" s="1358"/>
    </row>
    <row r="18237" spans="8:9">
      <c r="H18237" s="1358"/>
      <c r="I18237" s="1358"/>
    </row>
    <row r="18238" spans="8:9">
      <c r="H18238" s="1358"/>
      <c r="I18238" s="1358"/>
    </row>
    <row r="18239" spans="8:9">
      <c r="H18239" s="1358"/>
      <c r="I18239" s="1358"/>
    </row>
    <row r="18240" spans="8:9">
      <c r="H18240" s="1358"/>
      <c r="I18240" s="1358"/>
    </row>
    <row r="18241" spans="8:9">
      <c r="H18241" s="1358"/>
      <c r="I18241" s="1358"/>
    </row>
    <row r="18242" spans="8:9">
      <c r="H18242" s="1358"/>
      <c r="I18242" s="1358"/>
    </row>
    <row r="18243" spans="8:9">
      <c r="H18243" s="1358"/>
      <c r="I18243" s="1358"/>
    </row>
    <row r="18244" spans="8:9">
      <c r="H18244" s="1358"/>
      <c r="I18244" s="1358"/>
    </row>
    <row r="18245" spans="8:9">
      <c r="H18245" s="1358"/>
      <c r="I18245" s="1358"/>
    </row>
    <row r="18246" spans="8:9">
      <c r="H18246" s="1358"/>
      <c r="I18246" s="1358"/>
    </row>
    <row r="18247" spans="8:9">
      <c r="H18247" s="1358"/>
      <c r="I18247" s="1358"/>
    </row>
    <row r="18248" spans="8:9">
      <c r="H18248" s="1358"/>
      <c r="I18248" s="1358"/>
    </row>
    <row r="18249" spans="8:9">
      <c r="H18249" s="1358"/>
      <c r="I18249" s="1358"/>
    </row>
    <row r="18250" spans="8:9">
      <c r="H18250" s="1358"/>
      <c r="I18250" s="1358"/>
    </row>
    <row r="18251" spans="8:9">
      <c r="H18251" s="1358"/>
      <c r="I18251" s="1358"/>
    </row>
    <row r="18252" spans="8:9">
      <c r="H18252" s="1358"/>
      <c r="I18252" s="1358"/>
    </row>
    <row r="18253" spans="8:9">
      <c r="H18253" s="1358"/>
      <c r="I18253" s="1358"/>
    </row>
    <row r="18254" spans="8:9">
      <c r="H18254" s="1358"/>
      <c r="I18254" s="1358"/>
    </row>
    <row r="18255" spans="8:9">
      <c r="H18255" s="1358"/>
      <c r="I18255" s="1358"/>
    </row>
    <row r="18256" spans="8:9">
      <c r="H18256" s="1358"/>
      <c r="I18256" s="1358"/>
    </row>
    <row r="18257" spans="8:9">
      <c r="H18257" s="1358"/>
      <c r="I18257" s="1358"/>
    </row>
    <row r="18258" spans="8:9">
      <c r="H18258" s="1358"/>
      <c r="I18258" s="1358"/>
    </row>
    <row r="18259" spans="8:9">
      <c r="H18259" s="1358"/>
      <c r="I18259" s="1358"/>
    </row>
    <row r="18260" spans="8:9">
      <c r="H18260" s="1358"/>
      <c r="I18260" s="1358"/>
    </row>
    <row r="18261" spans="8:9">
      <c r="H18261" s="1358"/>
      <c r="I18261" s="1358"/>
    </row>
    <row r="18262" spans="8:9">
      <c r="H18262" s="1358"/>
      <c r="I18262" s="1358"/>
    </row>
    <row r="18263" spans="8:9">
      <c r="H18263" s="1358"/>
      <c r="I18263" s="1358"/>
    </row>
    <row r="18264" spans="8:9">
      <c r="H18264" s="1358"/>
      <c r="I18264" s="1358"/>
    </row>
    <row r="18265" spans="8:9">
      <c r="H18265" s="1358"/>
      <c r="I18265" s="1358"/>
    </row>
    <row r="18266" spans="8:9">
      <c r="H18266" s="1358"/>
      <c r="I18266" s="1358"/>
    </row>
    <row r="18267" spans="8:9">
      <c r="H18267" s="1358"/>
      <c r="I18267" s="1358"/>
    </row>
    <row r="18268" spans="8:9">
      <c r="H18268" s="1358"/>
      <c r="I18268" s="1358"/>
    </row>
    <row r="18269" spans="8:9">
      <c r="H18269" s="1358"/>
      <c r="I18269" s="1358"/>
    </row>
    <row r="18270" spans="8:9">
      <c r="H18270" s="1358"/>
      <c r="I18270" s="1358"/>
    </row>
    <row r="18271" spans="8:9">
      <c r="H18271" s="1358"/>
      <c r="I18271" s="1358"/>
    </row>
    <row r="18272" spans="8:9">
      <c r="H18272" s="1358"/>
      <c r="I18272" s="1358"/>
    </row>
    <row r="18273" spans="8:9">
      <c r="H18273" s="1358"/>
      <c r="I18273" s="1358"/>
    </row>
    <row r="18274" spans="8:9">
      <c r="H18274" s="1358"/>
      <c r="I18274" s="1358"/>
    </row>
    <row r="18275" spans="8:9">
      <c r="H18275" s="1358"/>
      <c r="I18275" s="1358"/>
    </row>
    <row r="18276" spans="8:9">
      <c r="H18276" s="1358"/>
      <c r="I18276" s="1358"/>
    </row>
    <row r="18277" spans="8:9">
      <c r="H18277" s="1358"/>
      <c r="I18277" s="1358"/>
    </row>
    <row r="18278" spans="8:9">
      <c r="H18278" s="1358"/>
      <c r="I18278" s="1358"/>
    </row>
    <row r="18279" spans="8:9">
      <c r="H18279" s="1358"/>
      <c r="I18279" s="1358"/>
    </row>
    <row r="18280" spans="8:9">
      <c r="H18280" s="1358"/>
      <c r="I18280" s="1358"/>
    </row>
    <row r="18281" spans="8:9">
      <c r="H18281" s="1358"/>
      <c r="I18281" s="1358"/>
    </row>
    <row r="18282" spans="8:9">
      <c r="H18282" s="1358"/>
      <c r="I18282" s="1358"/>
    </row>
    <row r="18283" spans="8:9">
      <c r="H18283" s="1358"/>
      <c r="I18283" s="1358"/>
    </row>
    <row r="18284" spans="8:9">
      <c r="H18284" s="1358"/>
      <c r="I18284" s="1358"/>
    </row>
    <row r="18285" spans="8:9">
      <c r="H18285" s="1358"/>
      <c r="I18285" s="1358"/>
    </row>
    <row r="18286" spans="8:9">
      <c r="H18286" s="1358"/>
      <c r="I18286" s="1358"/>
    </row>
    <row r="18287" spans="8:9">
      <c r="H18287" s="1358"/>
      <c r="I18287" s="1358"/>
    </row>
    <row r="18288" spans="8:9">
      <c r="H18288" s="1358"/>
      <c r="I18288" s="1358"/>
    </row>
    <row r="18289" spans="8:9">
      <c r="H18289" s="1358"/>
      <c r="I18289" s="1358"/>
    </row>
    <row r="18290" spans="8:9">
      <c r="H18290" s="1358"/>
      <c r="I18290" s="1358"/>
    </row>
    <row r="18291" spans="8:9">
      <c r="H18291" s="1358"/>
      <c r="I18291" s="1358"/>
    </row>
    <row r="18292" spans="8:9">
      <c r="H18292" s="1358"/>
      <c r="I18292" s="1358"/>
    </row>
    <row r="18293" spans="8:9">
      <c r="H18293" s="1358"/>
      <c r="I18293" s="1358"/>
    </row>
    <row r="18294" spans="8:9">
      <c r="H18294" s="1358"/>
      <c r="I18294" s="1358"/>
    </row>
    <row r="18295" spans="8:9">
      <c r="H18295" s="1358"/>
      <c r="I18295" s="1358"/>
    </row>
    <row r="18296" spans="8:9">
      <c r="H18296" s="1358"/>
      <c r="I18296" s="1358"/>
    </row>
    <row r="18297" spans="8:9">
      <c r="H18297" s="1358"/>
      <c r="I18297" s="1358"/>
    </row>
    <row r="18298" spans="8:9">
      <c r="H18298" s="1358"/>
      <c r="I18298" s="1358"/>
    </row>
    <row r="18299" spans="8:9">
      <c r="H18299" s="1358"/>
      <c r="I18299" s="1358"/>
    </row>
    <row r="18300" spans="8:9">
      <c r="H18300" s="1358"/>
      <c r="I18300" s="1358"/>
    </row>
    <row r="18301" spans="8:9">
      <c r="H18301" s="1358"/>
      <c r="I18301" s="1358"/>
    </row>
    <row r="18302" spans="8:9">
      <c r="H18302" s="1358"/>
      <c r="I18302" s="1358"/>
    </row>
    <row r="18303" spans="8:9">
      <c r="H18303" s="1358"/>
      <c r="I18303" s="1358"/>
    </row>
    <row r="18304" spans="8:9">
      <c r="H18304" s="1358"/>
      <c r="I18304" s="1358"/>
    </row>
    <row r="18305" spans="8:9">
      <c r="H18305" s="1358"/>
      <c r="I18305" s="1358"/>
    </row>
    <row r="18306" spans="8:9">
      <c r="H18306" s="1358"/>
      <c r="I18306" s="1358"/>
    </row>
    <row r="18307" spans="8:9">
      <c r="H18307" s="1358"/>
      <c r="I18307" s="1358"/>
    </row>
    <row r="18308" spans="8:9">
      <c r="H18308" s="1358"/>
      <c r="I18308" s="1358"/>
    </row>
    <row r="18309" spans="8:9">
      <c r="H18309" s="1358"/>
      <c r="I18309" s="1358"/>
    </row>
    <row r="18310" spans="8:9">
      <c r="H18310" s="1358"/>
      <c r="I18310" s="1358"/>
    </row>
    <row r="18311" spans="8:9">
      <c r="H18311" s="1358"/>
      <c r="I18311" s="1358"/>
    </row>
    <row r="18312" spans="8:9">
      <c r="H18312" s="1358"/>
      <c r="I18312" s="1358"/>
    </row>
    <row r="18313" spans="8:9">
      <c r="H18313" s="1358"/>
      <c r="I18313" s="1358"/>
    </row>
    <row r="18314" spans="8:9">
      <c r="H18314" s="1358"/>
      <c r="I18314" s="1358"/>
    </row>
    <row r="18315" spans="8:9">
      <c r="H18315" s="1358"/>
      <c r="I18315" s="1358"/>
    </row>
    <row r="18316" spans="8:9">
      <c r="H18316" s="1358"/>
      <c r="I18316" s="1358"/>
    </row>
    <row r="18317" spans="8:9">
      <c r="H18317" s="1358"/>
      <c r="I18317" s="1358"/>
    </row>
    <row r="18318" spans="8:9">
      <c r="H18318" s="1358"/>
      <c r="I18318" s="1358"/>
    </row>
    <row r="18319" spans="8:9">
      <c r="H18319" s="1358"/>
      <c r="I18319" s="1358"/>
    </row>
    <row r="18320" spans="8:9">
      <c r="H18320" s="1358"/>
      <c r="I18320" s="1358"/>
    </row>
    <row r="18321" spans="8:9">
      <c r="H18321" s="1358"/>
      <c r="I18321" s="1358"/>
    </row>
    <row r="18322" spans="8:9">
      <c r="H18322" s="1358"/>
      <c r="I18322" s="1358"/>
    </row>
    <row r="18323" spans="8:9">
      <c r="H18323" s="1358"/>
      <c r="I18323" s="1358"/>
    </row>
    <row r="18324" spans="8:9">
      <c r="H18324" s="1358"/>
      <c r="I18324" s="1358"/>
    </row>
    <row r="18325" spans="8:9">
      <c r="H18325" s="1358"/>
      <c r="I18325" s="1358"/>
    </row>
    <row r="18326" spans="8:9">
      <c r="H18326" s="1358"/>
      <c r="I18326" s="1358"/>
    </row>
    <row r="18327" spans="8:9">
      <c r="H18327" s="1358"/>
      <c r="I18327" s="1358"/>
    </row>
    <row r="18328" spans="8:9">
      <c r="H18328" s="1358"/>
      <c r="I18328" s="1358"/>
    </row>
    <row r="18329" spans="8:9">
      <c r="H18329" s="1358"/>
      <c r="I18329" s="1358"/>
    </row>
    <row r="18330" spans="8:9">
      <c r="H18330" s="1358"/>
      <c r="I18330" s="1358"/>
    </row>
    <row r="18331" spans="8:9">
      <c r="H18331" s="1358"/>
      <c r="I18331" s="1358"/>
    </row>
    <row r="18332" spans="8:9">
      <c r="H18332" s="1358"/>
      <c r="I18332" s="1358"/>
    </row>
    <row r="18333" spans="8:9">
      <c r="H18333" s="1358"/>
      <c r="I18333" s="1358"/>
    </row>
    <row r="18334" spans="8:9">
      <c r="H18334" s="1358"/>
      <c r="I18334" s="1358"/>
    </row>
    <row r="18335" spans="8:9">
      <c r="H18335" s="1358"/>
      <c r="I18335" s="1358"/>
    </row>
    <row r="18336" spans="8:9">
      <c r="H18336" s="1358"/>
      <c r="I18336" s="1358"/>
    </row>
    <row r="18337" spans="8:9">
      <c r="H18337" s="1358"/>
      <c r="I18337" s="1358"/>
    </row>
    <row r="18338" spans="8:9">
      <c r="H18338" s="1358"/>
      <c r="I18338" s="1358"/>
    </row>
    <row r="18339" spans="8:9">
      <c r="H18339" s="1358"/>
      <c r="I18339" s="1358"/>
    </row>
    <row r="18340" spans="8:9">
      <c r="H18340" s="1358"/>
      <c r="I18340" s="1358"/>
    </row>
    <row r="18341" spans="8:9">
      <c r="H18341" s="1358"/>
      <c r="I18341" s="1358"/>
    </row>
    <row r="18342" spans="8:9">
      <c r="H18342" s="1358"/>
      <c r="I18342" s="1358"/>
    </row>
    <row r="18343" spans="8:9">
      <c r="H18343" s="1358"/>
      <c r="I18343" s="1358"/>
    </row>
    <row r="18344" spans="8:9">
      <c r="H18344" s="1358"/>
      <c r="I18344" s="1358"/>
    </row>
    <row r="18345" spans="8:9">
      <c r="H18345" s="1358"/>
      <c r="I18345" s="1358"/>
    </row>
    <row r="18346" spans="8:9">
      <c r="H18346" s="1358"/>
      <c r="I18346" s="1358"/>
    </row>
    <row r="18347" spans="8:9">
      <c r="H18347" s="1358"/>
      <c r="I18347" s="1358"/>
    </row>
    <row r="18348" spans="8:9">
      <c r="H18348" s="1358"/>
      <c r="I18348" s="1358"/>
    </row>
    <row r="18349" spans="8:9">
      <c r="H18349" s="1358"/>
      <c r="I18349" s="1358"/>
    </row>
    <row r="18350" spans="8:9">
      <c r="H18350" s="1358"/>
      <c r="I18350" s="1358"/>
    </row>
    <row r="18351" spans="8:9">
      <c r="H18351" s="1358"/>
      <c r="I18351" s="1358"/>
    </row>
    <row r="18352" spans="8:9">
      <c r="H18352" s="1358"/>
      <c r="I18352" s="1358"/>
    </row>
    <row r="18353" spans="8:9">
      <c r="H18353" s="1358"/>
      <c r="I18353" s="1358"/>
    </row>
    <row r="18354" spans="8:9">
      <c r="H18354" s="1358"/>
      <c r="I18354" s="1358"/>
    </row>
    <row r="18355" spans="8:9">
      <c r="H18355" s="1358"/>
      <c r="I18355" s="1358"/>
    </row>
    <row r="18356" spans="8:9">
      <c r="H18356" s="1358"/>
      <c r="I18356" s="1358"/>
    </row>
    <row r="18357" spans="8:9">
      <c r="H18357" s="1358"/>
      <c r="I18357" s="1358"/>
    </row>
    <row r="18358" spans="8:9">
      <c r="H18358" s="1358"/>
      <c r="I18358" s="1358"/>
    </row>
    <row r="18359" spans="8:9">
      <c r="H18359" s="1358"/>
      <c r="I18359" s="1358"/>
    </row>
    <row r="18360" spans="8:9">
      <c r="H18360" s="1358"/>
      <c r="I18360" s="1358"/>
    </row>
    <row r="18361" spans="8:9">
      <c r="H18361" s="1358"/>
      <c r="I18361" s="1358"/>
    </row>
    <row r="18362" spans="8:9">
      <c r="H18362" s="1358"/>
      <c r="I18362" s="1358"/>
    </row>
    <row r="18363" spans="8:9">
      <c r="H18363" s="1358"/>
      <c r="I18363" s="1358"/>
    </row>
    <row r="18364" spans="8:9">
      <c r="H18364" s="1358"/>
      <c r="I18364" s="1358"/>
    </row>
    <row r="18365" spans="8:9">
      <c r="H18365" s="1358"/>
      <c r="I18365" s="1358"/>
    </row>
    <row r="18366" spans="8:9">
      <c r="H18366" s="1358"/>
      <c r="I18366" s="1358"/>
    </row>
    <row r="18367" spans="8:9">
      <c r="H18367" s="1358"/>
      <c r="I18367" s="1358"/>
    </row>
    <row r="18368" spans="8:9">
      <c r="H18368" s="1358"/>
      <c r="I18368" s="1358"/>
    </row>
    <row r="18369" spans="8:9">
      <c r="H18369" s="1358"/>
      <c r="I18369" s="1358"/>
    </row>
    <row r="18370" spans="8:9">
      <c r="H18370" s="1358"/>
      <c r="I18370" s="1358"/>
    </row>
    <row r="18371" spans="8:9">
      <c r="H18371" s="1358"/>
      <c r="I18371" s="1358"/>
    </row>
    <row r="18372" spans="8:9">
      <c r="H18372" s="1358"/>
      <c r="I18372" s="1358"/>
    </row>
    <row r="18373" spans="8:9">
      <c r="H18373" s="1358"/>
      <c r="I18373" s="1358"/>
    </row>
    <row r="18374" spans="8:9">
      <c r="H18374" s="1358"/>
      <c r="I18374" s="1358"/>
    </row>
    <row r="18375" spans="8:9">
      <c r="H18375" s="1358"/>
      <c r="I18375" s="1358"/>
    </row>
    <row r="18376" spans="8:9">
      <c r="H18376" s="1358"/>
      <c r="I18376" s="1358"/>
    </row>
    <row r="18377" spans="8:9">
      <c r="H18377" s="1358"/>
      <c r="I18377" s="1358"/>
    </row>
    <row r="18378" spans="8:9">
      <c r="H18378" s="1358"/>
      <c r="I18378" s="1358"/>
    </row>
    <row r="18379" spans="8:9">
      <c r="H18379" s="1358"/>
      <c r="I18379" s="1358"/>
    </row>
    <row r="18380" spans="8:9">
      <c r="H18380" s="1358"/>
      <c r="I18380" s="1358"/>
    </row>
    <row r="18381" spans="8:9">
      <c r="H18381" s="1358"/>
      <c r="I18381" s="1358"/>
    </row>
    <row r="18382" spans="8:9">
      <c r="H18382" s="1358"/>
      <c r="I18382" s="1358"/>
    </row>
    <row r="18383" spans="8:9">
      <c r="H18383" s="1358"/>
      <c r="I18383" s="1358"/>
    </row>
    <row r="18384" spans="8:9">
      <c r="H18384" s="1358"/>
      <c r="I18384" s="1358"/>
    </row>
    <row r="18385" spans="8:9">
      <c r="H18385" s="1358"/>
      <c r="I18385" s="1358"/>
    </row>
    <row r="18386" spans="8:9">
      <c r="H18386" s="1358"/>
      <c r="I18386" s="1358"/>
    </row>
    <row r="18387" spans="8:9">
      <c r="H18387" s="1358"/>
      <c r="I18387" s="1358"/>
    </row>
    <row r="18388" spans="8:9">
      <c r="H18388" s="1358"/>
      <c r="I18388" s="1358"/>
    </row>
    <row r="18389" spans="8:9">
      <c r="H18389" s="1358"/>
      <c r="I18389" s="1358"/>
    </row>
    <row r="18390" spans="8:9">
      <c r="H18390" s="1358"/>
      <c r="I18390" s="1358"/>
    </row>
    <row r="18391" spans="8:9">
      <c r="H18391" s="1358"/>
      <c r="I18391" s="1358"/>
    </row>
    <row r="18392" spans="8:9">
      <c r="H18392" s="1358"/>
      <c r="I18392" s="1358"/>
    </row>
    <row r="18393" spans="8:9">
      <c r="H18393" s="1358"/>
      <c r="I18393" s="1358"/>
    </row>
    <row r="18394" spans="8:9">
      <c r="H18394" s="1358"/>
      <c r="I18394" s="1358"/>
    </row>
    <row r="18395" spans="8:9">
      <c r="H18395" s="1358"/>
      <c r="I18395" s="1358"/>
    </row>
    <row r="18396" spans="8:9">
      <c r="H18396" s="1358"/>
      <c r="I18396" s="1358"/>
    </row>
    <row r="18397" spans="8:9">
      <c r="H18397" s="1358"/>
      <c r="I18397" s="1358"/>
    </row>
    <row r="18398" spans="8:9">
      <c r="H18398" s="1358"/>
      <c r="I18398" s="1358"/>
    </row>
    <row r="18399" spans="8:9">
      <c r="H18399" s="1358"/>
      <c r="I18399" s="1358"/>
    </row>
    <row r="18400" spans="8:9">
      <c r="H18400" s="1358"/>
      <c r="I18400" s="1358"/>
    </row>
    <row r="18401" spans="8:9">
      <c r="H18401" s="1358"/>
      <c r="I18401" s="1358"/>
    </row>
    <row r="18402" spans="8:9">
      <c r="H18402" s="1358"/>
      <c r="I18402" s="1358"/>
    </row>
    <row r="18403" spans="8:9">
      <c r="H18403" s="1358"/>
      <c r="I18403" s="1358"/>
    </row>
    <row r="18404" spans="8:9">
      <c r="H18404" s="1358"/>
      <c r="I18404" s="1358"/>
    </row>
    <row r="18405" spans="8:9">
      <c r="H18405" s="1358"/>
      <c r="I18405" s="1358"/>
    </row>
    <row r="18406" spans="8:9">
      <c r="H18406" s="1358"/>
      <c r="I18406" s="1358"/>
    </row>
    <row r="18407" spans="8:9">
      <c r="H18407" s="1358"/>
      <c r="I18407" s="1358"/>
    </row>
    <row r="18408" spans="8:9">
      <c r="H18408" s="1358"/>
      <c r="I18408" s="1358"/>
    </row>
    <row r="18409" spans="8:9">
      <c r="H18409" s="1358"/>
      <c r="I18409" s="1358"/>
    </row>
    <row r="18410" spans="8:9">
      <c r="H18410" s="1358"/>
      <c r="I18410" s="1358"/>
    </row>
    <row r="18411" spans="8:9">
      <c r="H18411" s="1358"/>
      <c r="I18411" s="1358"/>
    </row>
    <row r="18412" spans="8:9">
      <c r="H18412" s="1358"/>
      <c r="I18412" s="1358"/>
    </row>
    <row r="18413" spans="8:9">
      <c r="H18413" s="1358"/>
      <c r="I18413" s="1358"/>
    </row>
    <row r="18414" spans="8:9">
      <c r="H18414" s="1358"/>
      <c r="I18414" s="1358"/>
    </row>
    <row r="18415" spans="8:9">
      <c r="H18415" s="1358"/>
      <c r="I18415" s="1358"/>
    </row>
    <row r="18416" spans="8:9">
      <c r="H18416" s="1358"/>
      <c r="I18416" s="1358"/>
    </row>
    <row r="18417" spans="8:9">
      <c r="H18417" s="1358"/>
      <c r="I18417" s="1358"/>
    </row>
    <row r="18418" spans="8:9">
      <c r="H18418" s="1358"/>
      <c r="I18418" s="1358"/>
    </row>
    <row r="18419" spans="8:9">
      <c r="H18419" s="1358"/>
      <c r="I18419" s="1358"/>
    </row>
    <row r="18420" spans="8:9">
      <c r="H18420" s="1358"/>
      <c r="I18420" s="1358"/>
    </row>
    <row r="18421" spans="8:9">
      <c r="H18421" s="1358"/>
      <c r="I18421" s="1358"/>
    </row>
    <row r="18422" spans="8:9">
      <c r="H18422" s="1358"/>
      <c r="I18422" s="1358"/>
    </row>
    <row r="18423" spans="8:9">
      <c r="H18423" s="1358"/>
      <c r="I18423" s="1358"/>
    </row>
    <row r="18424" spans="8:9">
      <c r="H18424" s="1358"/>
      <c r="I18424" s="1358"/>
    </row>
    <row r="18425" spans="8:9">
      <c r="H18425" s="1358"/>
      <c r="I18425" s="1358"/>
    </row>
    <row r="18426" spans="8:9">
      <c r="H18426" s="1358"/>
      <c r="I18426" s="1358"/>
    </row>
    <row r="18427" spans="8:9">
      <c r="H18427" s="1358"/>
      <c r="I18427" s="1358"/>
    </row>
    <row r="18428" spans="8:9">
      <c r="H18428" s="1358"/>
      <c r="I18428" s="1358"/>
    </row>
    <row r="18429" spans="8:9">
      <c r="H18429" s="1358"/>
      <c r="I18429" s="1358"/>
    </row>
    <row r="18430" spans="8:9">
      <c r="H18430" s="1358"/>
      <c r="I18430" s="1358"/>
    </row>
    <row r="18431" spans="8:9">
      <c r="H18431" s="1358"/>
      <c r="I18431" s="1358"/>
    </row>
    <row r="18432" spans="8:9">
      <c r="H18432" s="1358"/>
      <c r="I18432" s="1358"/>
    </row>
    <row r="18433" spans="8:9">
      <c r="H18433" s="1358"/>
      <c r="I18433" s="1358"/>
    </row>
    <row r="18434" spans="8:9">
      <c r="H18434" s="1358"/>
      <c r="I18434" s="1358"/>
    </row>
    <row r="18435" spans="8:9">
      <c r="H18435" s="1358"/>
      <c r="I18435" s="1358"/>
    </row>
    <row r="18436" spans="8:9">
      <c r="H18436" s="1358"/>
      <c r="I18436" s="1358"/>
    </row>
    <row r="18437" spans="8:9">
      <c r="H18437" s="1358"/>
      <c r="I18437" s="1358"/>
    </row>
    <row r="18438" spans="8:9">
      <c r="H18438" s="1358"/>
      <c r="I18438" s="1358"/>
    </row>
    <row r="18439" spans="8:9">
      <c r="H18439" s="1358"/>
      <c r="I18439" s="1358"/>
    </row>
    <row r="18440" spans="8:9">
      <c r="H18440" s="1358"/>
      <c r="I18440" s="1358"/>
    </row>
    <row r="18441" spans="8:9">
      <c r="H18441" s="1358"/>
      <c r="I18441" s="1358"/>
    </row>
    <row r="18442" spans="8:9">
      <c r="H18442" s="1358"/>
      <c r="I18442" s="1358"/>
    </row>
    <row r="18443" spans="8:9">
      <c r="H18443" s="1358"/>
      <c r="I18443" s="1358"/>
    </row>
    <row r="18444" spans="8:9">
      <c r="H18444" s="1358"/>
      <c r="I18444" s="1358"/>
    </row>
    <row r="18445" spans="8:9">
      <c r="H18445" s="1358"/>
      <c r="I18445" s="1358"/>
    </row>
    <row r="18446" spans="8:9">
      <c r="H18446" s="1358"/>
      <c r="I18446" s="1358"/>
    </row>
    <row r="18447" spans="8:9">
      <c r="H18447" s="1358"/>
      <c r="I18447" s="1358"/>
    </row>
    <row r="18448" spans="8:9">
      <c r="H18448" s="1358"/>
      <c r="I18448" s="1358"/>
    </row>
    <row r="18449" spans="8:9">
      <c r="H18449" s="1358"/>
      <c r="I18449" s="1358"/>
    </row>
    <row r="18450" spans="8:9">
      <c r="H18450" s="1358"/>
      <c r="I18450" s="1358"/>
    </row>
    <row r="18451" spans="8:9">
      <c r="H18451" s="1358"/>
      <c r="I18451" s="1358"/>
    </row>
    <row r="18452" spans="8:9">
      <c r="H18452" s="1358"/>
      <c r="I18452" s="1358"/>
    </row>
    <row r="18453" spans="8:9">
      <c r="H18453" s="1358"/>
      <c r="I18453" s="1358"/>
    </row>
    <row r="18454" spans="8:9">
      <c r="H18454" s="1358"/>
      <c r="I18454" s="1358"/>
    </row>
    <row r="18455" spans="8:9">
      <c r="H18455" s="1358"/>
      <c r="I18455" s="1358"/>
    </row>
    <row r="18456" spans="8:9">
      <c r="H18456" s="1358"/>
      <c r="I18456" s="1358"/>
    </row>
    <row r="18457" spans="8:9">
      <c r="H18457" s="1358"/>
      <c r="I18457" s="1358"/>
    </row>
    <row r="18458" spans="8:9">
      <c r="H18458" s="1358"/>
      <c r="I18458" s="1358"/>
    </row>
    <row r="18459" spans="8:9">
      <c r="H18459" s="1358"/>
      <c r="I18459" s="1358"/>
    </row>
    <row r="18460" spans="8:9">
      <c r="H18460" s="1358"/>
      <c r="I18460" s="1358"/>
    </row>
    <row r="18461" spans="8:9">
      <c r="H18461" s="1358"/>
      <c r="I18461" s="1358"/>
    </row>
    <row r="18462" spans="8:9">
      <c r="H18462" s="1358"/>
      <c r="I18462" s="1358"/>
    </row>
    <row r="18463" spans="8:9">
      <c r="H18463" s="1358"/>
      <c r="I18463" s="1358"/>
    </row>
    <row r="18464" spans="8:9">
      <c r="H18464" s="1358"/>
      <c r="I18464" s="1358"/>
    </row>
    <row r="18465" spans="8:9">
      <c r="H18465" s="1358"/>
      <c r="I18465" s="1358"/>
    </row>
    <row r="18466" spans="8:9">
      <c r="H18466" s="1358"/>
      <c r="I18466" s="1358"/>
    </row>
    <row r="18467" spans="8:9">
      <c r="H18467" s="1358"/>
      <c r="I18467" s="1358"/>
    </row>
    <row r="18468" spans="8:9">
      <c r="H18468" s="1358"/>
      <c r="I18468" s="1358"/>
    </row>
    <row r="18469" spans="8:9">
      <c r="H18469" s="1358"/>
      <c r="I18469" s="1358"/>
    </row>
    <row r="18470" spans="8:9">
      <c r="H18470" s="1358"/>
      <c r="I18470" s="1358"/>
    </row>
    <row r="18471" spans="8:9">
      <c r="H18471" s="1358"/>
      <c r="I18471" s="1358"/>
    </row>
    <row r="18472" spans="8:9">
      <c r="H18472" s="1358"/>
      <c r="I18472" s="1358"/>
    </row>
    <row r="18473" spans="8:9">
      <c r="H18473" s="1358"/>
      <c r="I18473" s="1358"/>
    </row>
    <row r="18474" spans="8:9">
      <c r="H18474" s="1358"/>
      <c r="I18474" s="1358"/>
    </row>
    <row r="18475" spans="8:9">
      <c r="H18475" s="1358"/>
      <c r="I18475" s="1358"/>
    </row>
    <row r="18476" spans="8:9">
      <c r="H18476" s="1358"/>
      <c r="I18476" s="1358"/>
    </row>
    <row r="18477" spans="8:9">
      <c r="H18477" s="1358"/>
      <c r="I18477" s="1358"/>
    </row>
    <row r="18478" spans="8:9">
      <c r="H18478" s="1358"/>
      <c r="I18478" s="1358"/>
    </row>
    <row r="18479" spans="8:9">
      <c r="H18479" s="1358"/>
      <c r="I18479" s="1358"/>
    </row>
    <row r="18480" spans="8:9">
      <c r="H18480" s="1358"/>
      <c r="I18480" s="1358"/>
    </row>
    <row r="18481" spans="8:9">
      <c r="H18481" s="1358"/>
      <c r="I18481" s="1358"/>
    </row>
    <row r="18482" spans="8:9">
      <c r="H18482" s="1358"/>
      <c r="I18482" s="1358"/>
    </row>
    <row r="18483" spans="8:9">
      <c r="H18483" s="1358"/>
      <c r="I18483" s="1358"/>
    </row>
    <row r="18484" spans="8:9">
      <c r="H18484" s="1358"/>
      <c r="I18484" s="1358"/>
    </row>
    <row r="18485" spans="8:9">
      <c r="H18485" s="1358"/>
      <c r="I18485" s="1358"/>
    </row>
    <row r="18486" spans="8:9">
      <c r="H18486" s="1358"/>
      <c r="I18486" s="1358"/>
    </row>
    <row r="18487" spans="8:9">
      <c r="H18487" s="1358"/>
      <c r="I18487" s="1358"/>
    </row>
    <row r="18488" spans="8:9">
      <c r="H18488" s="1358"/>
      <c r="I18488" s="1358"/>
    </row>
    <row r="18489" spans="8:9">
      <c r="H18489" s="1358"/>
      <c r="I18489" s="1358"/>
    </row>
    <row r="18490" spans="8:9">
      <c r="H18490" s="1358"/>
      <c r="I18490" s="1358"/>
    </row>
    <row r="18491" spans="8:9">
      <c r="H18491" s="1358"/>
      <c r="I18491" s="1358"/>
    </row>
    <row r="18492" spans="8:9">
      <c r="H18492" s="1358"/>
      <c r="I18492" s="1358"/>
    </row>
    <row r="18493" spans="8:9">
      <c r="H18493" s="1358"/>
      <c r="I18493" s="1358"/>
    </row>
    <row r="18494" spans="8:9">
      <c r="H18494" s="1358"/>
      <c r="I18494" s="1358"/>
    </row>
    <row r="18495" spans="8:9">
      <c r="H18495" s="1358"/>
      <c r="I18495" s="1358"/>
    </row>
    <row r="18496" spans="8:9">
      <c r="H18496" s="1358"/>
      <c r="I18496" s="1358"/>
    </row>
    <row r="18497" spans="8:9">
      <c r="H18497" s="1358"/>
      <c r="I18497" s="1358"/>
    </row>
    <row r="18498" spans="8:9">
      <c r="H18498" s="1358"/>
      <c r="I18498" s="1358"/>
    </row>
    <row r="18499" spans="8:9">
      <c r="H18499" s="1358"/>
      <c r="I18499" s="1358"/>
    </row>
    <row r="18500" spans="8:9">
      <c r="H18500" s="1358"/>
      <c r="I18500" s="1358"/>
    </row>
    <row r="18501" spans="8:9">
      <c r="H18501" s="1358"/>
      <c r="I18501" s="1358"/>
    </row>
    <row r="18502" spans="8:9">
      <c r="H18502" s="1358"/>
      <c r="I18502" s="1358"/>
    </row>
    <row r="18503" spans="8:9">
      <c r="H18503" s="1358"/>
      <c r="I18503" s="1358"/>
    </row>
    <row r="18504" spans="8:9">
      <c r="H18504" s="1358"/>
      <c r="I18504" s="1358"/>
    </row>
    <row r="18505" spans="8:9">
      <c r="H18505" s="1358"/>
      <c r="I18505" s="1358"/>
    </row>
    <row r="18506" spans="8:9">
      <c r="H18506" s="1358"/>
      <c r="I18506" s="1358"/>
    </row>
    <row r="18507" spans="8:9">
      <c r="H18507" s="1358"/>
      <c r="I18507" s="1358"/>
    </row>
    <row r="18508" spans="8:9">
      <c r="H18508" s="1358"/>
      <c r="I18508" s="1358"/>
    </row>
    <row r="18509" spans="8:9">
      <c r="H18509" s="1358"/>
      <c r="I18509" s="1358"/>
    </row>
    <row r="18510" spans="8:9">
      <c r="H18510" s="1358"/>
      <c r="I18510" s="1358"/>
    </row>
    <row r="18511" spans="8:9">
      <c r="H18511" s="1358"/>
      <c r="I18511" s="1358"/>
    </row>
    <row r="18512" spans="8:9">
      <c r="H18512" s="1358"/>
      <c r="I18512" s="1358"/>
    </row>
    <row r="18513" spans="8:9">
      <c r="H18513" s="1358"/>
      <c r="I18513" s="1358"/>
    </row>
    <row r="18514" spans="8:9">
      <c r="H18514" s="1358"/>
      <c r="I18514" s="1358"/>
    </row>
    <row r="18515" spans="8:9">
      <c r="H18515" s="1358"/>
      <c r="I18515" s="1358"/>
    </row>
    <row r="18516" spans="8:9">
      <c r="H18516" s="1358"/>
      <c r="I18516" s="1358"/>
    </row>
    <row r="18517" spans="8:9">
      <c r="H18517" s="1358"/>
      <c r="I18517" s="1358"/>
    </row>
    <row r="18518" spans="8:9">
      <c r="H18518" s="1358"/>
      <c r="I18518" s="1358"/>
    </row>
    <row r="18519" spans="8:9">
      <c r="H18519" s="1358"/>
      <c r="I18519" s="1358"/>
    </row>
    <row r="18520" spans="8:9">
      <c r="H18520" s="1358"/>
      <c r="I18520" s="1358"/>
    </row>
    <row r="18521" spans="8:9">
      <c r="H18521" s="1358"/>
      <c r="I18521" s="1358"/>
    </row>
    <row r="18522" spans="8:9">
      <c r="H18522" s="1358"/>
      <c r="I18522" s="1358"/>
    </row>
    <row r="18523" spans="8:9">
      <c r="H18523" s="1358"/>
      <c r="I18523" s="1358"/>
    </row>
    <row r="18524" spans="8:9">
      <c r="H18524" s="1358"/>
      <c r="I18524" s="1358"/>
    </row>
    <row r="18525" spans="8:9">
      <c r="H18525" s="1358"/>
      <c r="I18525" s="1358"/>
    </row>
    <row r="18526" spans="8:9">
      <c r="H18526" s="1358"/>
      <c r="I18526" s="1358"/>
    </row>
    <row r="18527" spans="8:9">
      <c r="H18527" s="1358"/>
      <c r="I18527" s="1358"/>
    </row>
    <row r="18528" spans="8:9">
      <c r="H18528" s="1358"/>
      <c r="I18528" s="1358"/>
    </row>
    <row r="18529" spans="8:9">
      <c r="H18529" s="1358"/>
      <c r="I18529" s="1358"/>
    </row>
    <row r="18530" spans="8:9">
      <c r="H18530" s="1358"/>
      <c r="I18530" s="1358"/>
    </row>
    <row r="18531" spans="8:9">
      <c r="H18531" s="1358"/>
      <c r="I18531" s="1358"/>
    </row>
    <row r="18532" spans="8:9">
      <c r="H18532" s="1358"/>
      <c r="I18532" s="1358"/>
    </row>
    <row r="18533" spans="8:9">
      <c r="H18533" s="1358"/>
      <c r="I18533" s="1358"/>
    </row>
    <row r="18534" spans="8:9">
      <c r="H18534" s="1358"/>
      <c r="I18534" s="1358"/>
    </row>
    <row r="18535" spans="8:9">
      <c r="H18535" s="1358"/>
      <c r="I18535" s="1358"/>
    </row>
    <row r="18536" spans="8:9">
      <c r="H18536" s="1358"/>
      <c r="I18536" s="1358"/>
    </row>
    <row r="18537" spans="8:9">
      <c r="H18537" s="1358"/>
      <c r="I18537" s="1358"/>
    </row>
    <row r="18538" spans="8:9">
      <c r="H18538" s="1358"/>
      <c r="I18538" s="1358"/>
    </row>
    <row r="18539" spans="8:9">
      <c r="H18539" s="1358"/>
      <c r="I18539" s="1358"/>
    </row>
    <row r="18540" spans="8:9">
      <c r="H18540" s="1358"/>
      <c r="I18540" s="1358"/>
    </row>
    <row r="18541" spans="8:9">
      <c r="H18541" s="1358"/>
      <c r="I18541" s="1358"/>
    </row>
    <row r="18542" spans="8:9">
      <c r="H18542" s="1358"/>
      <c r="I18542" s="1358"/>
    </row>
    <row r="18543" spans="8:9">
      <c r="H18543" s="1358"/>
      <c r="I18543" s="1358"/>
    </row>
    <row r="18544" spans="8:9">
      <c r="H18544" s="1358"/>
      <c r="I18544" s="1358"/>
    </row>
    <row r="18545" spans="8:9">
      <c r="H18545" s="1358"/>
      <c r="I18545" s="1358"/>
    </row>
    <row r="18546" spans="8:9">
      <c r="H18546" s="1358"/>
      <c r="I18546" s="1358"/>
    </row>
    <row r="18547" spans="8:9">
      <c r="H18547" s="1358"/>
      <c r="I18547" s="1358"/>
    </row>
    <row r="18548" spans="8:9">
      <c r="H18548" s="1358"/>
      <c r="I18548" s="1358"/>
    </row>
    <row r="18549" spans="8:9">
      <c r="H18549" s="1358"/>
      <c r="I18549" s="1358"/>
    </row>
    <row r="18550" spans="8:9">
      <c r="H18550" s="1358"/>
      <c r="I18550" s="1358"/>
    </row>
    <row r="18551" spans="8:9">
      <c r="H18551" s="1358"/>
      <c r="I18551" s="1358"/>
    </row>
    <row r="18552" spans="8:9">
      <c r="H18552" s="1358"/>
      <c r="I18552" s="1358"/>
    </row>
    <row r="18553" spans="8:9">
      <c r="H18553" s="1358"/>
      <c r="I18553" s="1358"/>
    </row>
    <row r="18554" spans="8:9">
      <c r="H18554" s="1358"/>
      <c r="I18554" s="1358"/>
    </row>
    <row r="18555" spans="8:9">
      <c r="H18555" s="1358"/>
      <c r="I18555" s="1358"/>
    </row>
    <row r="18556" spans="8:9">
      <c r="H18556" s="1358"/>
      <c r="I18556" s="1358"/>
    </row>
    <row r="18557" spans="8:9">
      <c r="H18557" s="1358"/>
      <c r="I18557" s="1358"/>
    </row>
    <row r="18558" spans="8:9">
      <c r="H18558" s="1358"/>
      <c r="I18558" s="1358"/>
    </row>
    <row r="18559" spans="8:9">
      <c r="H18559" s="1358"/>
      <c r="I18559" s="1358"/>
    </row>
    <row r="18560" spans="8:9">
      <c r="H18560" s="1358"/>
      <c r="I18560" s="1358"/>
    </row>
    <row r="18561" spans="8:9">
      <c r="H18561" s="1358"/>
      <c r="I18561" s="1358"/>
    </row>
    <row r="18562" spans="8:9">
      <c r="H18562" s="1358"/>
      <c r="I18562" s="1358"/>
    </row>
    <row r="18563" spans="8:9">
      <c r="H18563" s="1358"/>
      <c r="I18563" s="1358"/>
    </row>
    <row r="18564" spans="8:9">
      <c r="H18564" s="1358"/>
      <c r="I18564" s="1358"/>
    </row>
    <row r="18565" spans="8:9">
      <c r="H18565" s="1358"/>
      <c r="I18565" s="1358"/>
    </row>
    <row r="18566" spans="8:9">
      <c r="H18566" s="1358"/>
      <c r="I18566" s="1358"/>
    </row>
    <row r="18567" spans="8:9">
      <c r="H18567" s="1358"/>
      <c r="I18567" s="1358"/>
    </row>
    <row r="18568" spans="8:9">
      <c r="H18568" s="1358"/>
      <c r="I18568" s="1358"/>
    </row>
    <row r="18569" spans="8:9">
      <c r="H18569" s="1358"/>
      <c r="I18569" s="1358"/>
    </row>
    <row r="18570" spans="8:9">
      <c r="H18570" s="1358"/>
      <c r="I18570" s="1358"/>
    </row>
    <row r="18571" spans="8:9">
      <c r="H18571" s="1358"/>
      <c r="I18571" s="1358"/>
    </row>
    <row r="18572" spans="8:9">
      <c r="H18572" s="1358"/>
      <c r="I18572" s="1358"/>
    </row>
    <row r="18573" spans="8:9">
      <c r="H18573" s="1358"/>
      <c r="I18573" s="1358"/>
    </row>
    <row r="18574" spans="8:9">
      <c r="H18574" s="1358"/>
      <c r="I18574" s="1358"/>
    </row>
    <row r="18575" spans="8:9">
      <c r="H18575" s="1358"/>
      <c r="I18575" s="1358"/>
    </row>
    <row r="18576" spans="8:9">
      <c r="H18576" s="1358"/>
      <c r="I18576" s="1358"/>
    </row>
    <row r="18577" spans="8:9">
      <c r="H18577" s="1358"/>
      <c r="I18577" s="1358"/>
    </row>
    <row r="18578" spans="8:9">
      <c r="H18578" s="1358"/>
      <c r="I18578" s="1358"/>
    </row>
    <row r="18579" spans="8:9">
      <c r="H18579" s="1358"/>
      <c r="I18579" s="1358"/>
    </row>
    <row r="18580" spans="8:9">
      <c r="H18580" s="1358"/>
      <c r="I18580" s="1358"/>
    </row>
    <row r="18581" spans="8:9">
      <c r="H18581" s="1358"/>
      <c r="I18581" s="1358"/>
    </row>
    <row r="18582" spans="8:9">
      <c r="H18582" s="1358"/>
      <c r="I18582" s="1358"/>
    </row>
    <row r="18583" spans="8:9">
      <c r="H18583" s="1358"/>
      <c r="I18583" s="1358"/>
    </row>
    <row r="18584" spans="8:9">
      <c r="H18584" s="1358"/>
      <c r="I18584" s="1358"/>
    </row>
    <row r="18585" spans="8:9">
      <c r="H18585" s="1358"/>
      <c r="I18585" s="1358"/>
    </row>
    <row r="18586" spans="8:9">
      <c r="H18586" s="1358"/>
      <c r="I18586" s="1358"/>
    </row>
    <row r="18587" spans="8:9">
      <c r="H18587" s="1358"/>
      <c r="I18587" s="1358"/>
    </row>
    <row r="18588" spans="8:9">
      <c r="H18588" s="1358"/>
      <c r="I18588" s="1358"/>
    </row>
    <row r="18589" spans="8:9">
      <c r="H18589" s="1358"/>
      <c r="I18589" s="1358"/>
    </row>
    <row r="18590" spans="8:9">
      <c r="H18590" s="1358"/>
      <c r="I18590" s="1358"/>
    </row>
    <row r="18591" spans="8:9">
      <c r="H18591" s="1358"/>
      <c r="I18591" s="1358"/>
    </row>
    <row r="18592" spans="8:9">
      <c r="H18592" s="1358"/>
      <c r="I18592" s="1358"/>
    </row>
    <row r="18593" spans="8:9">
      <c r="H18593" s="1358"/>
      <c r="I18593" s="1358"/>
    </row>
    <row r="18594" spans="8:9">
      <c r="H18594" s="1358"/>
      <c r="I18594" s="1358"/>
    </row>
    <row r="18595" spans="8:9">
      <c r="H18595" s="1358"/>
      <c r="I18595" s="1358"/>
    </row>
    <row r="18596" spans="8:9">
      <c r="H18596" s="1358"/>
      <c r="I18596" s="1358"/>
    </row>
    <row r="18597" spans="8:9">
      <c r="H18597" s="1358"/>
      <c r="I18597" s="1358"/>
    </row>
    <row r="18598" spans="8:9">
      <c r="H18598" s="1358"/>
      <c r="I18598" s="1358"/>
    </row>
    <row r="18599" spans="8:9">
      <c r="H18599" s="1358"/>
      <c r="I18599" s="1358"/>
    </row>
    <row r="18600" spans="8:9">
      <c r="H18600" s="1358"/>
      <c r="I18600" s="1358"/>
    </row>
    <row r="18601" spans="8:9">
      <c r="H18601" s="1358"/>
      <c r="I18601" s="1358"/>
    </row>
    <row r="18602" spans="8:9">
      <c r="H18602" s="1358"/>
      <c r="I18602" s="1358"/>
    </row>
    <row r="18603" spans="8:9">
      <c r="H18603" s="1358"/>
      <c r="I18603" s="1358"/>
    </row>
    <row r="18604" spans="8:9">
      <c r="H18604" s="1358"/>
      <c r="I18604" s="1358"/>
    </row>
    <row r="18605" spans="8:9">
      <c r="H18605" s="1358"/>
      <c r="I18605" s="1358"/>
    </row>
    <row r="18606" spans="8:9">
      <c r="H18606" s="1358"/>
      <c r="I18606" s="1358"/>
    </row>
    <row r="18607" spans="8:9">
      <c r="H18607" s="1358"/>
      <c r="I18607" s="1358"/>
    </row>
    <row r="18608" spans="8:9">
      <c r="H18608" s="1358"/>
      <c r="I18608" s="1358"/>
    </row>
    <row r="18609" spans="8:9">
      <c r="H18609" s="1358"/>
      <c r="I18609" s="1358"/>
    </row>
    <row r="18610" spans="8:9">
      <c r="H18610" s="1358"/>
      <c r="I18610" s="1358"/>
    </row>
    <row r="18611" spans="8:9">
      <c r="H18611" s="1358"/>
      <c r="I18611" s="1358"/>
    </row>
    <row r="18612" spans="8:9">
      <c r="H18612" s="1358"/>
      <c r="I18612" s="1358"/>
    </row>
    <row r="18613" spans="8:9">
      <c r="H18613" s="1358"/>
      <c r="I18613" s="1358"/>
    </row>
    <row r="18614" spans="8:9">
      <c r="H18614" s="1358"/>
      <c r="I18614" s="1358"/>
    </row>
    <row r="18615" spans="8:9">
      <c r="H18615" s="1358"/>
      <c r="I18615" s="1358"/>
    </row>
    <row r="18616" spans="8:9">
      <c r="H18616" s="1358"/>
      <c r="I18616" s="1358"/>
    </row>
    <row r="18617" spans="8:9">
      <c r="H18617" s="1358"/>
      <c r="I18617" s="1358"/>
    </row>
    <row r="18618" spans="8:9">
      <c r="H18618" s="1358"/>
      <c r="I18618" s="1358"/>
    </row>
    <row r="18619" spans="8:9">
      <c r="H18619" s="1358"/>
      <c r="I18619" s="1358"/>
    </row>
    <row r="18620" spans="8:9">
      <c r="H18620" s="1358"/>
      <c r="I18620" s="1358"/>
    </row>
    <row r="18621" spans="8:9">
      <c r="H18621" s="1358"/>
      <c r="I18621" s="1358"/>
    </row>
    <row r="18622" spans="8:9">
      <c r="H18622" s="1358"/>
      <c r="I18622" s="1358"/>
    </row>
    <row r="18623" spans="8:9">
      <c r="H18623" s="1358"/>
      <c r="I18623" s="1358"/>
    </row>
    <row r="18624" spans="8:9">
      <c r="H18624" s="1358"/>
      <c r="I18624" s="1358"/>
    </row>
    <row r="18625" spans="8:9">
      <c r="H18625" s="1358"/>
      <c r="I18625" s="1358"/>
    </row>
    <row r="18626" spans="8:9">
      <c r="H18626" s="1358"/>
      <c r="I18626" s="1358"/>
    </row>
    <row r="18627" spans="8:9">
      <c r="H18627" s="1358"/>
      <c r="I18627" s="1358"/>
    </row>
    <row r="18628" spans="8:9">
      <c r="H18628" s="1358"/>
      <c r="I18628" s="1358"/>
    </row>
    <row r="18629" spans="8:9">
      <c r="H18629" s="1358"/>
      <c r="I18629" s="1358"/>
    </row>
    <row r="18630" spans="8:9">
      <c r="H18630" s="1358"/>
      <c r="I18630" s="1358"/>
    </row>
    <row r="18631" spans="8:9">
      <c r="H18631" s="1358"/>
      <c r="I18631" s="1358"/>
    </row>
    <row r="18632" spans="8:9">
      <c r="H18632" s="1358"/>
      <c r="I18632" s="1358"/>
    </row>
    <row r="18633" spans="8:9">
      <c r="H18633" s="1358"/>
      <c r="I18633" s="1358"/>
    </row>
    <row r="18634" spans="8:9">
      <c r="H18634" s="1358"/>
      <c r="I18634" s="1358"/>
    </row>
    <row r="18635" spans="8:9">
      <c r="H18635" s="1358"/>
      <c r="I18635" s="1358"/>
    </row>
    <row r="18636" spans="8:9">
      <c r="H18636" s="1358"/>
      <c r="I18636" s="1358"/>
    </row>
    <row r="18637" spans="8:9">
      <c r="H18637" s="1358"/>
      <c r="I18637" s="1358"/>
    </row>
    <row r="18638" spans="8:9">
      <c r="H18638" s="1358"/>
      <c r="I18638" s="1358"/>
    </row>
    <row r="18639" spans="8:9">
      <c r="H18639" s="1358"/>
      <c r="I18639" s="1358"/>
    </row>
    <row r="18640" spans="8:9">
      <c r="H18640" s="1358"/>
      <c r="I18640" s="1358"/>
    </row>
    <row r="18641" spans="8:9">
      <c r="H18641" s="1358"/>
      <c r="I18641" s="1358"/>
    </row>
    <row r="18642" spans="8:9">
      <c r="H18642" s="1358"/>
      <c r="I18642" s="1358"/>
    </row>
    <row r="18643" spans="8:9">
      <c r="H18643" s="1358"/>
      <c r="I18643" s="1358"/>
    </row>
    <row r="18644" spans="8:9">
      <c r="H18644" s="1358"/>
      <c r="I18644" s="1358"/>
    </row>
    <row r="18645" spans="8:9">
      <c r="H18645" s="1358"/>
      <c r="I18645" s="1358"/>
    </row>
    <row r="18646" spans="8:9">
      <c r="H18646" s="1358"/>
      <c r="I18646" s="1358"/>
    </row>
    <row r="18647" spans="8:9">
      <c r="H18647" s="1358"/>
      <c r="I18647" s="1358"/>
    </row>
    <row r="18648" spans="8:9">
      <c r="H18648" s="1358"/>
      <c r="I18648" s="1358"/>
    </row>
    <row r="18649" spans="8:9">
      <c r="H18649" s="1358"/>
      <c r="I18649" s="1358"/>
    </row>
    <row r="18650" spans="8:9">
      <c r="H18650" s="1358"/>
      <c r="I18650" s="1358"/>
    </row>
    <row r="18651" spans="8:9">
      <c r="H18651" s="1358"/>
      <c r="I18651" s="1358"/>
    </row>
    <row r="18652" spans="8:9">
      <c r="H18652" s="1358"/>
      <c r="I18652" s="1358"/>
    </row>
    <row r="18653" spans="8:9">
      <c r="H18653" s="1358"/>
      <c r="I18653" s="1358"/>
    </row>
    <row r="18654" spans="8:9">
      <c r="H18654" s="1358"/>
      <c r="I18654" s="1358"/>
    </row>
    <row r="18655" spans="8:9">
      <c r="H18655" s="1358"/>
      <c r="I18655" s="1358"/>
    </row>
    <row r="18656" spans="8:9">
      <c r="H18656" s="1358"/>
      <c r="I18656" s="1358"/>
    </row>
    <row r="18657" spans="8:9">
      <c r="H18657" s="1358"/>
      <c r="I18657" s="1358"/>
    </row>
    <row r="18658" spans="8:9">
      <c r="H18658" s="1358"/>
      <c r="I18658" s="1358"/>
    </row>
    <row r="18659" spans="8:9">
      <c r="H18659" s="1358"/>
      <c r="I18659" s="1358"/>
    </row>
    <row r="18660" spans="8:9">
      <c r="H18660" s="1358"/>
      <c r="I18660" s="1358"/>
    </row>
    <row r="18661" spans="8:9">
      <c r="H18661" s="1358"/>
      <c r="I18661" s="1358"/>
    </row>
    <row r="18662" spans="8:9">
      <c r="H18662" s="1358"/>
      <c r="I18662" s="1358"/>
    </row>
    <row r="18663" spans="8:9">
      <c r="H18663" s="1358"/>
      <c r="I18663" s="1358"/>
    </row>
    <row r="18664" spans="8:9">
      <c r="H18664" s="1358"/>
      <c r="I18664" s="1358"/>
    </row>
    <row r="18665" spans="8:9">
      <c r="H18665" s="1358"/>
      <c r="I18665" s="1358"/>
    </row>
    <row r="18666" spans="8:9">
      <c r="H18666" s="1358"/>
      <c r="I18666" s="1358"/>
    </row>
    <row r="18667" spans="8:9">
      <c r="H18667" s="1358"/>
      <c r="I18667" s="1358"/>
    </row>
    <row r="18668" spans="8:9">
      <c r="H18668" s="1358"/>
      <c r="I18668" s="1358"/>
    </row>
    <row r="18669" spans="8:9">
      <c r="H18669" s="1358"/>
      <c r="I18669" s="1358"/>
    </row>
    <row r="18670" spans="8:9">
      <c r="H18670" s="1358"/>
      <c r="I18670" s="1358"/>
    </row>
    <row r="18671" spans="8:9">
      <c r="H18671" s="1358"/>
      <c r="I18671" s="1358"/>
    </row>
    <row r="18672" spans="8:9">
      <c r="H18672" s="1358"/>
      <c r="I18672" s="1358"/>
    </row>
    <row r="18673" spans="8:9">
      <c r="H18673" s="1358"/>
      <c r="I18673" s="1358"/>
    </row>
    <row r="18674" spans="8:9">
      <c r="H18674" s="1358"/>
      <c r="I18674" s="1358"/>
    </row>
    <row r="18675" spans="8:9">
      <c r="H18675" s="1358"/>
      <c r="I18675" s="1358"/>
    </row>
    <row r="18676" spans="8:9">
      <c r="H18676" s="1358"/>
      <c r="I18676" s="1358"/>
    </row>
    <row r="18677" spans="8:9">
      <c r="H18677" s="1358"/>
      <c r="I18677" s="1358"/>
    </row>
    <row r="18678" spans="8:9">
      <c r="H18678" s="1358"/>
      <c r="I18678" s="1358"/>
    </row>
    <row r="18679" spans="8:9">
      <c r="H18679" s="1358"/>
      <c r="I18679" s="1358"/>
    </row>
    <row r="18680" spans="8:9">
      <c r="H18680" s="1358"/>
      <c r="I18680" s="1358"/>
    </row>
    <row r="18681" spans="8:9">
      <c r="H18681" s="1358"/>
      <c r="I18681" s="1358"/>
    </row>
    <row r="18682" spans="8:9">
      <c r="H18682" s="1358"/>
      <c r="I18682" s="1358"/>
    </row>
    <row r="18683" spans="8:9">
      <c r="H18683" s="1358"/>
      <c r="I18683" s="1358"/>
    </row>
    <row r="18684" spans="8:9">
      <c r="H18684" s="1358"/>
      <c r="I18684" s="1358"/>
    </row>
    <row r="18685" spans="8:9">
      <c r="H18685" s="1358"/>
      <c r="I18685" s="1358"/>
    </row>
    <row r="18686" spans="8:9">
      <c r="H18686" s="1358"/>
      <c r="I18686" s="1358"/>
    </row>
    <row r="18687" spans="8:9">
      <c r="H18687" s="1358"/>
      <c r="I18687" s="1358"/>
    </row>
    <row r="18688" spans="8:9">
      <c r="H18688" s="1358"/>
      <c r="I18688" s="1358"/>
    </row>
    <row r="18689" spans="8:9">
      <c r="H18689" s="1358"/>
      <c r="I18689" s="1358"/>
    </row>
    <row r="18690" spans="8:9">
      <c r="H18690" s="1358"/>
      <c r="I18690" s="1358"/>
    </row>
    <row r="18691" spans="8:9">
      <c r="H18691" s="1358"/>
      <c r="I18691" s="1358"/>
    </row>
    <row r="18692" spans="8:9">
      <c r="H18692" s="1358"/>
      <c r="I18692" s="1358"/>
    </row>
    <row r="18693" spans="8:9">
      <c r="H18693" s="1358"/>
      <c r="I18693" s="1358"/>
    </row>
    <row r="18694" spans="8:9">
      <c r="H18694" s="1358"/>
      <c r="I18694" s="1358"/>
    </row>
    <row r="18695" spans="8:9">
      <c r="H18695" s="1358"/>
      <c r="I18695" s="1358"/>
    </row>
    <row r="18696" spans="8:9">
      <c r="H18696" s="1358"/>
      <c r="I18696" s="1358"/>
    </row>
    <row r="18697" spans="8:9">
      <c r="H18697" s="1358"/>
      <c r="I18697" s="1358"/>
    </row>
    <row r="18698" spans="8:9">
      <c r="H18698" s="1358"/>
      <c r="I18698" s="1358"/>
    </row>
    <row r="18699" spans="8:9">
      <c r="H18699" s="1358"/>
      <c r="I18699" s="1358"/>
    </row>
    <row r="18700" spans="8:9">
      <c r="H18700" s="1358"/>
      <c r="I18700" s="1358"/>
    </row>
    <row r="18701" spans="8:9">
      <c r="H18701" s="1358"/>
      <c r="I18701" s="1358"/>
    </row>
    <row r="18702" spans="8:9">
      <c r="H18702" s="1358"/>
      <c r="I18702" s="1358"/>
    </row>
    <row r="18703" spans="8:9">
      <c r="H18703" s="1358"/>
      <c r="I18703" s="1358"/>
    </row>
    <row r="18704" spans="8:9">
      <c r="H18704" s="1358"/>
      <c r="I18704" s="1358"/>
    </row>
    <row r="18705" spans="8:9">
      <c r="H18705" s="1358"/>
      <c r="I18705" s="1358"/>
    </row>
    <row r="18706" spans="8:9">
      <c r="H18706" s="1358"/>
      <c r="I18706" s="1358"/>
    </row>
    <row r="18707" spans="8:9">
      <c r="H18707" s="1358"/>
      <c r="I18707" s="1358"/>
    </row>
    <row r="18708" spans="8:9">
      <c r="H18708" s="1358"/>
      <c r="I18708" s="1358"/>
    </row>
    <row r="18709" spans="8:9">
      <c r="H18709" s="1358"/>
      <c r="I18709" s="1358"/>
    </row>
    <row r="18710" spans="8:9">
      <c r="H18710" s="1358"/>
      <c r="I18710" s="1358"/>
    </row>
    <row r="18711" spans="8:9">
      <c r="H18711" s="1358"/>
      <c r="I18711" s="1358"/>
    </row>
    <row r="18712" spans="8:9">
      <c r="H18712" s="1358"/>
      <c r="I18712" s="1358"/>
    </row>
    <row r="18713" spans="8:9">
      <c r="H18713" s="1358"/>
      <c r="I18713" s="1358"/>
    </row>
    <row r="18714" spans="8:9">
      <c r="H18714" s="1358"/>
      <c r="I18714" s="1358"/>
    </row>
    <row r="18715" spans="8:9">
      <c r="H18715" s="1358"/>
      <c r="I18715" s="1358"/>
    </row>
    <row r="18716" spans="8:9">
      <c r="H18716" s="1358"/>
      <c r="I18716" s="1358"/>
    </row>
    <row r="18717" spans="8:9">
      <c r="H18717" s="1358"/>
      <c r="I18717" s="1358"/>
    </row>
    <row r="18718" spans="8:9">
      <c r="H18718" s="1358"/>
      <c r="I18718" s="1358"/>
    </row>
    <row r="18719" spans="8:9">
      <c r="H18719" s="1358"/>
      <c r="I18719" s="1358"/>
    </row>
    <row r="18720" spans="8:9">
      <c r="H18720" s="1358"/>
      <c r="I18720" s="1358"/>
    </row>
    <row r="18721" spans="8:9">
      <c r="H18721" s="1358"/>
      <c r="I18721" s="1358"/>
    </row>
    <row r="18722" spans="8:9">
      <c r="H18722" s="1358"/>
      <c r="I18722" s="1358"/>
    </row>
    <row r="18723" spans="8:9">
      <c r="H18723" s="1358"/>
      <c r="I18723" s="1358"/>
    </row>
    <row r="18724" spans="8:9">
      <c r="H18724" s="1358"/>
      <c r="I18724" s="1358"/>
    </row>
    <row r="18725" spans="8:9">
      <c r="H18725" s="1358"/>
      <c r="I18725" s="1358"/>
    </row>
    <row r="18726" spans="8:9">
      <c r="H18726" s="1358"/>
      <c r="I18726" s="1358"/>
    </row>
    <row r="18727" spans="8:9">
      <c r="H18727" s="1358"/>
      <c r="I18727" s="1358"/>
    </row>
    <row r="18728" spans="8:9">
      <c r="H18728" s="1358"/>
      <c r="I18728" s="1358"/>
    </row>
    <row r="18729" spans="8:9">
      <c r="H18729" s="1358"/>
      <c r="I18729" s="1358"/>
    </row>
    <row r="18730" spans="8:9">
      <c r="H18730" s="1358"/>
      <c r="I18730" s="1358"/>
    </row>
    <row r="18731" spans="8:9">
      <c r="H18731" s="1358"/>
      <c r="I18731" s="1358"/>
    </row>
    <row r="18732" spans="8:9">
      <c r="H18732" s="1358"/>
      <c r="I18732" s="1358"/>
    </row>
    <row r="18733" spans="8:9">
      <c r="H18733" s="1358"/>
      <c r="I18733" s="1358"/>
    </row>
    <row r="18734" spans="8:9">
      <c r="H18734" s="1358"/>
      <c r="I18734" s="1358"/>
    </row>
    <row r="18735" spans="8:9">
      <c r="H18735" s="1358"/>
      <c r="I18735" s="1358"/>
    </row>
    <row r="18736" spans="8:9">
      <c r="H18736" s="1358"/>
      <c r="I18736" s="1358"/>
    </row>
    <row r="18737" spans="8:9">
      <c r="H18737" s="1358"/>
      <c r="I18737" s="1358"/>
    </row>
    <row r="18738" spans="8:9">
      <c r="H18738" s="1358"/>
      <c r="I18738" s="1358"/>
    </row>
    <row r="18739" spans="8:9">
      <c r="H18739" s="1358"/>
      <c r="I18739" s="1358"/>
    </row>
    <row r="18740" spans="8:9">
      <c r="H18740" s="1358"/>
      <c r="I18740" s="1358"/>
    </row>
    <row r="18741" spans="8:9">
      <c r="H18741" s="1358"/>
      <c r="I18741" s="1358"/>
    </row>
    <row r="18742" spans="8:9">
      <c r="H18742" s="1358"/>
      <c r="I18742" s="1358"/>
    </row>
    <row r="18743" spans="8:9">
      <c r="H18743" s="1358"/>
      <c r="I18743" s="1358"/>
    </row>
    <row r="18744" spans="8:9">
      <c r="H18744" s="1358"/>
      <c r="I18744" s="1358"/>
    </row>
    <row r="18745" spans="8:9">
      <c r="H18745" s="1358"/>
      <c r="I18745" s="1358"/>
    </row>
    <row r="18746" spans="8:9">
      <c r="H18746" s="1358"/>
      <c r="I18746" s="1358"/>
    </row>
    <row r="18747" spans="8:9">
      <c r="H18747" s="1358"/>
      <c r="I18747" s="1358"/>
    </row>
    <row r="18748" spans="8:9">
      <c r="H18748" s="1358"/>
      <c r="I18748" s="1358"/>
    </row>
    <row r="18749" spans="8:9">
      <c r="H18749" s="1358"/>
      <c r="I18749" s="1358"/>
    </row>
    <row r="18750" spans="8:9">
      <c r="H18750" s="1358"/>
      <c r="I18750" s="1358"/>
    </row>
    <row r="18751" spans="8:9">
      <c r="H18751" s="1358"/>
      <c r="I18751" s="1358"/>
    </row>
    <row r="18752" spans="8:9">
      <c r="H18752" s="1358"/>
      <c r="I18752" s="1358"/>
    </row>
    <row r="18753" spans="8:9">
      <c r="H18753" s="1358"/>
      <c r="I18753" s="1358"/>
    </row>
    <row r="18754" spans="8:9">
      <c r="H18754" s="1358"/>
      <c r="I18754" s="1358"/>
    </row>
    <row r="18755" spans="8:9">
      <c r="H18755" s="1358"/>
      <c r="I18755" s="1358"/>
    </row>
    <row r="18756" spans="8:9">
      <c r="H18756" s="1358"/>
      <c r="I18756" s="1358"/>
    </row>
    <row r="18757" spans="8:9">
      <c r="H18757" s="1358"/>
      <c r="I18757" s="1358"/>
    </row>
    <row r="18758" spans="8:9">
      <c r="H18758" s="1358"/>
      <c r="I18758" s="1358"/>
    </row>
    <row r="18759" spans="8:9">
      <c r="H18759" s="1358"/>
      <c r="I18759" s="1358"/>
    </row>
    <row r="18760" spans="8:9">
      <c r="H18760" s="1358"/>
      <c r="I18760" s="1358"/>
    </row>
    <row r="18761" spans="8:9">
      <c r="H18761" s="1358"/>
      <c r="I18761" s="1358"/>
    </row>
    <row r="18762" spans="8:9">
      <c r="H18762" s="1358"/>
      <c r="I18762" s="1358"/>
    </row>
    <row r="18763" spans="8:9">
      <c r="H18763" s="1358"/>
      <c r="I18763" s="1358"/>
    </row>
    <row r="18764" spans="8:9">
      <c r="H18764" s="1358"/>
      <c r="I18764" s="1358"/>
    </row>
    <row r="18765" spans="8:9">
      <c r="H18765" s="1358"/>
      <c r="I18765" s="1358"/>
    </row>
    <row r="18766" spans="8:9">
      <c r="H18766" s="1358"/>
      <c r="I18766" s="1358"/>
    </row>
    <row r="18767" spans="8:9">
      <c r="H18767" s="1358"/>
      <c r="I18767" s="1358"/>
    </row>
    <row r="18768" spans="8:9">
      <c r="H18768" s="1358"/>
      <c r="I18768" s="1358"/>
    </row>
    <row r="18769" spans="8:9">
      <c r="H18769" s="1358"/>
      <c r="I18769" s="1358"/>
    </row>
    <row r="18770" spans="8:9">
      <c r="H18770" s="1358"/>
      <c r="I18770" s="1358"/>
    </row>
    <row r="18771" spans="8:9">
      <c r="H18771" s="1358"/>
      <c r="I18771" s="1358"/>
    </row>
    <row r="18772" spans="8:9">
      <c r="H18772" s="1358"/>
      <c r="I18772" s="1358"/>
    </row>
    <row r="18773" spans="8:9">
      <c r="H18773" s="1358"/>
      <c r="I18773" s="1358"/>
    </row>
    <row r="18774" spans="8:9">
      <c r="H18774" s="1358"/>
      <c r="I18774" s="1358"/>
    </row>
    <row r="18775" spans="8:9">
      <c r="H18775" s="1358"/>
      <c r="I18775" s="1358"/>
    </row>
    <row r="18776" spans="8:9">
      <c r="H18776" s="1358"/>
      <c r="I18776" s="1358"/>
    </row>
    <row r="18777" spans="8:9">
      <c r="H18777" s="1358"/>
      <c r="I18777" s="1358"/>
    </row>
    <row r="18778" spans="8:9">
      <c r="H18778" s="1358"/>
      <c r="I18778" s="1358"/>
    </row>
    <row r="18779" spans="8:9">
      <c r="H18779" s="1358"/>
      <c r="I18779" s="1358"/>
    </row>
    <row r="18780" spans="8:9">
      <c r="H18780" s="1358"/>
      <c r="I18780" s="1358"/>
    </row>
    <row r="18781" spans="8:9">
      <c r="H18781" s="1358"/>
      <c r="I18781" s="1358"/>
    </row>
    <row r="18782" spans="8:9">
      <c r="H18782" s="1358"/>
      <c r="I18782" s="1358"/>
    </row>
    <row r="18783" spans="8:9">
      <c r="H18783" s="1358"/>
      <c r="I18783" s="1358"/>
    </row>
    <row r="18784" spans="8:9">
      <c r="H18784" s="1358"/>
      <c r="I18784" s="1358"/>
    </row>
    <row r="18785" spans="8:9">
      <c r="H18785" s="1358"/>
      <c r="I18785" s="1358"/>
    </row>
    <row r="18786" spans="8:9">
      <c r="H18786" s="1358"/>
      <c r="I18786" s="1358"/>
    </row>
    <row r="18787" spans="8:9">
      <c r="H18787" s="1358"/>
      <c r="I18787" s="1358"/>
    </row>
    <row r="18788" spans="8:9">
      <c r="H18788" s="1358"/>
      <c r="I18788" s="1358"/>
    </row>
    <row r="18789" spans="8:9">
      <c r="H18789" s="1358"/>
      <c r="I18789" s="1358"/>
    </row>
    <row r="18790" spans="8:9">
      <c r="H18790" s="1358"/>
      <c r="I18790" s="1358"/>
    </row>
    <row r="18791" spans="8:9">
      <c r="H18791" s="1358"/>
      <c r="I18791" s="1358"/>
    </row>
    <row r="18792" spans="8:9">
      <c r="H18792" s="1358"/>
      <c r="I18792" s="1358"/>
    </row>
    <row r="18793" spans="8:9">
      <c r="H18793" s="1358"/>
      <c r="I18793" s="1358"/>
    </row>
    <row r="18794" spans="8:9">
      <c r="H18794" s="1358"/>
      <c r="I18794" s="1358"/>
    </row>
    <row r="18795" spans="8:9">
      <c r="H18795" s="1358"/>
      <c r="I18795" s="1358"/>
    </row>
    <row r="18796" spans="8:9">
      <c r="H18796" s="1358"/>
      <c r="I18796" s="1358"/>
    </row>
    <row r="18797" spans="8:9">
      <c r="H18797" s="1358"/>
      <c r="I18797" s="1358"/>
    </row>
    <row r="18798" spans="8:9">
      <c r="H18798" s="1358"/>
      <c r="I18798" s="1358"/>
    </row>
    <row r="18799" spans="8:9">
      <c r="H18799" s="1358"/>
      <c r="I18799" s="1358"/>
    </row>
    <row r="18800" spans="8:9">
      <c r="H18800" s="1358"/>
      <c r="I18800" s="1358"/>
    </row>
    <row r="18801" spans="8:9">
      <c r="H18801" s="1358"/>
      <c r="I18801" s="1358"/>
    </row>
    <row r="18802" spans="8:9">
      <c r="H18802" s="1358"/>
      <c r="I18802" s="1358"/>
    </row>
    <row r="18803" spans="8:9">
      <c r="H18803" s="1358"/>
      <c r="I18803" s="1358"/>
    </row>
    <row r="18804" spans="8:9">
      <c r="H18804" s="1358"/>
      <c r="I18804" s="1358"/>
    </row>
    <row r="18805" spans="8:9">
      <c r="H18805" s="1358"/>
      <c r="I18805" s="1358"/>
    </row>
    <row r="18806" spans="8:9">
      <c r="H18806" s="1358"/>
      <c r="I18806" s="1358"/>
    </row>
    <row r="18807" spans="8:9">
      <c r="H18807" s="1358"/>
      <c r="I18807" s="1358"/>
    </row>
    <row r="18808" spans="8:9">
      <c r="H18808" s="1358"/>
      <c r="I18808" s="1358"/>
    </row>
    <row r="18809" spans="8:9">
      <c r="H18809" s="1358"/>
      <c r="I18809" s="1358"/>
    </row>
    <row r="18810" spans="8:9">
      <c r="H18810" s="1358"/>
      <c r="I18810" s="1358"/>
    </row>
    <row r="18811" spans="8:9">
      <c r="H18811" s="1358"/>
      <c r="I18811" s="1358"/>
    </row>
    <row r="18812" spans="8:9">
      <c r="H18812" s="1358"/>
      <c r="I18812" s="1358"/>
    </row>
    <row r="18813" spans="8:9">
      <c r="H18813" s="1358"/>
      <c r="I18813" s="1358"/>
    </row>
    <row r="18814" spans="8:9">
      <c r="H18814" s="1358"/>
      <c r="I18814" s="1358"/>
    </row>
    <row r="18815" spans="8:9">
      <c r="H18815" s="1358"/>
      <c r="I18815" s="1358"/>
    </row>
    <row r="18816" spans="8:9">
      <c r="H18816" s="1358"/>
      <c r="I18816" s="1358"/>
    </row>
    <row r="18817" spans="8:9">
      <c r="H18817" s="1358"/>
      <c r="I18817" s="1358"/>
    </row>
    <row r="18818" spans="8:9">
      <c r="H18818" s="1358"/>
      <c r="I18818" s="1358"/>
    </row>
    <row r="18819" spans="8:9">
      <c r="H18819" s="1358"/>
      <c r="I18819" s="1358"/>
    </row>
    <row r="18820" spans="8:9">
      <c r="H18820" s="1358"/>
      <c r="I18820" s="1358"/>
    </row>
    <row r="18821" spans="8:9">
      <c r="H18821" s="1358"/>
      <c r="I18821" s="1358"/>
    </row>
    <row r="18822" spans="8:9">
      <c r="H18822" s="1358"/>
      <c r="I18822" s="1358"/>
    </row>
    <row r="18823" spans="8:9">
      <c r="H18823" s="1358"/>
      <c r="I18823" s="1358"/>
    </row>
    <row r="18824" spans="8:9">
      <c r="H18824" s="1358"/>
      <c r="I18824" s="1358"/>
    </row>
    <row r="18825" spans="8:9">
      <c r="H18825" s="1358"/>
      <c r="I18825" s="1358"/>
    </row>
    <row r="18826" spans="8:9">
      <c r="H18826" s="1358"/>
      <c r="I18826" s="1358"/>
    </row>
    <row r="18827" spans="8:9">
      <c r="H18827" s="1358"/>
      <c r="I18827" s="1358"/>
    </row>
    <row r="18828" spans="8:9">
      <c r="H18828" s="1358"/>
      <c r="I18828" s="1358"/>
    </row>
    <row r="18829" spans="8:9">
      <c r="H18829" s="1358"/>
      <c r="I18829" s="1358"/>
    </row>
    <row r="18830" spans="8:9">
      <c r="H18830" s="1358"/>
      <c r="I18830" s="1358"/>
    </row>
    <row r="18831" spans="8:9">
      <c r="H18831" s="1358"/>
      <c r="I18831" s="1358"/>
    </row>
    <row r="18832" spans="8:9">
      <c r="H18832" s="1358"/>
      <c r="I18832" s="1358"/>
    </row>
    <row r="18833" spans="8:9">
      <c r="H18833" s="1358"/>
      <c r="I18833" s="1358"/>
    </row>
    <row r="18834" spans="8:9">
      <c r="H18834" s="1358"/>
      <c r="I18834" s="1358"/>
    </row>
    <row r="18835" spans="8:9">
      <c r="H18835" s="1358"/>
      <c r="I18835" s="1358"/>
    </row>
    <row r="18836" spans="8:9">
      <c r="H18836" s="1358"/>
      <c r="I18836" s="1358"/>
    </row>
    <row r="18837" spans="8:9">
      <c r="H18837" s="1358"/>
      <c r="I18837" s="1358"/>
    </row>
    <row r="18838" spans="8:9">
      <c r="H18838" s="1358"/>
      <c r="I18838" s="1358"/>
    </row>
    <row r="18839" spans="8:9">
      <c r="H18839" s="1358"/>
      <c r="I18839" s="1358"/>
    </row>
    <row r="18840" spans="8:9">
      <c r="H18840" s="1358"/>
      <c r="I18840" s="1358"/>
    </row>
    <row r="18841" spans="8:9">
      <c r="H18841" s="1358"/>
      <c r="I18841" s="1358"/>
    </row>
    <row r="18842" spans="8:9">
      <c r="H18842" s="1358"/>
      <c r="I18842" s="1358"/>
    </row>
    <row r="18843" spans="8:9">
      <c r="H18843" s="1358"/>
      <c r="I18843" s="1358"/>
    </row>
    <row r="18844" spans="8:9">
      <c r="H18844" s="1358"/>
      <c r="I18844" s="1358"/>
    </row>
    <row r="18845" spans="8:9">
      <c r="H18845" s="1358"/>
      <c r="I18845" s="1358"/>
    </row>
    <row r="18846" spans="8:9">
      <c r="H18846" s="1358"/>
      <c r="I18846" s="1358"/>
    </row>
    <row r="18847" spans="8:9">
      <c r="H18847" s="1358"/>
      <c r="I18847" s="1358"/>
    </row>
    <row r="18848" spans="8:9">
      <c r="H18848" s="1358"/>
      <c r="I18848" s="1358"/>
    </row>
    <row r="18849" spans="8:9">
      <c r="H18849" s="1358"/>
      <c r="I18849" s="1358"/>
    </row>
    <row r="18850" spans="8:9">
      <c r="H18850" s="1358"/>
      <c r="I18850" s="1358"/>
    </row>
    <row r="18851" spans="8:9">
      <c r="H18851" s="1358"/>
      <c r="I18851" s="1358"/>
    </row>
    <row r="18852" spans="8:9">
      <c r="H18852" s="1358"/>
      <c r="I18852" s="1358"/>
    </row>
    <row r="18853" spans="8:9">
      <c r="H18853" s="1358"/>
      <c r="I18853" s="1358"/>
    </row>
    <row r="18854" spans="8:9">
      <c r="H18854" s="1358"/>
      <c r="I18854" s="1358"/>
    </row>
    <row r="18855" spans="8:9">
      <c r="H18855" s="1358"/>
      <c r="I18855" s="1358"/>
    </row>
    <row r="18856" spans="8:9">
      <c r="H18856" s="1358"/>
      <c r="I18856" s="1358"/>
    </row>
    <row r="18857" spans="8:9">
      <c r="H18857" s="1358"/>
      <c r="I18857" s="1358"/>
    </row>
    <row r="18858" spans="8:9">
      <c r="H18858" s="1358"/>
      <c r="I18858" s="1358"/>
    </row>
    <row r="18859" spans="8:9">
      <c r="H18859" s="1358"/>
      <c r="I18859" s="1358"/>
    </row>
    <row r="18860" spans="8:9">
      <c r="H18860" s="1358"/>
      <c r="I18860" s="1358"/>
    </row>
    <row r="18861" spans="8:9">
      <c r="H18861" s="1358"/>
      <c r="I18861" s="1358"/>
    </row>
    <row r="18862" spans="8:9">
      <c r="H18862" s="1358"/>
      <c r="I18862" s="1358"/>
    </row>
    <row r="18863" spans="8:9">
      <c r="H18863" s="1358"/>
      <c r="I18863" s="1358"/>
    </row>
    <row r="18864" spans="8:9">
      <c r="H18864" s="1358"/>
      <c r="I18864" s="1358"/>
    </row>
    <row r="18865" spans="8:9">
      <c r="H18865" s="1358"/>
      <c r="I18865" s="1358"/>
    </row>
    <row r="18866" spans="8:9">
      <c r="H18866" s="1358"/>
      <c r="I18866" s="1358"/>
    </row>
    <row r="18867" spans="8:9">
      <c r="H18867" s="1358"/>
      <c r="I18867" s="1358"/>
    </row>
    <row r="18868" spans="8:9">
      <c r="H18868" s="1358"/>
      <c r="I18868" s="1358"/>
    </row>
    <row r="18869" spans="8:9">
      <c r="H18869" s="1358"/>
      <c r="I18869" s="1358"/>
    </row>
    <row r="18870" spans="8:9">
      <c r="H18870" s="1358"/>
      <c r="I18870" s="1358"/>
    </row>
    <row r="18871" spans="8:9">
      <c r="H18871" s="1358"/>
      <c r="I18871" s="1358"/>
    </row>
    <row r="18872" spans="8:9">
      <c r="H18872" s="1358"/>
      <c r="I18872" s="1358"/>
    </row>
    <row r="18873" spans="8:9">
      <c r="H18873" s="1358"/>
      <c r="I18873" s="1358"/>
    </row>
    <row r="18874" spans="8:9">
      <c r="H18874" s="1358"/>
      <c r="I18874" s="1358"/>
    </row>
    <row r="18875" spans="8:9">
      <c r="H18875" s="1358"/>
      <c r="I18875" s="1358"/>
    </row>
    <row r="18876" spans="8:9">
      <c r="H18876" s="1358"/>
      <c r="I18876" s="1358"/>
    </row>
    <row r="18877" spans="8:9">
      <c r="H18877" s="1358"/>
      <c r="I18877" s="1358"/>
    </row>
    <row r="18878" spans="8:9">
      <c r="H18878" s="1358"/>
      <c r="I18878" s="1358"/>
    </row>
    <row r="18879" spans="8:9">
      <c r="H18879" s="1358"/>
      <c r="I18879" s="1358"/>
    </row>
    <row r="18880" spans="8:9">
      <c r="H18880" s="1358"/>
      <c r="I18880" s="1358"/>
    </row>
    <row r="18881" spans="8:9">
      <c r="H18881" s="1358"/>
      <c r="I18881" s="1358"/>
    </row>
    <row r="18882" spans="8:9">
      <c r="H18882" s="1358"/>
      <c r="I18882" s="1358"/>
    </row>
    <row r="18883" spans="8:9">
      <c r="H18883" s="1358"/>
      <c r="I18883" s="1358"/>
    </row>
    <row r="18884" spans="8:9">
      <c r="H18884" s="1358"/>
      <c r="I18884" s="1358"/>
    </row>
    <row r="18885" spans="8:9">
      <c r="H18885" s="1358"/>
      <c r="I18885" s="1358"/>
    </row>
    <row r="18886" spans="8:9">
      <c r="H18886" s="1358"/>
      <c r="I18886" s="1358"/>
    </row>
    <row r="18887" spans="8:9">
      <c r="H18887" s="1358"/>
      <c r="I18887" s="1358"/>
    </row>
    <row r="18888" spans="8:9">
      <c r="H18888" s="1358"/>
      <c r="I18888" s="1358"/>
    </row>
    <row r="18889" spans="8:9">
      <c r="H18889" s="1358"/>
      <c r="I18889" s="1358"/>
    </row>
    <row r="18890" spans="8:9">
      <c r="H18890" s="1358"/>
      <c r="I18890" s="1358"/>
    </row>
    <row r="18891" spans="8:9">
      <c r="H18891" s="1358"/>
      <c r="I18891" s="1358"/>
    </row>
    <row r="18892" spans="8:9">
      <c r="H18892" s="1358"/>
      <c r="I18892" s="1358"/>
    </row>
    <row r="18893" spans="8:9">
      <c r="H18893" s="1358"/>
      <c r="I18893" s="1358"/>
    </row>
    <row r="18894" spans="8:9">
      <c r="H18894" s="1358"/>
      <c r="I18894" s="1358"/>
    </row>
    <row r="18895" spans="8:9">
      <c r="H18895" s="1358"/>
      <c r="I18895" s="1358"/>
    </row>
    <row r="18896" spans="8:9">
      <c r="H18896" s="1358"/>
      <c r="I18896" s="1358"/>
    </row>
    <row r="18897" spans="8:9">
      <c r="H18897" s="1358"/>
      <c r="I18897" s="1358"/>
    </row>
    <row r="18898" spans="8:9">
      <c r="H18898" s="1358"/>
      <c r="I18898" s="1358"/>
    </row>
    <row r="18899" spans="8:9">
      <c r="H18899" s="1358"/>
      <c r="I18899" s="1358"/>
    </row>
    <row r="18900" spans="8:9">
      <c r="H18900" s="1358"/>
      <c r="I18900" s="1358"/>
    </row>
    <row r="18901" spans="8:9">
      <c r="H18901" s="1358"/>
      <c r="I18901" s="1358"/>
    </row>
    <row r="18902" spans="8:9">
      <c r="H18902" s="1358"/>
      <c r="I18902" s="1358"/>
    </row>
    <row r="18903" spans="8:9">
      <c r="H18903" s="1358"/>
      <c r="I18903" s="1358"/>
    </row>
    <row r="18904" spans="8:9">
      <c r="H18904" s="1358"/>
      <c r="I18904" s="1358"/>
    </row>
    <row r="18905" spans="8:9">
      <c r="H18905" s="1358"/>
      <c r="I18905" s="1358"/>
    </row>
    <row r="18906" spans="8:9">
      <c r="H18906" s="1358"/>
      <c r="I18906" s="1358"/>
    </row>
    <row r="18907" spans="8:9">
      <c r="H18907" s="1358"/>
      <c r="I18907" s="1358"/>
    </row>
    <row r="18908" spans="8:9">
      <c r="H18908" s="1358"/>
      <c r="I18908" s="1358"/>
    </row>
    <row r="18909" spans="8:9">
      <c r="H18909" s="1358"/>
      <c r="I18909" s="1358"/>
    </row>
    <row r="18910" spans="8:9">
      <c r="H18910" s="1358"/>
      <c r="I18910" s="1358"/>
    </row>
    <row r="18911" spans="8:9">
      <c r="H18911" s="1358"/>
      <c r="I18911" s="1358"/>
    </row>
    <row r="18912" spans="8:9">
      <c r="H18912" s="1358"/>
      <c r="I18912" s="1358"/>
    </row>
    <row r="18913" spans="8:9">
      <c r="H18913" s="1358"/>
      <c r="I18913" s="1358"/>
    </row>
    <row r="18914" spans="8:9">
      <c r="H18914" s="1358"/>
      <c r="I18914" s="1358"/>
    </row>
    <row r="18915" spans="8:9">
      <c r="H18915" s="1358"/>
      <c r="I18915" s="1358"/>
    </row>
    <row r="18916" spans="8:9">
      <c r="H18916" s="1358"/>
      <c r="I18916" s="1358"/>
    </row>
    <row r="18917" spans="8:9">
      <c r="H18917" s="1358"/>
      <c r="I18917" s="1358"/>
    </row>
    <row r="18918" spans="8:9">
      <c r="H18918" s="1358"/>
      <c r="I18918" s="1358"/>
    </row>
    <row r="18919" spans="8:9">
      <c r="H18919" s="1358"/>
      <c r="I18919" s="1358"/>
    </row>
    <row r="18920" spans="8:9">
      <c r="H18920" s="1358"/>
      <c r="I18920" s="1358"/>
    </row>
    <row r="18921" spans="8:9">
      <c r="H18921" s="1358"/>
      <c r="I18921" s="1358"/>
    </row>
    <row r="18922" spans="8:9">
      <c r="H18922" s="1358"/>
      <c r="I18922" s="1358"/>
    </row>
    <row r="18923" spans="8:9">
      <c r="H18923" s="1358"/>
      <c r="I18923" s="1358"/>
    </row>
    <row r="18924" spans="8:9">
      <c r="H18924" s="1358"/>
      <c r="I18924" s="1358"/>
    </row>
    <row r="18925" spans="8:9">
      <c r="H18925" s="1358"/>
      <c r="I18925" s="1358"/>
    </row>
    <row r="18926" spans="8:9">
      <c r="H18926" s="1358"/>
      <c r="I18926" s="1358"/>
    </row>
    <row r="18927" spans="8:9">
      <c r="H18927" s="1358"/>
      <c r="I18927" s="1358"/>
    </row>
    <row r="18928" spans="8:9">
      <c r="H18928" s="1358"/>
      <c r="I18928" s="1358"/>
    </row>
    <row r="18929" spans="8:9">
      <c r="H18929" s="1358"/>
      <c r="I18929" s="1358"/>
    </row>
    <row r="18930" spans="8:9">
      <c r="H18930" s="1358"/>
      <c r="I18930" s="1358"/>
    </row>
    <row r="18931" spans="8:9">
      <c r="H18931" s="1358"/>
      <c r="I18931" s="1358"/>
    </row>
    <row r="18932" spans="8:9">
      <c r="H18932" s="1358"/>
      <c r="I18932" s="1358"/>
    </row>
    <row r="18933" spans="8:9">
      <c r="H18933" s="1358"/>
      <c r="I18933" s="1358"/>
    </row>
    <row r="18934" spans="8:9">
      <c r="H18934" s="1358"/>
      <c r="I18934" s="1358"/>
    </row>
    <row r="18935" spans="8:9">
      <c r="H18935" s="1358"/>
      <c r="I18935" s="1358"/>
    </row>
    <row r="18936" spans="8:9">
      <c r="H18936" s="1358"/>
      <c r="I18936" s="1358"/>
    </row>
    <row r="18937" spans="8:9">
      <c r="H18937" s="1358"/>
      <c r="I18937" s="1358"/>
    </row>
    <row r="18938" spans="8:9">
      <c r="H18938" s="1358"/>
      <c r="I18938" s="1358"/>
    </row>
    <row r="18939" spans="8:9">
      <c r="H18939" s="1358"/>
      <c r="I18939" s="1358"/>
    </row>
    <row r="18940" spans="8:9">
      <c r="H18940" s="1358"/>
      <c r="I18940" s="1358"/>
    </row>
    <row r="18941" spans="8:9">
      <c r="H18941" s="1358"/>
      <c r="I18941" s="1358"/>
    </row>
    <row r="18942" spans="8:9">
      <c r="H18942" s="1358"/>
      <c r="I18942" s="1358"/>
    </row>
    <row r="18943" spans="8:9">
      <c r="H18943" s="1358"/>
      <c r="I18943" s="1358"/>
    </row>
    <row r="18944" spans="8:9">
      <c r="H18944" s="1358"/>
      <c r="I18944" s="1358"/>
    </row>
    <row r="18945" spans="8:9">
      <c r="H18945" s="1358"/>
      <c r="I18945" s="1358"/>
    </row>
    <row r="18946" spans="8:9">
      <c r="H18946" s="1358"/>
      <c r="I18946" s="1358"/>
    </row>
    <row r="18947" spans="8:9">
      <c r="H18947" s="1358"/>
      <c r="I18947" s="1358"/>
    </row>
    <row r="18948" spans="8:9">
      <c r="H18948" s="1358"/>
      <c r="I18948" s="1358"/>
    </row>
    <row r="18949" spans="8:9">
      <c r="H18949" s="1358"/>
      <c r="I18949" s="1358"/>
    </row>
    <row r="18950" spans="8:9">
      <c r="H18950" s="1358"/>
      <c r="I18950" s="1358"/>
    </row>
    <row r="18951" spans="8:9">
      <c r="H18951" s="1358"/>
      <c r="I18951" s="1358"/>
    </row>
    <row r="18952" spans="8:9">
      <c r="H18952" s="1358"/>
      <c r="I18952" s="1358"/>
    </row>
    <row r="18953" spans="8:9">
      <c r="H18953" s="1358"/>
      <c r="I18953" s="1358"/>
    </row>
    <row r="18954" spans="8:9">
      <c r="H18954" s="1358"/>
      <c r="I18954" s="1358"/>
    </row>
    <row r="18955" spans="8:9">
      <c r="H18955" s="1358"/>
      <c r="I18955" s="1358"/>
    </row>
    <row r="18956" spans="8:9">
      <c r="H18956" s="1358"/>
      <c r="I18956" s="1358"/>
    </row>
    <row r="18957" spans="8:9">
      <c r="H18957" s="1358"/>
      <c r="I18957" s="1358"/>
    </row>
    <row r="18958" spans="8:9">
      <c r="H18958" s="1358"/>
      <c r="I18958" s="1358"/>
    </row>
    <row r="18959" spans="8:9">
      <c r="H18959" s="1358"/>
      <c r="I18959" s="1358"/>
    </row>
    <row r="18960" spans="8:9">
      <c r="H18960" s="1358"/>
      <c r="I18960" s="1358"/>
    </row>
    <row r="18961" spans="8:9">
      <c r="H18961" s="1358"/>
      <c r="I18961" s="1358"/>
    </row>
    <row r="18962" spans="8:9">
      <c r="H18962" s="1358"/>
      <c r="I18962" s="1358"/>
    </row>
    <row r="18963" spans="8:9">
      <c r="H18963" s="1358"/>
      <c r="I18963" s="1358"/>
    </row>
    <row r="18964" spans="8:9">
      <c r="H18964" s="1358"/>
      <c r="I18964" s="1358"/>
    </row>
    <row r="18965" spans="8:9">
      <c r="H18965" s="1358"/>
      <c r="I18965" s="1358"/>
    </row>
    <row r="18966" spans="8:9">
      <c r="H18966" s="1358"/>
      <c r="I18966" s="1358"/>
    </row>
    <row r="18967" spans="8:9">
      <c r="H18967" s="1358"/>
      <c r="I18967" s="1358"/>
    </row>
    <row r="18968" spans="8:9">
      <c r="H18968" s="1358"/>
      <c r="I18968" s="1358"/>
    </row>
    <row r="18969" spans="8:9">
      <c r="H18969" s="1358"/>
      <c r="I18969" s="1358"/>
    </row>
    <row r="18970" spans="8:9">
      <c r="H18970" s="1358"/>
      <c r="I18970" s="1358"/>
    </row>
    <row r="18971" spans="8:9">
      <c r="H18971" s="1358"/>
      <c r="I18971" s="1358"/>
    </row>
    <row r="18972" spans="8:9">
      <c r="H18972" s="1358"/>
      <c r="I18972" s="1358"/>
    </row>
    <row r="18973" spans="8:9">
      <c r="H18973" s="1358"/>
      <c r="I18973" s="1358"/>
    </row>
    <row r="18974" spans="8:9">
      <c r="H18974" s="1358"/>
      <c r="I18974" s="1358"/>
    </row>
    <row r="18975" spans="8:9">
      <c r="H18975" s="1358"/>
      <c r="I18975" s="1358"/>
    </row>
    <row r="18976" spans="8:9">
      <c r="H18976" s="1358"/>
      <c r="I18976" s="1358"/>
    </row>
    <row r="18977" spans="8:9">
      <c r="H18977" s="1358"/>
      <c r="I18977" s="1358"/>
    </row>
    <row r="18978" spans="8:9">
      <c r="H18978" s="1358"/>
      <c r="I18978" s="1358"/>
    </row>
    <row r="18979" spans="8:9">
      <c r="H18979" s="1358"/>
      <c r="I18979" s="1358"/>
    </row>
    <row r="18980" spans="8:9">
      <c r="H18980" s="1358"/>
      <c r="I18980" s="1358"/>
    </row>
    <row r="18981" spans="8:9">
      <c r="H18981" s="1358"/>
      <c r="I18981" s="1358"/>
    </row>
    <row r="18982" spans="8:9">
      <c r="H18982" s="1358"/>
      <c r="I18982" s="1358"/>
    </row>
    <row r="18983" spans="8:9">
      <c r="H18983" s="1358"/>
      <c r="I18983" s="1358"/>
    </row>
    <row r="18984" spans="8:9">
      <c r="H18984" s="1358"/>
      <c r="I18984" s="1358"/>
    </row>
    <row r="18985" spans="8:9">
      <c r="H18985" s="1358"/>
      <c r="I18985" s="1358"/>
    </row>
    <row r="18986" spans="8:9">
      <c r="H18986" s="1358"/>
      <c r="I18986" s="1358"/>
    </row>
    <row r="18987" spans="8:9">
      <c r="H18987" s="1358"/>
      <c r="I18987" s="1358"/>
    </row>
    <row r="18988" spans="8:9">
      <c r="H18988" s="1358"/>
      <c r="I18988" s="1358"/>
    </row>
    <row r="18989" spans="8:9">
      <c r="H18989" s="1358"/>
      <c r="I18989" s="1358"/>
    </row>
    <row r="18990" spans="8:9">
      <c r="H18990" s="1358"/>
      <c r="I18990" s="1358"/>
    </row>
    <row r="18991" spans="8:9">
      <c r="H18991" s="1358"/>
      <c r="I18991" s="1358"/>
    </row>
    <row r="18992" spans="8:9">
      <c r="H18992" s="1358"/>
      <c r="I18992" s="1358"/>
    </row>
    <row r="18993" spans="8:9">
      <c r="H18993" s="1358"/>
      <c r="I18993" s="1358"/>
    </row>
    <row r="18994" spans="8:9">
      <c r="H18994" s="1358"/>
      <c r="I18994" s="1358"/>
    </row>
    <row r="18995" spans="8:9">
      <c r="H18995" s="1358"/>
      <c r="I18995" s="1358"/>
    </row>
    <row r="18996" spans="8:9">
      <c r="H18996" s="1358"/>
      <c r="I18996" s="1358"/>
    </row>
    <row r="18997" spans="8:9">
      <c r="H18997" s="1358"/>
      <c r="I18997" s="1358"/>
    </row>
    <row r="18998" spans="8:9">
      <c r="H18998" s="1358"/>
      <c r="I18998" s="1358"/>
    </row>
    <row r="18999" spans="8:9">
      <c r="H18999" s="1358"/>
      <c r="I18999" s="1358"/>
    </row>
    <row r="19000" spans="8:9">
      <c r="H19000" s="1358"/>
      <c r="I19000" s="1358"/>
    </row>
    <row r="19001" spans="8:9">
      <c r="H19001" s="1358"/>
      <c r="I19001" s="1358"/>
    </row>
    <row r="19002" spans="8:9">
      <c r="H19002" s="1358"/>
      <c r="I19002" s="1358"/>
    </row>
    <row r="19003" spans="8:9">
      <c r="H19003" s="1358"/>
      <c r="I19003" s="1358"/>
    </row>
    <row r="19004" spans="8:9">
      <c r="H19004" s="1358"/>
      <c r="I19004" s="1358"/>
    </row>
    <row r="19005" spans="8:9">
      <c r="H19005" s="1358"/>
      <c r="I19005" s="1358"/>
    </row>
    <row r="19006" spans="8:9">
      <c r="H19006" s="1358"/>
      <c r="I19006" s="1358"/>
    </row>
    <row r="19007" spans="8:9">
      <c r="H19007" s="1358"/>
      <c r="I19007" s="1358"/>
    </row>
    <row r="19008" spans="8:9">
      <c r="H19008" s="1358"/>
      <c r="I19008" s="1358"/>
    </row>
    <row r="19009" spans="8:9">
      <c r="H19009" s="1358"/>
      <c r="I19009" s="1358"/>
    </row>
    <row r="19010" spans="8:9">
      <c r="H19010" s="1358"/>
      <c r="I19010" s="1358"/>
    </row>
    <row r="19011" spans="8:9">
      <c r="H19011" s="1358"/>
      <c r="I19011" s="1358"/>
    </row>
    <row r="19012" spans="8:9">
      <c r="H19012" s="1358"/>
      <c r="I19012" s="1358"/>
    </row>
    <row r="19013" spans="8:9">
      <c r="H19013" s="1358"/>
      <c r="I19013" s="1358"/>
    </row>
    <row r="19014" spans="8:9">
      <c r="H19014" s="1358"/>
      <c r="I19014" s="1358"/>
    </row>
    <row r="19015" spans="8:9">
      <c r="H19015" s="1358"/>
      <c r="I19015" s="1358"/>
    </row>
    <row r="19016" spans="8:9">
      <c r="H19016" s="1358"/>
      <c r="I19016" s="1358"/>
    </row>
    <row r="19017" spans="8:9">
      <c r="H19017" s="1358"/>
      <c r="I19017" s="1358"/>
    </row>
    <row r="19018" spans="8:9">
      <c r="H19018" s="1358"/>
      <c r="I19018" s="1358"/>
    </row>
    <row r="19019" spans="8:9">
      <c r="H19019" s="1358"/>
      <c r="I19019" s="1358"/>
    </row>
    <row r="19020" spans="8:9">
      <c r="H19020" s="1358"/>
      <c r="I19020" s="1358"/>
    </row>
    <row r="19021" spans="8:9">
      <c r="H19021" s="1358"/>
      <c r="I19021" s="1358"/>
    </row>
    <row r="19022" spans="8:9">
      <c r="H19022" s="1358"/>
      <c r="I19022" s="1358"/>
    </row>
    <row r="19023" spans="8:9">
      <c r="H19023" s="1358"/>
      <c r="I19023" s="1358"/>
    </row>
    <row r="19024" spans="8:9">
      <c r="H19024" s="1358"/>
      <c r="I19024" s="1358"/>
    </row>
    <row r="19025" spans="8:9">
      <c r="H19025" s="1358"/>
      <c r="I19025" s="1358"/>
    </row>
    <row r="19026" spans="8:9">
      <c r="H19026" s="1358"/>
      <c r="I19026" s="1358"/>
    </row>
    <row r="19027" spans="8:9">
      <c r="H19027" s="1358"/>
      <c r="I19027" s="1358"/>
    </row>
    <row r="19028" spans="8:9">
      <c r="H19028" s="1358"/>
      <c r="I19028" s="1358"/>
    </row>
    <row r="19029" spans="8:9">
      <c r="H19029" s="1358"/>
      <c r="I19029" s="1358"/>
    </row>
    <row r="19030" spans="8:9">
      <c r="H19030" s="1358"/>
      <c r="I19030" s="1358"/>
    </row>
    <row r="19031" spans="8:9">
      <c r="H19031" s="1358"/>
      <c r="I19031" s="1358"/>
    </row>
    <row r="19032" spans="8:9">
      <c r="H19032" s="1358"/>
      <c r="I19032" s="1358"/>
    </row>
    <row r="19033" spans="8:9">
      <c r="H19033" s="1358"/>
      <c r="I19033" s="1358"/>
    </row>
    <row r="19034" spans="8:9">
      <c r="H19034" s="1358"/>
      <c r="I19034" s="1358"/>
    </row>
    <row r="19035" spans="8:9">
      <c r="H19035" s="1358"/>
      <c r="I19035" s="1358"/>
    </row>
    <row r="19036" spans="8:9">
      <c r="H19036" s="1358"/>
      <c r="I19036" s="1358"/>
    </row>
    <row r="19037" spans="8:9">
      <c r="H19037" s="1358"/>
      <c r="I19037" s="1358"/>
    </row>
    <row r="19038" spans="8:9">
      <c r="H19038" s="1358"/>
      <c r="I19038" s="1358"/>
    </row>
    <row r="19039" spans="8:9">
      <c r="H19039" s="1358"/>
      <c r="I19039" s="1358"/>
    </row>
    <row r="19040" spans="8:9">
      <c r="H19040" s="1358"/>
      <c r="I19040" s="1358"/>
    </row>
    <row r="19041" spans="8:9">
      <c r="H19041" s="1358"/>
      <c r="I19041" s="1358"/>
    </row>
    <row r="19042" spans="8:9">
      <c r="H19042" s="1358"/>
      <c r="I19042" s="1358"/>
    </row>
    <row r="19043" spans="8:9">
      <c r="H19043" s="1358"/>
      <c r="I19043" s="1358"/>
    </row>
    <row r="19044" spans="8:9">
      <c r="H19044" s="1358"/>
      <c r="I19044" s="1358"/>
    </row>
    <row r="19045" spans="8:9">
      <c r="H19045" s="1358"/>
      <c r="I19045" s="1358"/>
    </row>
    <row r="19046" spans="8:9">
      <c r="H19046" s="1358"/>
      <c r="I19046" s="1358"/>
    </row>
    <row r="19047" spans="8:9">
      <c r="H19047" s="1358"/>
      <c r="I19047" s="1358"/>
    </row>
    <row r="19048" spans="8:9">
      <c r="H19048" s="1358"/>
      <c r="I19048" s="1358"/>
    </row>
    <row r="19049" spans="8:9">
      <c r="H19049" s="1358"/>
      <c r="I19049" s="1358"/>
    </row>
    <row r="19050" spans="8:9">
      <c r="H19050" s="1358"/>
      <c r="I19050" s="1358"/>
    </row>
    <row r="19051" spans="8:9">
      <c r="H19051" s="1358"/>
      <c r="I19051" s="1358"/>
    </row>
    <row r="19052" spans="8:9">
      <c r="H19052" s="1358"/>
      <c r="I19052" s="1358"/>
    </row>
    <row r="19053" spans="8:9">
      <c r="H19053" s="1358"/>
      <c r="I19053" s="1358"/>
    </row>
    <row r="19054" spans="8:9">
      <c r="H19054" s="1358"/>
      <c r="I19054" s="1358"/>
    </row>
    <row r="19055" spans="8:9">
      <c r="H19055" s="1358"/>
      <c r="I19055" s="1358"/>
    </row>
    <row r="19056" spans="8:9">
      <c r="H19056" s="1358"/>
      <c r="I19056" s="1358"/>
    </row>
    <row r="19057" spans="8:9">
      <c r="H19057" s="1358"/>
      <c r="I19057" s="1358"/>
    </row>
    <row r="19058" spans="8:9">
      <c r="H19058" s="1358"/>
      <c r="I19058" s="1358"/>
    </row>
    <row r="19059" spans="8:9">
      <c r="H19059" s="1358"/>
      <c r="I19059" s="1358"/>
    </row>
    <row r="19060" spans="8:9">
      <c r="H19060" s="1358"/>
      <c r="I19060" s="1358"/>
    </row>
    <row r="19061" spans="8:9">
      <c r="H19061" s="1358"/>
      <c r="I19061" s="1358"/>
    </row>
    <row r="19062" spans="8:9">
      <c r="H19062" s="1358"/>
      <c r="I19062" s="1358"/>
    </row>
    <row r="19063" spans="8:9">
      <c r="H19063" s="1358"/>
      <c r="I19063" s="1358"/>
    </row>
    <row r="19064" spans="8:9">
      <c r="H19064" s="1358"/>
      <c r="I19064" s="1358"/>
    </row>
    <row r="19065" spans="8:9">
      <c r="H19065" s="1358"/>
      <c r="I19065" s="1358"/>
    </row>
    <row r="19066" spans="8:9">
      <c r="H19066" s="1358"/>
      <c r="I19066" s="1358"/>
    </row>
    <row r="19067" spans="8:9">
      <c r="H19067" s="1358"/>
      <c r="I19067" s="1358"/>
    </row>
    <row r="19068" spans="8:9">
      <c r="H19068" s="1358"/>
      <c r="I19068" s="1358"/>
    </row>
    <row r="19069" spans="8:9">
      <c r="H19069" s="1358"/>
      <c r="I19069" s="1358"/>
    </row>
    <row r="19070" spans="8:9">
      <c r="H19070" s="1358"/>
      <c r="I19070" s="1358"/>
    </row>
    <row r="19071" spans="8:9">
      <c r="H19071" s="1358"/>
      <c r="I19071" s="1358"/>
    </row>
    <row r="19072" spans="8:9">
      <c r="H19072" s="1358"/>
      <c r="I19072" s="1358"/>
    </row>
    <row r="19073" spans="8:9">
      <c r="H19073" s="1358"/>
      <c r="I19073" s="1358"/>
    </row>
    <row r="19074" spans="8:9">
      <c r="H19074" s="1358"/>
      <c r="I19074" s="1358"/>
    </row>
    <row r="19075" spans="8:9">
      <c r="H19075" s="1358"/>
      <c r="I19075" s="1358"/>
    </row>
    <row r="19076" spans="8:9">
      <c r="H19076" s="1358"/>
      <c r="I19076" s="1358"/>
    </row>
    <row r="19077" spans="8:9">
      <c r="H19077" s="1358"/>
      <c r="I19077" s="1358"/>
    </row>
    <row r="19078" spans="8:9">
      <c r="H19078" s="1358"/>
      <c r="I19078" s="1358"/>
    </row>
    <row r="19079" spans="8:9">
      <c r="H19079" s="1358"/>
      <c r="I19079" s="1358"/>
    </row>
    <row r="19080" spans="8:9">
      <c r="H19080" s="1358"/>
      <c r="I19080" s="1358"/>
    </row>
    <row r="19081" spans="8:9">
      <c r="H19081" s="1358"/>
      <c r="I19081" s="1358"/>
    </row>
    <row r="19082" spans="8:9">
      <c r="H19082" s="1358"/>
      <c r="I19082" s="1358"/>
    </row>
    <row r="19083" spans="8:9">
      <c r="H19083" s="1358"/>
      <c r="I19083" s="1358"/>
    </row>
    <row r="19084" spans="8:9">
      <c r="H19084" s="1358"/>
      <c r="I19084" s="1358"/>
    </row>
    <row r="19085" spans="8:9">
      <c r="H19085" s="1358"/>
      <c r="I19085" s="1358"/>
    </row>
    <row r="19086" spans="8:9">
      <c r="H19086" s="1358"/>
      <c r="I19086" s="1358"/>
    </row>
    <row r="19087" spans="8:9">
      <c r="H19087" s="1358"/>
      <c r="I19087" s="1358"/>
    </row>
    <row r="19088" spans="8:9">
      <c r="H19088" s="1358"/>
      <c r="I19088" s="1358"/>
    </row>
    <row r="19089" spans="8:9">
      <c r="H19089" s="1358"/>
      <c r="I19089" s="1358"/>
    </row>
    <row r="19090" spans="8:9">
      <c r="H19090" s="1358"/>
      <c r="I19090" s="1358"/>
    </row>
    <row r="19091" spans="8:9">
      <c r="H19091" s="1358"/>
      <c r="I19091" s="1358"/>
    </row>
    <row r="19092" spans="8:9">
      <c r="H19092" s="1358"/>
      <c r="I19092" s="1358"/>
    </row>
    <row r="19093" spans="8:9">
      <c r="H19093" s="1358"/>
      <c r="I19093" s="1358"/>
    </row>
    <row r="19094" spans="8:9">
      <c r="H19094" s="1358"/>
      <c r="I19094" s="1358"/>
    </row>
    <row r="19095" spans="8:9">
      <c r="H19095" s="1358"/>
      <c r="I19095" s="1358"/>
    </row>
    <row r="19096" spans="8:9">
      <c r="H19096" s="1358"/>
      <c r="I19096" s="1358"/>
    </row>
    <row r="19097" spans="8:9">
      <c r="H19097" s="1358"/>
      <c r="I19097" s="1358"/>
    </row>
    <row r="19098" spans="8:9">
      <c r="H19098" s="1358"/>
      <c r="I19098" s="1358"/>
    </row>
    <row r="19099" spans="8:9">
      <c r="H19099" s="1358"/>
      <c r="I19099" s="1358"/>
    </row>
    <row r="19100" spans="8:9">
      <c r="H19100" s="1358"/>
      <c r="I19100" s="1358"/>
    </row>
    <row r="19101" spans="8:9">
      <c r="H19101" s="1358"/>
      <c r="I19101" s="1358"/>
    </row>
    <row r="19102" spans="8:9">
      <c r="H19102" s="1358"/>
      <c r="I19102" s="1358"/>
    </row>
    <row r="19103" spans="8:9">
      <c r="H19103" s="1358"/>
      <c r="I19103" s="1358"/>
    </row>
    <row r="19104" spans="8:9">
      <c r="H19104" s="1358"/>
      <c r="I19104" s="1358"/>
    </row>
    <row r="19105" spans="8:9">
      <c r="H19105" s="1358"/>
      <c r="I19105" s="1358"/>
    </row>
    <row r="19106" spans="8:9">
      <c r="H19106" s="1358"/>
      <c r="I19106" s="1358"/>
    </row>
    <row r="19107" spans="8:9">
      <c r="H19107" s="1358"/>
      <c r="I19107" s="1358"/>
    </row>
    <row r="19108" spans="8:9">
      <c r="H19108" s="1358"/>
      <c r="I19108" s="1358"/>
    </row>
    <row r="19109" spans="8:9">
      <c r="H19109" s="1358"/>
      <c r="I19109" s="1358"/>
    </row>
    <row r="19110" spans="8:9">
      <c r="H19110" s="1358"/>
      <c r="I19110" s="1358"/>
    </row>
    <row r="19111" spans="8:9">
      <c r="H19111" s="1358"/>
      <c r="I19111" s="1358"/>
    </row>
    <row r="19112" spans="8:9">
      <c r="H19112" s="1358"/>
      <c r="I19112" s="1358"/>
    </row>
    <row r="19113" spans="8:9">
      <c r="H19113" s="1358"/>
      <c r="I19113" s="1358"/>
    </row>
    <row r="19114" spans="8:9">
      <c r="H19114" s="1358"/>
      <c r="I19114" s="1358"/>
    </row>
    <row r="19115" spans="8:9">
      <c r="H19115" s="1358"/>
      <c r="I19115" s="1358"/>
    </row>
    <row r="19116" spans="8:9">
      <c r="H19116" s="1358"/>
      <c r="I19116" s="1358"/>
    </row>
    <row r="19117" spans="8:9">
      <c r="H19117" s="1358"/>
      <c r="I19117" s="1358"/>
    </row>
    <row r="19118" spans="8:9">
      <c r="H19118" s="1358"/>
      <c r="I19118" s="1358"/>
    </row>
    <row r="19119" spans="8:9">
      <c r="H19119" s="1358"/>
      <c r="I19119" s="1358"/>
    </row>
    <row r="19120" spans="8:9">
      <c r="H19120" s="1358"/>
      <c r="I19120" s="1358"/>
    </row>
    <row r="19121" spans="8:9">
      <c r="H19121" s="1358"/>
      <c r="I19121" s="1358"/>
    </row>
    <row r="19122" spans="8:9">
      <c r="H19122" s="1358"/>
      <c r="I19122" s="1358"/>
    </row>
    <row r="19123" spans="8:9">
      <c r="H19123" s="1358"/>
      <c r="I19123" s="1358"/>
    </row>
    <row r="19124" spans="8:9">
      <c r="H19124" s="1358"/>
      <c r="I19124" s="1358"/>
    </row>
    <row r="19125" spans="8:9">
      <c r="H19125" s="1358"/>
      <c r="I19125" s="1358"/>
    </row>
    <row r="19126" spans="8:9">
      <c r="H19126" s="1358"/>
      <c r="I19126" s="1358"/>
    </row>
    <row r="19127" spans="8:9">
      <c r="H19127" s="1358"/>
      <c r="I19127" s="1358"/>
    </row>
    <row r="19128" spans="8:9">
      <c r="H19128" s="1358"/>
      <c r="I19128" s="1358"/>
    </row>
    <row r="19129" spans="8:9">
      <c r="H19129" s="1358"/>
      <c r="I19129" s="1358"/>
    </row>
    <row r="19130" spans="8:9">
      <c r="H19130" s="1358"/>
      <c r="I19130" s="1358"/>
    </row>
    <row r="19131" spans="8:9">
      <c r="H19131" s="1358"/>
      <c r="I19131" s="1358"/>
    </row>
    <row r="19132" spans="8:9">
      <c r="H19132" s="1358"/>
      <c r="I19132" s="1358"/>
    </row>
    <row r="19133" spans="8:9">
      <c r="H19133" s="1358"/>
      <c r="I19133" s="1358"/>
    </row>
    <row r="19134" spans="8:9">
      <c r="H19134" s="1358"/>
      <c r="I19134" s="1358"/>
    </row>
    <row r="19135" spans="8:9">
      <c r="H19135" s="1358"/>
      <c r="I19135" s="1358"/>
    </row>
    <row r="19136" spans="8:9">
      <c r="H19136" s="1358"/>
      <c r="I19136" s="1358"/>
    </row>
    <row r="19137" spans="8:9">
      <c r="H19137" s="1358"/>
      <c r="I19137" s="1358"/>
    </row>
    <row r="19138" spans="8:9">
      <c r="H19138" s="1358"/>
      <c r="I19138" s="1358"/>
    </row>
    <row r="19139" spans="8:9">
      <c r="H19139" s="1358"/>
      <c r="I19139" s="1358"/>
    </row>
    <row r="19140" spans="8:9">
      <c r="H19140" s="1358"/>
      <c r="I19140" s="1358"/>
    </row>
    <row r="19141" spans="8:9">
      <c r="H19141" s="1358"/>
      <c r="I19141" s="1358"/>
    </row>
    <row r="19142" spans="8:9">
      <c r="H19142" s="1358"/>
      <c r="I19142" s="1358"/>
    </row>
    <row r="19143" spans="8:9">
      <c r="H19143" s="1358"/>
      <c r="I19143" s="1358"/>
    </row>
    <row r="19144" spans="8:9">
      <c r="H19144" s="1358"/>
      <c r="I19144" s="1358"/>
    </row>
    <row r="19145" spans="8:9">
      <c r="H19145" s="1358"/>
      <c r="I19145" s="1358"/>
    </row>
    <row r="19146" spans="8:9">
      <c r="H19146" s="1358"/>
      <c r="I19146" s="1358"/>
    </row>
    <row r="19147" spans="8:9">
      <c r="H19147" s="1358"/>
      <c r="I19147" s="1358"/>
    </row>
    <row r="19148" spans="8:9">
      <c r="H19148" s="1358"/>
      <c r="I19148" s="1358"/>
    </row>
    <row r="19149" spans="8:9">
      <c r="H19149" s="1358"/>
      <c r="I19149" s="1358"/>
    </row>
    <row r="19150" spans="8:9">
      <c r="H19150" s="1358"/>
      <c r="I19150" s="1358"/>
    </row>
    <row r="19151" spans="8:9">
      <c r="H19151" s="1358"/>
      <c r="I19151" s="1358"/>
    </row>
    <row r="19152" spans="8:9">
      <c r="H19152" s="1358"/>
      <c r="I19152" s="1358"/>
    </row>
    <row r="19153" spans="8:9">
      <c r="H19153" s="1358"/>
      <c r="I19153" s="1358"/>
    </row>
    <row r="19154" spans="8:9">
      <c r="H19154" s="1358"/>
      <c r="I19154" s="1358"/>
    </row>
    <row r="19155" spans="8:9">
      <c r="H19155" s="1358"/>
      <c r="I19155" s="1358"/>
    </row>
    <row r="19156" spans="8:9">
      <c r="H19156" s="1358"/>
      <c r="I19156" s="1358"/>
    </row>
    <row r="19157" spans="8:9">
      <c r="H19157" s="1358"/>
      <c r="I19157" s="1358"/>
    </row>
    <row r="19158" spans="8:9">
      <c r="H19158" s="1358"/>
      <c r="I19158" s="1358"/>
    </row>
    <row r="19159" spans="8:9">
      <c r="H19159" s="1358"/>
      <c r="I19159" s="1358"/>
    </row>
    <row r="19160" spans="8:9">
      <c r="H19160" s="1358"/>
      <c r="I19160" s="1358"/>
    </row>
    <row r="19161" spans="8:9">
      <c r="H19161" s="1358"/>
      <c r="I19161" s="1358"/>
    </row>
    <row r="19162" spans="8:9">
      <c r="H19162" s="1358"/>
      <c r="I19162" s="1358"/>
    </row>
    <row r="19163" spans="8:9">
      <c r="H19163" s="1358"/>
      <c r="I19163" s="1358"/>
    </row>
    <row r="19164" spans="8:9">
      <c r="H19164" s="1358"/>
      <c r="I19164" s="1358"/>
    </row>
    <row r="19165" spans="8:9">
      <c r="H19165" s="1358"/>
      <c r="I19165" s="1358"/>
    </row>
    <row r="19166" spans="8:9">
      <c r="H19166" s="1358"/>
      <c r="I19166" s="1358"/>
    </row>
    <row r="19167" spans="8:9">
      <c r="H19167" s="1358"/>
      <c r="I19167" s="1358"/>
    </row>
    <row r="19168" spans="8:9">
      <c r="H19168" s="1358"/>
      <c r="I19168" s="1358"/>
    </row>
    <row r="19169" spans="8:9">
      <c r="H19169" s="1358"/>
      <c r="I19169" s="1358"/>
    </row>
    <row r="19170" spans="8:9">
      <c r="H19170" s="1358"/>
      <c r="I19170" s="1358"/>
    </row>
    <row r="19171" spans="8:9">
      <c r="H19171" s="1358"/>
      <c r="I19171" s="1358"/>
    </row>
    <row r="19172" spans="8:9">
      <c r="H19172" s="1358"/>
      <c r="I19172" s="1358"/>
    </row>
    <row r="19173" spans="8:9">
      <c r="H19173" s="1358"/>
      <c r="I19173" s="1358"/>
    </row>
    <row r="19174" spans="8:9">
      <c r="H19174" s="1358"/>
      <c r="I19174" s="1358"/>
    </row>
    <row r="19175" spans="8:9">
      <c r="H19175" s="1358"/>
      <c r="I19175" s="1358"/>
    </row>
    <row r="19176" spans="8:9">
      <c r="H19176" s="1358"/>
      <c r="I19176" s="1358"/>
    </row>
    <row r="19177" spans="8:9">
      <c r="H19177" s="1358"/>
      <c r="I19177" s="1358"/>
    </row>
    <row r="19178" spans="8:9">
      <c r="H19178" s="1358"/>
      <c r="I19178" s="1358"/>
    </row>
    <row r="19179" spans="8:9">
      <c r="H19179" s="1358"/>
      <c r="I19179" s="1358"/>
    </row>
    <row r="19180" spans="8:9">
      <c r="H19180" s="1358"/>
      <c r="I19180" s="1358"/>
    </row>
    <row r="19181" spans="8:9">
      <c r="H19181" s="1358"/>
      <c r="I19181" s="1358"/>
    </row>
    <row r="19182" spans="8:9">
      <c r="H19182" s="1358"/>
      <c r="I19182" s="1358"/>
    </row>
    <row r="19183" spans="8:9">
      <c r="H19183" s="1358"/>
      <c r="I19183" s="1358"/>
    </row>
    <row r="19184" spans="8:9">
      <c r="H19184" s="1358"/>
      <c r="I19184" s="1358"/>
    </row>
    <row r="19185" spans="8:9">
      <c r="H19185" s="1358"/>
      <c r="I19185" s="1358"/>
    </row>
    <row r="19186" spans="8:9">
      <c r="H19186" s="1358"/>
      <c r="I19186" s="1358"/>
    </row>
    <row r="19187" spans="8:9">
      <c r="H19187" s="1358"/>
      <c r="I19187" s="1358"/>
    </row>
    <row r="19188" spans="8:9">
      <c r="H19188" s="1358"/>
      <c r="I19188" s="1358"/>
    </row>
    <row r="19189" spans="8:9">
      <c r="H19189" s="1358"/>
      <c r="I19189" s="1358"/>
    </row>
    <row r="19190" spans="8:9">
      <c r="H19190" s="1358"/>
      <c r="I19190" s="1358"/>
    </row>
    <row r="19191" spans="8:9">
      <c r="H19191" s="1358"/>
      <c r="I19191" s="1358"/>
    </row>
    <row r="19192" spans="8:9">
      <c r="H19192" s="1358"/>
      <c r="I19192" s="1358"/>
    </row>
    <row r="19193" spans="8:9">
      <c r="H19193" s="1358"/>
      <c r="I19193" s="1358"/>
    </row>
    <row r="19194" spans="8:9">
      <c r="H19194" s="1358"/>
      <c r="I19194" s="1358"/>
    </row>
    <row r="19195" spans="8:9">
      <c r="H19195" s="1358"/>
      <c r="I19195" s="1358"/>
    </row>
    <row r="19196" spans="8:9">
      <c r="H19196" s="1358"/>
      <c r="I19196" s="1358"/>
    </row>
    <row r="19197" spans="8:9">
      <c r="H19197" s="1358"/>
      <c r="I19197" s="1358"/>
    </row>
    <row r="19198" spans="8:9">
      <c r="H19198" s="1358"/>
      <c r="I19198" s="1358"/>
    </row>
    <row r="19199" spans="8:9">
      <c r="H19199" s="1358"/>
      <c r="I19199" s="1358"/>
    </row>
    <row r="19200" spans="8:9">
      <c r="H19200" s="1358"/>
      <c r="I19200" s="1358"/>
    </row>
    <row r="19201" spans="8:9">
      <c r="H19201" s="1358"/>
      <c r="I19201" s="1358"/>
    </row>
    <row r="19202" spans="8:9">
      <c r="H19202" s="1358"/>
      <c r="I19202" s="1358"/>
    </row>
    <row r="19203" spans="8:9">
      <c r="H19203" s="1358"/>
      <c r="I19203" s="1358"/>
    </row>
    <row r="19204" spans="8:9">
      <c r="H19204" s="1358"/>
      <c r="I19204" s="1358"/>
    </row>
    <row r="19205" spans="8:9">
      <c r="H19205" s="1358"/>
      <c r="I19205" s="1358"/>
    </row>
    <row r="19206" spans="8:9">
      <c r="H19206" s="1358"/>
      <c r="I19206" s="1358"/>
    </row>
    <row r="19207" spans="8:9">
      <c r="H19207" s="1358"/>
      <c r="I19207" s="1358"/>
    </row>
    <row r="19208" spans="8:9">
      <c r="H19208" s="1358"/>
      <c r="I19208" s="1358"/>
    </row>
    <row r="19209" spans="8:9">
      <c r="H19209" s="1358"/>
      <c r="I19209" s="1358"/>
    </row>
    <row r="19210" spans="8:9">
      <c r="H19210" s="1358"/>
      <c r="I19210" s="1358"/>
    </row>
    <row r="19211" spans="8:9">
      <c r="H19211" s="1358"/>
      <c r="I19211" s="1358"/>
    </row>
    <row r="19212" spans="8:9">
      <c r="H19212" s="1358"/>
      <c r="I19212" s="1358"/>
    </row>
    <row r="19213" spans="8:9">
      <c r="H19213" s="1358"/>
      <c r="I19213" s="1358"/>
    </row>
    <row r="19214" spans="8:9">
      <c r="H19214" s="1358"/>
      <c r="I19214" s="1358"/>
    </row>
    <row r="19215" spans="8:9">
      <c r="H19215" s="1358"/>
      <c r="I19215" s="1358"/>
    </row>
    <row r="19216" spans="8:9">
      <c r="H19216" s="1358"/>
      <c r="I19216" s="1358"/>
    </row>
    <row r="19217" spans="8:9">
      <c r="H19217" s="1358"/>
      <c r="I19217" s="1358"/>
    </row>
    <row r="19218" spans="8:9">
      <c r="H19218" s="1358"/>
      <c r="I19218" s="1358"/>
    </row>
    <row r="19219" spans="8:9">
      <c r="H19219" s="1358"/>
      <c r="I19219" s="1358"/>
    </row>
    <row r="19220" spans="8:9">
      <c r="H19220" s="1358"/>
      <c r="I19220" s="1358"/>
    </row>
    <row r="19221" spans="8:9">
      <c r="H19221" s="1358"/>
      <c r="I19221" s="1358"/>
    </row>
    <row r="19222" spans="8:9">
      <c r="H19222" s="1358"/>
      <c r="I19222" s="1358"/>
    </row>
    <row r="19223" spans="8:9">
      <c r="H19223" s="1358"/>
      <c r="I19223" s="1358"/>
    </row>
    <row r="19224" spans="8:9">
      <c r="H19224" s="1358"/>
      <c r="I19224" s="1358"/>
    </row>
    <row r="19225" spans="8:9">
      <c r="H19225" s="1358"/>
      <c r="I19225" s="1358"/>
    </row>
    <row r="19226" spans="8:9">
      <c r="H19226" s="1358"/>
      <c r="I19226" s="1358"/>
    </row>
    <row r="19227" spans="8:9">
      <c r="H19227" s="1358"/>
      <c r="I19227" s="1358"/>
    </row>
    <row r="19228" spans="8:9">
      <c r="H19228" s="1358"/>
      <c r="I19228" s="1358"/>
    </row>
    <row r="19229" spans="8:9">
      <c r="H19229" s="1358"/>
      <c r="I19229" s="1358"/>
    </row>
    <row r="19230" spans="8:9">
      <c r="H19230" s="1358"/>
      <c r="I19230" s="1358"/>
    </row>
    <row r="19231" spans="8:9">
      <c r="H19231" s="1358"/>
      <c r="I19231" s="1358"/>
    </row>
    <row r="19232" spans="8:9">
      <c r="H19232" s="1358"/>
      <c r="I19232" s="1358"/>
    </row>
    <row r="19233" spans="8:9">
      <c r="H19233" s="1358"/>
      <c r="I19233" s="1358"/>
    </row>
    <row r="19234" spans="8:9">
      <c r="H19234" s="1358"/>
      <c r="I19234" s="1358"/>
    </row>
    <row r="19235" spans="8:9">
      <c r="H19235" s="1358"/>
      <c r="I19235" s="1358"/>
    </row>
    <row r="19236" spans="8:9">
      <c r="H19236" s="1358"/>
      <c r="I19236" s="1358"/>
    </row>
    <row r="19237" spans="8:9">
      <c r="H19237" s="1358"/>
      <c r="I19237" s="1358"/>
    </row>
    <row r="19238" spans="8:9">
      <c r="H19238" s="1358"/>
      <c r="I19238" s="1358"/>
    </row>
    <row r="19239" spans="8:9">
      <c r="H19239" s="1358"/>
      <c r="I19239" s="1358"/>
    </row>
    <row r="19240" spans="8:9">
      <c r="H19240" s="1358"/>
      <c r="I19240" s="1358"/>
    </row>
    <row r="19241" spans="8:9">
      <c r="H19241" s="1358"/>
      <c r="I19241" s="1358"/>
    </row>
    <row r="19242" spans="8:9">
      <c r="H19242" s="1358"/>
      <c r="I19242" s="1358"/>
    </row>
    <row r="19243" spans="8:9">
      <c r="H19243" s="1358"/>
      <c r="I19243" s="1358"/>
    </row>
    <row r="19244" spans="8:9">
      <c r="H19244" s="1358"/>
      <c r="I19244" s="1358"/>
    </row>
    <row r="19245" spans="8:9">
      <c r="H19245" s="1358"/>
      <c r="I19245" s="1358"/>
    </row>
    <row r="19246" spans="8:9">
      <c r="H19246" s="1358"/>
      <c r="I19246" s="1358"/>
    </row>
    <row r="19247" spans="8:9">
      <c r="H19247" s="1358"/>
      <c r="I19247" s="1358"/>
    </row>
    <row r="19248" spans="8:9">
      <c r="H19248" s="1358"/>
      <c r="I19248" s="1358"/>
    </row>
    <row r="19249" spans="8:9">
      <c r="H19249" s="1358"/>
      <c r="I19249" s="1358"/>
    </row>
    <row r="19250" spans="8:9">
      <c r="H19250" s="1358"/>
      <c r="I19250" s="1358"/>
    </row>
    <row r="19251" spans="8:9">
      <c r="H19251" s="1358"/>
      <c r="I19251" s="1358"/>
    </row>
    <row r="19252" spans="8:9">
      <c r="H19252" s="1358"/>
      <c r="I19252" s="1358"/>
    </row>
    <row r="19253" spans="8:9">
      <c r="H19253" s="1358"/>
      <c r="I19253" s="1358"/>
    </row>
    <row r="19254" spans="8:9">
      <c r="H19254" s="1358"/>
      <c r="I19254" s="1358"/>
    </row>
    <row r="19255" spans="8:9">
      <c r="H19255" s="1358"/>
      <c r="I19255" s="1358"/>
    </row>
    <row r="19256" spans="8:9">
      <c r="H19256" s="1358"/>
      <c r="I19256" s="1358"/>
    </row>
    <row r="19257" spans="8:9">
      <c r="H19257" s="1358"/>
      <c r="I19257" s="1358"/>
    </row>
    <row r="19258" spans="8:9">
      <c r="H19258" s="1358"/>
      <c r="I19258" s="1358"/>
    </row>
    <row r="19259" spans="8:9">
      <c r="H19259" s="1358"/>
      <c r="I19259" s="1358"/>
    </row>
    <row r="19260" spans="8:9">
      <c r="H19260" s="1358"/>
      <c r="I19260" s="1358"/>
    </row>
    <row r="19261" spans="8:9">
      <c r="H19261" s="1358"/>
      <c r="I19261" s="1358"/>
    </row>
    <row r="19262" spans="8:9">
      <c r="H19262" s="1358"/>
      <c r="I19262" s="1358"/>
    </row>
    <row r="19263" spans="8:9">
      <c r="H19263" s="1358"/>
      <c r="I19263" s="1358"/>
    </row>
    <row r="19264" spans="8:9">
      <c r="H19264" s="1358"/>
      <c r="I19264" s="1358"/>
    </row>
    <row r="19265" spans="8:9">
      <c r="H19265" s="1358"/>
      <c r="I19265" s="1358"/>
    </row>
    <row r="19266" spans="8:9">
      <c r="H19266" s="1358"/>
      <c r="I19266" s="1358"/>
    </row>
    <row r="19267" spans="8:9">
      <c r="H19267" s="1358"/>
      <c r="I19267" s="1358"/>
    </row>
    <row r="19268" spans="8:9">
      <c r="H19268" s="1358"/>
      <c r="I19268" s="1358"/>
    </row>
    <row r="19269" spans="8:9">
      <c r="H19269" s="1358"/>
      <c r="I19269" s="1358"/>
    </row>
    <row r="19270" spans="8:9">
      <c r="H19270" s="1358"/>
      <c r="I19270" s="1358"/>
    </row>
    <row r="19271" spans="8:9">
      <c r="H19271" s="1358"/>
      <c r="I19271" s="1358"/>
    </row>
    <row r="19272" spans="8:9">
      <c r="H19272" s="1358"/>
      <c r="I19272" s="1358"/>
    </row>
    <row r="19273" spans="8:9">
      <c r="H19273" s="1358"/>
      <c r="I19273" s="1358"/>
    </row>
    <row r="19274" spans="8:9">
      <c r="H19274" s="1358"/>
      <c r="I19274" s="1358"/>
    </row>
    <row r="19275" spans="8:9">
      <c r="H19275" s="1358"/>
      <c r="I19275" s="1358"/>
    </row>
    <row r="19276" spans="8:9">
      <c r="H19276" s="1358"/>
      <c r="I19276" s="1358"/>
    </row>
    <row r="19277" spans="8:9">
      <c r="H19277" s="1358"/>
      <c r="I19277" s="1358"/>
    </row>
    <row r="19278" spans="8:9">
      <c r="H19278" s="1358"/>
      <c r="I19278" s="1358"/>
    </row>
    <row r="19279" spans="8:9">
      <c r="H19279" s="1358"/>
      <c r="I19279" s="1358"/>
    </row>
    <row r="19280" spans="8:9">
      <c r="H19280" s="1358"/>
      <c r="I19280" s="1358"/>
    </row>
    <row r="19281" spans="8:9">
      <c r="H19281" s="1358"/>
      <c r="I19281" s="1358"/>
    </row>
    <row r="19282" spans="8:9">
      <c r="H19282" s="1358"/>
      <c r="I19282" s="1358"/>
    </row>
    <row r="19283" spans="8:9">
      <c r="H19283" s="1358"/>
      <c r="I19283" s="1358"/>
    </row>
    <row r="19284" spans="8:9">
      <c r="H19284" s="1358"/>
      <c r="I19284" s="1358"/>
    </row>
    <row r="19285" spans="8:9">
      <c r="H19285" s="1358"/>
      <c r="I19285" s="1358"/>
    </row>
    <row r="19286" spans="8:9">
      <c r="H19286" s="1358"/>
      <c r="I19286" s="1358"/>
    </row>
    <row r="19287" spans="8:9">
      <c r="H19287" s="1358"/>
      <c r="I19287" s="1358"/>
    </row>
    <row r="19288" spans="8:9">
      <c r="H19288" s="1358"/>
      <c r="I19288" s="1358"/>
    </row>
    <row r="19289" spans="8:9">
      <c r="H19289" s="1358"/>
      <c r="I19289" s="1358"/>
    </row>
    <row r="19290" spans="8:9">
      <c r="H19290" s="1358"/>
      <c r="I19290" s="1358"/>
    </row>
    <row r="19291" spans="8:9">
      <c r="H19291" s="1358"/>
      <c r="I19291" s="1358"/>
    </row>
    <row r="19292" spans="8:9">
      <c r="H19292" s="1358"/>
      <c r="I19292" s="1358"/>
    </row>
    <row r="19293" spans="8:9">
      <c r="H19293" s="1358"/>
      <c r="I19293" s="1358"/>
    </row>
    <row r="19294" spans="8:9">
      <c r="H19294" s="1358"/>
      <c r="I19294" s="1358"/>
    </row>
    <row r="19295" spans="8:9">
      <c r="H19295" s="1358"/>
      <c r="I19295" s="1358"/>
    </row>
    <row r="19296" spans="8:9">
      <c r="H19296" s="1358"/>
      <c r="I19296" s="1358"/>
    </row>
    <row r="19297" spans="8:9">
      <c r="H19297" s="1358"/>
      <c r="I19297" s="1358"/>
    </row>
    <row r="19298" spans="8:9">
      <c r="H19298" s="1358"/>
      <c r="I19298" s="1358"/>
    </row>
    <row r="19299" spans="8:9">
      <c r="H19299" s="1358"/>
      <c r="I19299" s="1358"/>
    </row>
    <row r="19300" spans="8:9">
      <c r="H19300" s="1358"/>
      <c r="I19300" s="1358"/>
    </row>
    <row r="19301" spans="8:9">
      <c r="H19301" s="1358"/>
      <c r="I19301" s="1358"/>
    </row>
    <row r="19302" spans="8:9">
      <c r="H19302" s="1358"/>
      <c r="I19302" s="1358"/>
    </row>
    <row r="19303" spans="8:9">
      <c r="H19303" s="1358"/>
      <c r="I19303" s="1358"/>
    </row>
    <row r="19304" spans="8:9">
      <c r="H19304" s="1358"/>
      <c r="I19304" s="1358"/>
    </row>
    <row r="19305" spans="8:9">
      <c r="H19305" s="1358"/>
      <c r="I19305" s="1358"/>
    </row>
    <row r="19306" spans="8:9">
      <c r="H19306" s="1358"/>
      <c r="I19306" s="1358"/>
    </row>
    <row r="19307" spans="8:9">
      <c r="H19307" s="1358"/>
      <c r="I19307" s="1358"/>
    </row>
    <row r="19308" spans="8:9">
      <c r="H19308" s="1358"/>
      <c r="I19308" s="1358"/>
    </row>
    <row r="19309" spans="8:9">
      <c r="H19309" s="1358"/>
      <c r="I19309" s="1358"/>
    </row>
    <row r="19310" spans="8:9">
      <c r="H19310" s="1358"/>
      <c r="I19310" s="1358"/>
    </row>
    <row r="19311" spans="8:9">
      <c r="H19311" s="1358"/>
      <c r="I19311" s="1358"/>
    </row>
    <row r="19312" spans="8:9">
      <c r="H19312" s="1358"/>
      <c r="I19312" s="1358"/>
    </row>
    <row r="19313" spans="8:9">
      <c r="H19313" s="1358"/>
      <c r="I19313" s="1358"/>
    </row>
    <row r="19314" spans="8:9">
      <c r="H19314" s="1358"/>
      <c r="I19314" s="1358"/>
    </row>
    <row r="19315" spans="8:9">
      <c r="H19315" s="1358"/>
      <c r="I19315" s="1358"/>
    </row>
    <row r="19316" spans="8:9">
      <c r="H19316" s="1358"/>
      <c r="I19316" s="1358"/>
    </row>
    <row r="19317" spans="8:9">
      <c r="H19317" s="1358"/>
      <c r="I19317" s="1358"/>
    </row>
    <row r="19318" spans="8:9">
      <c r="H19318" s="1358"/>
      <c r="I19318" s="1358"/>
    </row>
    <row r="19319" spans="8:9">
      <c r="H19319" s="1358"/>
      <c r="I19319" s="1358"/>
    </row>
    <row r="19320" spans="8:9">
      <c r="H19320" s="1358"/>
      <c r="I19320" s="1358"/>
    </row>
    <row r="19321" spans="8:9">
      <c r="H19321" s="1358"/>
      <c r="I19321" s="1358"/>
    </row>
    <row r="19322" spans="8:9">
      <c r="H19322" s="1358"/>
      <c r="I19322" s="1358"/>
    </row>
    <row r="19323" spans="8:9">
      <c r="H19323" s="1358"/>
      <c r="I19323" s="1358"/>
    </row>
    <row r="19324" spans="8:9">
      <c r="H19324" s="1358"/>
      <c r="I19324" s="1358"/>
    </row>
    <row r="19325" spans="8:9">
      <c r="H19325" s="1358"/>
      <c r="I19325" s="1358"/>
    </row>
    <row r="19326" spans="8:9">
      <c r="H19326" s="1358"/>
      <c r="I19326" s="1358"/>
    </row>
    <row r="19327" spans="8:9">
      <c r="H19327" s="1358"/>
      <c r="I19327" s="1358"/>
    </row>
    <row r="19328" spans="8:9">
      <c r="H19328" s="1358"/>
      <c r="I19328" s="1358"/>
    </row>
    <row r="19329" spans="8:9">
      <c r="H19329" s="1358"/>
      <c r="I19329" s="1358"/>
    </row>
    <row r="19330" spans="8:9">
      <c r="H19330" s="1358"/>
      <c r="I19330" s="1358"/>
    </row>
    <row r="19331" spans="8:9">
      <c r="H19331" s="1358"/>
      <c r="I19331" s="1358"/>
    </row>
    <row r="19332" spans="8:9">
      <c r="H19332" s="1358"/>
      <c r="I19332" s="1358"/>
    </row>
    <row r="19333" spans="8:9">
      <c r="H19333" s="1358"/>
      <c r="I19333" s="1358"/>
    </row>
    <row r="19334" spans="8:9">
      <c r="H19334" s="1358"/>
      <c r="I19334" s="1358"/>
    </row>
    <row r="19335" spans="8:9">
      <c r="H19335" s="1358"/>
      <c r="I19335" s="1358"/>
    </row>
    <row r="19336" spans="8:9">
      <c r="H19336" s="1358"/>
      <c r="I19336" s="1358"/>
    </row>
    <row r="19337" spans="8:9">
      <c r="H19337" s="1358"/>
      <c r="I19337" s="1358"/>
    </row>
    <row r="19338" spans="8:9">
      <c r="H19338" s="1358"/>
      <c r="I19338" s="1358"/>
    </row>
    <row r="19339" spans="8:9">
      <c r="H19339" s="1358"/>
      <c r="I19339" s="1358"/>
    </row>
    <row r="19340" spans="8:9">
      <c r="H19340" s="1358"/>
      <c r="I19340" s="1358"/>
    </row>
    <row r="19341" spans="8:9">
      <c r="H19341" s="1358"/>
      <c r="I19341" s="1358"/>
    </row>
    <row r="19342" spans="8:9">
      <c r="H19342" s="1358"/>
      <c r="I19342" s="1358"/>
    </row>
    <row r="19343" spans="8:9">
      <c r="H19343" s="1358"/>
      <c r="I19343" s="1358"/>
    </row>
    <row r="19344" spans="8:9">
      <c r="H19344" s="1358"/>
      <c r="I19344" s="1358"/>
    </row>
    <row r="19345" spans="8:9">
      <c r="H19345" s="1358"/>
      <c r="I19345" s="1358"/>
    </row>
    <row r="19346" spans="8:9">
      <c r="H19346" s="1358"/>
      <c r="I19346" s="1358"/>
    </row>
    <row r="19347" spans="8:9">
      <c r="H19347" s="1358"/>
      <c r="I19347" s="1358"/>
    </row>
    <row r="19348" spans="8:9">
      <c r="H19348" s="1358"/>
      <c r="I19348" s="1358"/>
    </row>
    <row r="19349" spans="8:9">
      <c r="H19349" s="1358"/>
      <c r="I19349" s="1358"/>
    </row>
    <row r="19350" spans="8:9">
      <c r="H19350" s="1358"/>
      <c r="I19350" s="1358"/>
    </row>
    <row r="19351" spans="8:9">
      <c r="H19351" s="1358"/>
      <c r="I19351" s="1358"/>
    </row>
    <row r="19352" spans="8:9">
      <c r="H19352" s="1358"/>
      <c r="I19352" s="1358"/>
    </row>
    <row r="19353" spans="8:9">
      <c r="H19353" s="1358"/>
      <c r="I19353" s="1358"/>
    </row>
    <row r="19354" spans="8:9">
      <c r="H19354" s="1358"/>
      <c r="I19354" s="1358"/>
    </row>
    <row r="19355" spans="8:9">
      <c r="H19355" s="1358"/>
      <c r="I19355" s="1358"/>
    </row>
    <row r="19356" spans="8:9">
      <c r="H19356" s="1358"/>
      <c r="I19356" s="1358"/>
    </row>
    <row r="19357" spans="8:9">
      <c r="H19357" s="1358"/>
      <c r="I19357" s="1358"/>
    </row>
    <row r="19358" spans="8:9">
      <c r="H19358" s="1358"/>
      <c r="I19358" s="1358"/>
    </row>
    <row r="19359" spans="8:9">
      <c r="H19359" s="1358"/>
      <c r="I19359" s="1358"/>
    </row>
    <row r="19360" spans="8:9">
      <c r="H19360" s="1358"/>
      <c r="I19360" s="1358"/>
    </row>
    <row r="19361" spans="8:9">
      <c r="H19361" s="1358"/>
      <c r="I19361" s="1358"/>
    </row>
    <row r="19362" spans="8:9">
      <c r="H19362" s="1358"/>
      <c r="I19362" s="1358"/>
    </row>
    <row r="19363" spans="8:9">
      <c r="H19363" s="1358"/>
      <c r="I19363" s="1358"/>
    </row>
    <row r="19364" spans="8:9">
      <c r="H19364" s="1358"/>
      <c r="I19364" s="1358"/>
    </row>
    <row r="19365" spans="8:9">
      <c r="H19365" s="1358"/>
      <c r="I19365" s="1358"/>
    </row>
    <row r="19366" spans="8:9">
      <c r="H19366" s="1358"/>
      <c r="I19366" s="1358"/>
    </row>
    <row r="19367" spans="8:9">
      <c r="H19367" s="1358"/>
      <c r="I19367" s="1358"/>
    </row>
    <row r="19368" spans="8:9">
      <c r="H19368" s="1358"/>
      <c r="I19368" s="1358"/>
    </row>
    <row r="19369" spans="8:9">
      <c r="H19369" s="1358"/>
      <c r="I19369" s="1358"/>
    </row>
    <row r="19370" spans="8:9">
      <c r="H19370" s="1358"/>
      <c r="I19370" s="1358"/>
    </row>
    <row r="19371" spans="8:9">
      <c r="H19371" s="1358"/>
      <c r="I19371" s="1358"/>
    </row>
    <row r="19372" spans="8:9">
      <c r="H19372" s="1358"/>
      <c r="I19372" s="1358"/>
    </row>
    <row r="19373" spans="8:9">
      <c r="H19373" s="1358"/>
      <c r="I19373" s="1358"/>
    </row>
    <row r="19374" spans="8:9">
      <c r="H19374" s="1358"/>
      <c r="I19374" s="1358"/>
    </row>
    <row r="19375" spans="8:9">
      <c r="H19375" s="1358"/>
      <c r="I19375" s="1358"/>
    </row>
    <row r="19376" spans="8:9">
      <c r="H19376" s="1358"/>
      <c r="I19376" s="1358"/>
    </row>
    <row r="19377" spans="8:9">
      <c r="H19377" s="1358"/>
      <c r="I19377" s="1358"/>
    </row>
    <row r="19378" spans="8:9">
      <c r="H19378" s="1358"/>
      <c r="I19378" s="1358"/>
    </row>
    <row r="19379" spans="8:9">
      <c r="H19379" s="1358"/>
      <c r="I19379" s="1358"/>
    </row>
    <row r="19380" spans="8:9">
      <c r="H19380" s="1358"/>
      <c r="I19380" s="1358"/>
    </row>
    <row r="19381" spans="8:9">
      <c r="H19381" s="1358"/>
      <c r="I19381" s="1358"/>
    </row>
    <row r="19382" spans="8:9">
      <c r="H19382" s="1358"/>
      <c r="I19382" s="1358"/>
    </row>
    <row r="19383" spans="8:9">
      <c r="H19383" s="1358"/>
      <c r="I19383" s="1358"/>
    </row>
    <row r="19384" spans="8:9">
      <c r="H19384" s="1358"/>
      <c r="I19384" s="1358"/>
    </row>
    <row r="19385" spans="8:9">
      <c r="H19385" s="1358"/>
      <c r="I19385" s="1358"/>
    </row>
    <row r="19386" spans="8:9">
      <c r="H19386" s="1358"/>
      <c r="I19386" s="1358"/>
    </row>
    <row r="19387" spans="8:9">
      <c r="H19387" s="1358"/>
      <c r="I19387" s="1358"/>
    </row>
    <row r="19388" spans="8:9">
      <c r="H19388" s="1358"/>
      <c r="I19388" s="1358"/>
    </row>
    <row r="19389" spans="8:9">
      <c r="H19389" s="1358"/>
      <c r="I19389" s="1358"/>
    </row>
    <row r="19390" spans="8:9">
      <c r="H19390" s="1358"/>
      <c r="I19390" s="1358"/>
    </row>
    <row r="19391" spans="8:9">
      <c r="H19391" s="1358"/>
      <c r="I19391" s="1358"/>
    </row>
    <row r="19392" spans="8:9">
      <c r="H19392" s="1358"/>
      <c r="I19392" s="1358"/>
    </row>
    <row r="19393" spans="8:9">
      <c r="H19393" s="1358"/>
      <c r="I19393" s="1358"/>
    </row>
    <row r="19394" spans="8:9">
      <c r="H19394" s="1358"/>
      <c r="I19394" s="1358"/>
    </row>
    <row r="19395" spans="8:9">
      <c r="H19395" s="1358"/>
      <c r="I19395" s="1358"/>
    </row>
    <row r="19396" spans="8:9">
      <c r="H19396" s="1358"/>
      <c r="I19396" s="1358"/>
    </row>
    <row r="19397" spans="8:9">
      <c r="H19397" s="1358"/>
      <c r="I19397" s="1358"/>
    </row>
    <row r="19398" spans="8:9">
      <c r="H19398" s="1358"/>
      <c r="I19398" s="1358"/>
    </row>
    <row r="19399" spans="8:9">
      <c r="H19399" s="1358"/>
      <c r="I19399" s="1358"/>
    </row>
    <row r="19400" spans="8:9">
      <c r="H19400" s="1358"/>
      <c r="I19400" s="1358"/>
    </row>
    <row r="19401" spans="8:9">
      <c r="H19401" s="1358"/>
      <c r="I19401" s="1358"/>
    </row>
    <row r="19402" spans="8:9">
      <c r="H19402" s="1358"/>
      <c r="I19402" s="1358"/>
    </row>
    <row r="19403" spans="8:9">
      <c r="H19403" s="1358"/>
      <c r="I19403" s="1358"/>
    </row>
    <row r="19404" spans="8:9">
      <c r="H19404" s="1358"/>
      <c r="I19404" s="1358"/>
    </row>
    <row r="19405" spans="8:9">
      <c r="H19405" s="1358"/>
      <c r="I19405" s="1358"/>
    </row>
    <row r="19406" spans="8:9">
      <c r="H19406" s="1358"/>
      <c r="I19406" s="1358"/>
    </row>
    <row r="19407" spans="8:9">
      <c r="H19407" s="1358"/>
      <c r="I19407" s="1358"/>
    </row>
    <row r="19408" spans="8:9">
      <c r="H19408" s="1358"/>
      <c r="I19408" s="1358"/>
    </row>
    <row r="19409" spans="8:9">
      <c r="H19409" s="1358"/>
      <c r="I19409" s="1358"/>
    </row>
    <row r="19410" spans="8:9">
      <c r="H19410" s="1358"/>
      <c r="I19410" s="1358"/>
    </row>
    <row r="19411" spans="8:9">
      <c r="H19411" s="1358"/>
      <c r="I19411" s="1358"/>
    </row>
    <row r="19412" spans="8:9">
      <c r="H19412" s="1358"/>
      <c r="I19412" s="1358"/>
    </row>
    <row r="19413" spans="8:9">
      <c r="H19413" s="1358"/>
      <c r="I19413" s="1358"/>
    </row>
    <row r="19414" spans="8:9">
      <c r="H19414" s="1358"/>
      <c r="I19414" s="1358"/>
    </row>
    <row r="19415" spans="8:9">
      <c r="H19415" s="1358"/>
      <c r="I19415" s="1358"/>
    </row>
    <row r="19416" spans="8:9">
      <c r="H19416" s="1358"/>
      <c r="I19416" s="1358"/>
    </row>
    <row r="19417" spans="8:9">
      <c r="H19417" s="1358"/>
      <c r="I19417" s="1358"/>
    </row>
    <row r="19418" spans="8:9">
      <c r="H19418" s="1358"/>
      <c r="I19418" s="1358"/>
    </row>
    <row r="19419" spans="8:9">
      <c r="H19419" s="1358"/>
      <c r="I19419" s="1358"/>
    </row>
    <row r="19420" spans="8:9">
      <c r="H19420" s="1358"/>
      <c r="I19420" s="1358"/>
    </row>
    <row r="19421" spans="8:9">
      <c r="H19421" s="1358"/>
      <c r="I19421" s="1358"/>
    </row>
    <row r="19422" spans="8:9">
      <c r="H19422" s="1358"/>
      <c r="I19422" s="1358"/>
    </row>
    <row r="19423" spans="8:9">
      <c r="H19423" s="1358"/>
      <c r="I19423" s="1358"/>
    </row>
    <row r="19424" spans="8:9">
      <c r="H19424" s="1358"/>
      <c r="I19424" s="1358"/>
    </row>
    <row r="19425" spans="8:9">
      <c r="H19425" s="1358"/>
      <c r="I19425" s="1358"/>
    </row>
    <row r="19426" spans="8:9">
      <c r="H19426" s="1358"/>
      <c r="I19426" s="1358"/>
    </row>
    <row r="19427" spans="8:9">
      <c r="H19427" s="1358"/>
      <c r="I19427" s="1358"/>
    </row>
    <row r="19428" spans="8:9">
      <c r="H19428" s="1358"/>
      <c r="I19428" s="1358"/>
    </row>
    <row r="19429" spans="8:9">
      <c r="H19429" s="1358"/>
      <c r="I19429" s="1358"/>
    </row>
    <row r="19430" spans="8:9">
      <c r="H19430" s="1358"/>
      <c r="I19430" s="1358"/>
    </row>
    <row r="19431" spans="8:9">
      <c r="H19431" s="1358"/>
      <c r="I19431" s="1358"/>
    </row>
    <row r="19432" spans="8:9">
      <c r="H19432" s="1358"/>
      <c r="I19432" s="1358"/>
    </row>
    <row r="19433" spans="8:9">
      <c r="H19433" s="1358"/>
      <c r="I19433" s="1358"/>
    </row>
    <row r="19434" spans="8:9">
      <c r="H19434" s="1358"/>
      <c r="I19434" s="1358"/>
    </row>
    <row r="19435" spans="8:9">
      <c r="H19435" s="1358"/>
      <c r="I19435" s="1358"/>
    </row>
    <row r="19436" spans="8:9">
      <c r="H19436" s="1358"/>
      <c r="I19436" s="1358"/>
    </row>
    <row r="19437" spans="8:9">
      <c r="H19437" s="1358"/>
      <c r="I19437" s="1358"/>
    </row>
    <row r="19438" spans="8:9">
      <c r="H19438" s="1358"/>
      <c r="I19438" s="1358"/>
    </row>
    <row r="19439" spans="8:9">
      <c r="H19439" s="1358"/>
      <c r="I19439" s="1358"/>
    </row>
    <row r="19440" spans="8:9">
      <c r="H19440" s="1358"/>
      <c r="I19440" s="1358"/>
    </row>
    <row r="19441" spans="8:9">
      <c r="H19441" s="1358"/>
      <c r="I19441" s="1358"/>
    </row>
    <row r="19442" spans="8:9">
      <c r="H19442" s="1358"/>
      <c r="I19442" s="1358"/>
    </row>
    <row r="19443" spans="8:9">
      <c r="H19443" s="1358"/>
      <c r="I19443" s="1358"/>
    </row>
    <row r="19444" spans="8:9">
      <c r="H19444" s="1358"/>
      <c r="I19444" s="1358"/>
    </row>
    <row r="19445" spans="8:9">
      <c r="H19445" s="1358"/>
      <c r="I19445" s="1358"/>
    </row>
    <row r="19446" spans="8:9">
      <c r="H19446" s="1358"/>
      <c r="I19446" s="1358"/>
    </row>
    <row r="19447" spans="8:9">
      <c r="H19447" s="1358"/>
      <c r="I19447" s="1358"/>
    </row>
    <row r="19448" spans="8:9">
      <c r="H19448" s="1358"/>
      <c r="I19448" s="1358"/>
    </row>
    <row r="19449" spans="8:9">
      <c r="H19449" s="1358"/>
      <c r="I19449" s="1358"/>
    </row>
    <row r="19450" spans="8:9">
      <c r="H19450" s="1358"/>
      <c r="I19450" s="1358"/>
    </row>
    <row r="19451" spans="8:9">
      <c r="H19451" s="1358"/>
      <c r="I19451" s="1358"/>
    </row>
    <row r="19452" spans="8:9">
      <c r="H19452" s="1358"/>
      <c r="I19452" s="1358"/>
    </row>
    <row r="19453" spans="8:9">
      <c r="H19453" s="1358"/>
      <c r="I19453" s="1358"/>
    </row>
    <row r="19454" spans="8:9">
      <c r="H19454" s="1358"/>
      <c r="I19454" s="1358"/>
    </row>
    <row r="19455" spans="8:9">
      <c r="H19455" s="1358"/>
      <c r="I19455" s="1358"/>
    </row>
    <row r="19456" spans="8:9">
      <c r="H19456" s="1358"/>
      <c r="I19456" s="1358"/>
    </row>
    <row r="19457" spans="8:9">
      <c r="H19457" s="1358"/>
      <c r="I19457" s="1358"/>
    </row>
    <row r="19458" spans="8:9">
      <c r="H19458" s="1358"/>
      <c r="I19458" s="1358"/>
    </row>
    <row r="19459" spans="8:9">
      <c r="H19459" s="1358"/>
      <c r="I19459" s="1358"/>
    </row>
    <row r="19460" spans="8:9">
      <c r="H19460" s="1358"/>
      <c r="I19460" s="1358"/>
    </row>
    <row r="19461" spans="8:9">
      <c r="H19461" s="1358"/>
      <c r="I19461" s="1358"/>
    </row>
    <row r="19462" spans="8:9">
      <c r="H19462" s="1358"/>
      <c r="I19462" s="1358"/>
    </row>
    <row r="19463" spans="8:9">
      <c r="H19463" s="1358"/>
      <c r="I19463" s="1358"/>
    </row>
    <row r="19464" spans="8:9">
      <c r="H19464" s="1358"/>
      <c r="I19464" s="1358"/>
    </row>
    <row r="19465" spans="8:9">
      <c r="H19465" s="1358"/>
      <c r="I19465" s="1358"/>
    </row>
    <row r="19466" spans="8:9">
      <c r="H19466" s="1358"/>
      <c r="I19466" s="1358"/>
    </row>
    <row r="19467" spans="8:9">
      <c r="H19467" s="1358"/>
      <c r="I19467" s="1358"/>
    </row>
    <row r="19468" spans="8:9">
      <c r="H19468" s="1358"/>
      <c r="I19468" s="1358"/>
    </row>
    <row r="19469" spans="8:9">
      <c r="H19469" s="1358"/>
      <c r="I19469" s="1358"/>
    </row>
    <row r="19470" spans="8:9">
      <c r="H19470" s="1358"/>
      <c r="I19470" s="1358"/>
    </row>
    <row r="19471" spans="8:9">
      <c r="H19471" s="1358"/>
      <c r="I19471" s="1358"/>
    </row>
    <row r="19472" spans="8:9">
      <c r="H19472" s="1358"/>
      <c r="I19472" s="1358"/>
    </row>
    <row r="19473" spans="8:9">
      <c r="H19473" s="1358"/>
      <c r="I19473" s="1358"/>
    </row>
    <row r="19474" spans="8:9">
      <c r="H19474" s="1358"/>
      <c r="I19474" s="1358"/>
    </row>
    <row r="19475" spans="8:9">
      <c r="H19475" s="1358"/>
      <c r="I19475" s="1358"/>
    </row>
    <row r="19476" spans="8:9">
      <c r="H19476" s="1358"/>
      <c r="I19476" s="1358"/>
    </row>
    <row r="19477" spans="8:9">
      <c r="H19477" s="1358"/>
      <c r="I19477" s="1358"/>
    </row>
    <row r="19478" spans="8:9">
      <c r="H19478" s="1358"/>
      <c r="I19478" s="1358"/>
    </row>
    <row r="19479" spans="8:9">
      <c r="H19479" s="1358"/>
      <c r="I19479" s="1358"/>
    </row>
    <row r="19480" spans="8:9">
      <c r="H19480" s="1358"/>
      <c r="I19480" s="1358"/>
    </row>
    <row r="19481" spans="8:9">
      <c r="H19481" s="1358"/>
      <c r="I19481" s="1358"/>
    </row>
    <row r="19482" spans="8:9">
      <c r="H19482" s="1358"/>
      <c r="I19482" s="1358"/>
    </row>
    <row r="19483" spans="8:9">
      <c r="H19483" s="1358"/>
      <c r="I19483" s="1358"/>
    </row>
    <row r="19484" spans="8:9">
      <c r="H19484" s="1358"/>
      <c r="I19484" s="1358"/>
    </row>
    <row r="19485" spans="8:9">
      <c r="H19485" s="1358"/>
      <c r="I19485" s="1358"/>
    </row>
    <row r="19486" spans="8:9">
      <c r="H19486" s="1358"/>
      <c r="I19486" s="1358"/>
    </row>
    <row r="19487" spans="8:9">
      <c r="H19487" s="1358"/>
      <c r="I19487" s="1358"/>
    </row>
    <row r="19488" spans="8:9">
      <c r="H19488" s="1358"/>
      <c r="I19488" s="1358"/>
    </row>
    <row r="19489" spans="8:9">
      <c r="H19489" s="1358"/>
      <c r="I19489" s="1358"/>
    </row>
    <row r="19490" spans="8:9">
      <c r="H19490" s="1358"/>
      <c r="I19490" s="1358"/>
    </row>
    <row r="19491" spans="8:9">
      <c r="H19491" s="1358"/>
      <c r="I19491" s="1358"/>
    </row>
    <row r="19492" spans="8:9">
      <c r="H19492" s="1358"/>
      <c r="I19492" s="1358"/>
    </row>
    <row r="19493" spans="8:9">
      <c r="H19493" s="1358"/>
      <c r="I19493" s="1358"/>
    </row>
    <row r="19494" spans="8:9">
      <c r="H19494" s="1358"/>
      <c r="I19494" s="1358"/>
    </row>
    <row r="19495" spans="8:9">
      <c r="H19495" s="1358"/>
      <c r="I19495" s="1358"/>
    </row>
    <row r="19496" spans="8:9">
      <c r="H19496" s="1358"/>
      <c r="I19496" s="1358"/>
    </row>
    <row r="19497" spans="8:9">
      <c r="H19497" s="1358"/>
      <c r="I19497" s="1358"/>
    </row>
    <row r="19498" spans="8:9">
      <c r="H19498" s="1358"/>
      <c r="I19498" s="1358"/>
    </row>
    <row r="19499" spans="8:9">
      <c r="H19499" s="1358"/>
      <c r="I19499" s="1358"/>
    </row>
    <row r="19500" spans="8:9">
      <c r="H19500" s="1358"/>
      <c r="I19500" s="1358"/>
    </row>
    <row r="19501" spans="8:9">
      <c r="H19501" s="1358"/>
      <c r="I19501" s="1358"/>
    </row>
    <row r="19502" spans="8:9">
      <c r="H19502" s="1358"/>
      <c r="I19502" s="1358"/>
    </row>
    <row r="19503" spans="8:9">
      <c r="H19503" s="1358"/>
      <c r="I19503" s="1358"/>
    </row>
    <row r="19504" spans="8:9">
      <c r="H19504" s="1358"/>
      <c r="I19504" s="1358"/>
    </row>
    <row r="19505" spans="8:9">
      <c r="H19505" s="1358"/>
      <c r="I19505" s="1358"/>
    </row>
    <row r="19506" spans="8:9">
      <c r="H19506" s="1358"/>
      <c r="I19506" s="1358"/>
    </row>
    <row r="19507" spans="8:9">
      <c r="H19507" s="1358"/>
      <c r="I19507" s="1358"/>
    </row>
    <row r="19508" spans="8:9">
      <c r="H19508" s="1358"/>
      <c r="I19508" s="1358"/>
    </row>
    <row r="19509" spans="8:9">
      <c r="H19509" s="1358"/>
      <c r="I19509" s="1358"/>
    </row>
    <row r="19510" spans="8:9">
      <c r="H19510" s="1358"/>
      <c r="I19510" s="1358"/>
    </row>
    <row r="19511" spans="8:9">
      <c r="H19511" s="1358"/>
      <c r="I19511" s="1358"/>
    </row>
    <row r="19512" spans="8:9">
      <c r="H19512" s="1358"/>
      <c r="I19512" s="1358"/>
    </row>
    <row r="19513" spans="8:9">
      <c r="H19513" s="1358"/>
      <c r="I19513" s="1358"/>
    </row>
    <row r="19514" spans="8:9">
      <c r="H19514" s="1358"/>
      <c r="I19514" s="1358"/>
    </row>
    <row r="19515" spans="8:9">
      <c r="H19515" s="1358"/>
      <c r="I19515" s="1358"/>
    </row>
    <row r="19516" spans="8:9">
      <c r="H19516" s="1358"/>
      <c r="I19516" s="1358"/>
    </row>
    <row r="19517" spans="8:9">
      <c r="H19517" s="1358"/>
      <c r="I19517" s="1358"/>
    </row>
    <row r="19518" spans="8:9">
      <c r="H19518" s="1358"/>
      <c r="I19518" s="1358"/>
    </row>
    <row r="19519" spans="8:9">
      <c r="H19519" s="1358"/>
      <c r="I19519" s="1358"/>
    </row>
    <row r="19520" spans="8:9">
      <c r="H19520" s="1358"/>
      <c r="I19520" s="1358"/>
    </row>
    <row r="19521" spans="8:9">
      <c r="H19521" s="1358"/>
      <c r="I19521" s="1358"/>
    </row>
    <row r="19522" spans="8:9">
      <c r="H19522" s="1358"/>
      <c r="I19522" s="1358"/>
    </row>
    <row r="19523" spans="8:9">
      <c r="H19523" s="1358"/>
      <c r="I19523" s="1358"/>
    </row>
    <row r="19524" spans="8:9">
      <c r="H19524" s="1358"/>
      <c r="I19524" s="1358"/>
    </row>
    <row r="19525" spans="8:9">
      <c r="H19525" s="1358"/>
      <c r="I19525" s="1358"/>
    </row>
    <row r="19526" spans="8:9">
      <c r="H19526" s="1358"/>
      <c r="I19526" s="1358"/>
    </row>
    <row r="19527" spans="8:9">
      <c r="H19527" s="1358"/>
      <c r="I19527" s="1358"/>
    </row>
    <row r="19528" spans="8:9">
      <c r="H19528" s="1358"/>
      <c r="I19528" s="1358"/>
    </row>
    <row r="19529" spans="8:9">
      <c r="H19529" s="1358"/>
      <c r="I19529" s="1358"/>
    </row>
    <row r="19530" spans="8:9">
      <c r="H19530" s="1358"/>
      <c r="I19530" s="1358"/>
    </row>
    <row r="19531" spans="8:9">
      <c r="H19531" s="1358"/>
      <c r="I19531" s="1358"/>
    </row>
    <row r="19532" spans="8:9">
      <c r="H19532" s="1358"/>
      <c r="I19532" s="1358"/>
    </row>
    <row r="19533" spans="8:9">
      <c r="H19533" s="1358"/>
      <c r="I19533" s="1358"/>
    </row>
    <row r="19534" spans="8:9">
      <c r="H19534" s="1358"/>
      <c r="I19534" s="1358"/>
    </row>
    <row r="19535" spans="8:9">
      <c r="H19535" s="1358"/>
      <c r="I19535" s="1358"/>
    </row>
    <row r="19536" spans="8:9">
      <c r="H19536" s="1358"/>
      <c r="I19536" s="1358"/>
    </row>
    <row r="19537" spans="8:9">
      <c r="H19537" s="1358"/>
      <c r="I19537" s="1358"/>
    </row>
    <row r="19538" spans="8:9">
      <c r="H19538" s="1358"/>
      <c r="I19538" s="1358"/>
    </row>
    <row r="19539" spans="8:9">
      <c r="H19539" s="1358"/>
      <c r="I19539" s="1358"/>
    </row>
    <row r="19540" spans="8:9">
      <c r="H19540" s="1358"/>
      <c r="I19540" s="1358"/>
    </row>
    <row r="19541" spans="8:9">
      <c r="H19541" s="1358"/>
      <c r="I19541" s="1358"/>
    </row>
    <row r="19542" spans="8:9">
      <c r="H19542" s="1358"/>
      <c r="I19542" s="1358"/>
    </row>
    <row r="19543" spans="8:9">
      <c r="H19543" s="1358"/>
      <c r="I19543" s="1358"/>
    </row>
    <row r="19544" spans="8:9">
      <c r="H19544" s="1358"/>
      <c r="I19544" s="1358"/>
    </row>
    <row r="19545" spans="8:9">
      <c r="H19545" s="1358"/>
      <c r="I19545" s="1358"/>
    </row>
    <row r="19546" spans="8:9">
      <c r="H19546" s="1358"/>
      <c r="I19546" s="1358"/>
    </row>
    <row r="19547" spans="8:9">
      <c r="H19547" s="1358"/>
      <c r="I19547" s="1358"/>
    </row>
    <row r="19548" spans="8:9">
      <c r="H19548" s="1358"/>
      <c r="I19548" s="1358"/>
    </row>
    <row r="19549" spans="8:9">
      <c r="H19549" s="1358"/>
      <c r="I19549" s="1358"/>
    </row>
    <row r="19550" spans="8:9">
      <c r="H19550" s="1358"/>
      <c r="I19550" s="1358"/>
    </row>
    <row r="19551" spans="8:9">
      <c r="H19551" s="1358"/>
      <c r="I19551" s="1358"/>
    </row>
    <row r="19552" spans="8:9">
      <c r="H19552" s="1358"/>
      <c r="I19552" s="1358"/>
    </row>
    <row r="19553" spans="8:9">
      <c r="H19553" s="1358"/>
      <c r="I19553" s="1358"/>
    </row>
    <row r="19554" spans="8:9">
      <c r="H19554" s="1358"/>
      <c r="I19554" s="1358"/>
    </row>
    <row r="19555" spans="8:9">
      <c r="H19555" s="1358"/>
      <c r="I19555" s="1358"/>
    </row>
    <row r="19556" spans="8:9">
      <c r="H19556" s="1358"/>
      <c r="I19556" s="1358"/>
    </row>
    <row r="19557" spans="8:9">
      <c r="H19557" s="1358"/>
      <c r="I19557" s="1358"/>
    </row>
    <row r="19558" spans="8:9">
      <c r="H19558" s="1358"/>
      <c r="I19558" s="1358"/>
    </row>
    <row r="19559" spans="8:9">
      <c r="H19559" s="1358"/>
      <c r="I19559" s="1358"/>
    </row>
    <row r="19560" spans="8:9">
      <c r="H19560" s="1358"/>
      <c r="I19560" s="1358"/>
    </row>
    <row r="19561" spans="8:9">
      <c r="H19561" s="1358"/>
      <c r="I19561" s="1358"/>
    </row>
    <row r="19562" spans="8:9">
      <c r="H19562" s="1358"/>
      <c r="I19562" s="1358"/>
    </row>
    <row r="19563" spans="8:9">
      <c r="H19563" s="1358"/>
      <c r="I19563" s="1358"/>
    </row>
    <row r="19564" spans="8:9">
      <c r="H19564" s="1358"/>
      <c r="I19564" s="1358"/>
    </row>
    <row r="19565" spans="8:9">
      <c r="H19565" s="1358"/>
      <c r="I19565" s="1358"/>
    </row>
    <row r="19566" spans="8:9">
      <c r="H19566" s="1358"/>
      <c r="I19566" s="1358"/>
    </row>
    <row r="19567" spans="8:9">
      <c r="H19567" s="1358"/>
      <c r="I19567" s="1358"/>
    </row>
    <row r="19568" spans="8:9">
      <c r="H19568" s="1358"/>
      <c r="I19568" s="1358"/>
    </row>
    <row r="19569" spans="8:9">
      <c r="H19569" s="1358"/>
      <c r="I19569" s="1358"/>
    </row>
    <row r="19570" spans="8:9">
      <c r="H19570" s="1358"/>
      <c r="I19570" s="1358"/>
    </row>
    <row r="19571" spans="8:9">
      <c r="H19571" s="1358"/>
      <c r="I19571" s="1358"/>
    </row>
    <row r="19572" spans="8:9">
      <c r="H19572" s="1358"/>
      <c r="I19572" s="1358"/>
    </row>
    <row r="19573" spans="8:9">
      <c r="H19573" s="1358"/>
      <c r="I19573" s="1358"/>
    </row>
    <row r="19574" spans="8:9">
      <c r="H19574" s="1358"/>
      <c r="I19574" s="1358"/>
    </row>
    <row r="19575" spans="8:9">
      <c r="H19575" s="1358"/>
      <c r="I19575" s="1358"/>
    </row>
    <row r="19576" spans="8:9">
      <c r="H19576" s="1358"/>
      <c r="I19576" s="1358"/>
    </row>
    <row r="19577" spans="8:9">
      <c r="H19577" s="1358"/>
      <c r="I19577" s="1358"/>
    </row>
    <row r="19578" spans="8:9">
      <c r="H19578" s="1358"/>
      <c r="I19578" s="1358"/>
    </row>
    <row r="19579" spans="8:9">
      <c r="H19579" s="1358"/>
      <c r="I19579" s="1358"/>
    </row>
    <row r="19580" spans="8:9">
      <c r="H19580" s="1358"/>
      <c r="I19580" s="1358"/>
    </row>
    <row r="19581" spans="8:9">
      <c r="H19581" s="1358"/>
      <c r="I19581" s="1358"/>
    </row>
    <row r="19582" spans="8:9">
      <c r="H19582" s="1358"/>
      <c r="I19582" s="1358"/>
    </row>
    <row r="19583" spans="8:9">
      <c r="H19583" s="1358"/>
      <c r="I19583" s="1358"/>
    </row>
    <row r="19584" spans="8:9">
      <c r="H19584" s="1358"/>
      <c r="I19584" s="1358"/>
    </row>
    <row r="19585" spans="8:9">
      <c r="H19585" s="1358"/>
      <c r="I19585" s="1358"/>
    </row>
    <row r="19586" spans="8:9">
      <c r="H19586" s="1358"/>
      <c r="I19586" s="1358"/>
    </row>
    <row r="19587" spans="8:9">
      <c r="H19587" s="1358"/>
      <c r="I19587" s="1358"/>
    </row>
    <row r="19588" spans="8:9">
      <c r="H19588" s="1358"/>
      <c r="I19588" s="1358"/>
    </row>
    <row r="19589" spans="8:9">
      <c r="H19589" s="1358"/>
      <c r="I19589" s="1358"/>
    </row>
    <row r="19590" spans="8:9">
      <c r="H19590" s="1358"/>
      <c r="I19590" s="1358"/>
    </row>
    <row r="19591" spans="8:9">
      <c r="H19591" s="1358"/>
      <c r="I19591" s="1358"/>
    </row>
    <row r="19592" spans="8:9">
      <c r="H19592" s="1358"/>
      <c r="I19592" s="1358"/>
    </row>
    <row r="19593" spans="8:9">
      <c r="H19593" s="1358"/>
      <c r="I19593" s="1358"/>
    </row>
    <row r="19594" spans="8:9">
      <c r="H19594" s="1358"/>
      <c r="I19594" s="1358"/>
    </row>
    <row r="19595" spans="8:9">
      <c r="H19595" s="1358"/>
      <c r="I19595" s="1358"/>
    </row>
    <row r="19596" spans="8:9">
      <c r="H19596" s="1358"/>
      <c r="I19596" s="1358"/>
    </row>
    <row r="19597" spans="8:9">
      <c r="H19597" s="1358"/>
      <c r="I19597" s="1358"/>
    </row>
    <row r="19598" spans="8:9">
      <c r="H19598" s="1358"/>
      <c r="I19598" s="1358"/>
    </row>
    <row r="19599" spans="8:9">
      <c r="H19599" s="1358"/>
      <c r="I19599" s="1358"/>
    </row>
    <row r="19600" spans="8:9">
      <c r="H19600" s="1358"/>
      <c r="I19600" s="1358"/>
    </row>
    <row r="19601" spans="8:9">
      <c r="H19601" s="1358"/>
      <c r="I19601" s="1358"/>
    </row>
    <row r="19602" spans="8:9">
      <c r="H19602" s="1358"/>
      <c r="I19602" s="1358"/>
    </row>
    <row r="19603" spans="8:9">
      <c r="H19603" s="1358"/>
      <c r="I19603" s="1358"/>
    </row>
    <row r="19604" spans="8:9">
      <c r="H19604" s="1358"/>
      <c r="I19604" s="1358"/>
    </row>
    <row r="19605" spans="8:9">
      <c r="H19605" s="1358"/>
      <c r="I19605" s="1358"/>
    </row>
    <row r="19606" spans="8:9">
      <c r="H19606" s="1358"/>
      <c r="I19606" s="1358"/>
    </row>
    <row r="19607" spans="8:9">
      <c r="H19607" s="1358"/>
      <c r="I19607" s="1358"/>
    </row>
    <row r="19608" spans="8:9">
      <c r="H19608" s="1358"/>
      <c r="I19608" s="1358"/>
    </row>
    <row r="19609" spans="8:9">
      <c r="H19609" s="1358"/>
      <c r="I19609" s="1358"/>
    </row>
    <row r="19610" spans="8:9">
      <c r="H19610" s="1358"/>
      <c r="I19610" s="1358"/>
    </row>
    <row r="19611" spans="8:9">
      <c r="H19611" s="1358"/>
      <c r="I19611" s="1358"/>
    </row>
    <row r="19612" spans="8:9">
      <c r="H19612" s="1358"/>
      <c r="I19612" s="1358"/>
    </row>
    <row r="19613" spans="8:9">
      <c r="H19613" s="1358"/>
      <c r="I19613" s="1358"/>
    </row>
    <row r="19614" spans="8:9">
      <c r="H19614" s="1358"/>
      <c r="I19614" s="1358"/>
    </row>
    <row r="19615" spans="8:9">
      <c r="H19615" s="1358"/>
      <c r="I19615" s="1358"/>
    </row>
    <row r="19616" spans="8:9">
      <c r="H19616" s="1358"/>
      <c r="I19616" s="1358"/>
    </row>
    <row r="19617" spans="8:9">
      <c r="H19617" s="1358"/>
      <c r="I19617" s="1358"/>
    </row>
    <row r="19618" spans="8:9">
      <c r="H19618" s="1358"/>
      <c r="I19618" s="1358"/>
    </row>
    <row r="19619" spans="8:9">
      <c r="H19619" s="1358"/>
      <c r="I19619" s="1358"/>
    </row>
    <row r="19620" spans="8:9">
      <c r="H19620" s="1358"/>
      <c r="I19620" s="1358"/>
    </row>
    <row r="19621" spans="8:9">
      <c r="H19621" s="1358"/>
      <c r="I19621" s="1358"/>
    </row>
    <row r="19622" spans="8:9">
      <c r="H19622" s="1358"/>
      <c r="I19622" s="1358"/>
    </row>
    <row r="19623" spans="8:9">
      <c r="H19623" s="1358"/>
      <c r="I19623" s="1358"/>
    </row>
    <row r="19624" spans="8:9">
      <c r="H19624" s="1358"/>
      <c r="I19624" s="1358"/>
    </row>
    <row r="19625" spans="8:9">
      <c r="H19625" s="1358"/>
      <c r="I19625" s="1358"/>
    </row>
    <row r="19626" spans="8:9">
      <c r="H19626" s="1358"/>
      <c r="I19626" s="1358"/>
    </row>
    <row r="19627" spans="8:9">
      <c r="H19627" s="1358"/>
      <c r="I19627" s="1358"/>
    </row>
    <row r="19628" spans="8:9">
      <c r="H19628" s="1358"/>
      <c r="I19628" s="1358"/>
    </row>
    <row r="19629" spans="8:9">
      <c r="H19629" s="1358"/>
      <c r="I19629" s="1358"/>
    </row>
    <row r="19630" spans="8:9">
      <c r="H19630" s="1358"/>
      <c r="I19630" s="1358"/>
    </row>
    <row r="19631" spans="8:9">
      <c r="H19631" s="1358"/>
      <c r="I19631" s="1358"/>
    </row>
    <row r="19632" spans="8:9">
      <c r="H19632" s="1358"/>
      <c r="I19632" s="1358"/>
    </row>
    <row r="19633" spans="8:9">
      <c r="H19633" s="1358"/>
      <c r="I19633" s="1358"/>
    </row>
    <row r="19634" spans="8:9">
      <c r="H19634" s="1358"/>
      <c r="I19634" s="1358"/>
    </row>
    <row r="19635" spans="8:9">
      <c r="H19635" s="1358"/>
      <c r="I19635" s="1358"/>
    </row>
    <row r="19636" spans="8:9">
      <c r="H19636" s="1358"/>
      <c r="I19636" s="1358"/>
    </row>
    <row r="19637" spans="8:9">
      <c r="H19637" s="1358"/>
      <c r="I19637" s="1358"/>
    </row>
    <row r="19638" spans="8:9">
      <c r="H19638" s="1358"/>
      <c r="I19638" s="1358"/>
    </row>
    <row r="19639" spans="8:9">
      <c r="H19639" s="1358"/>
      <c r="I19639" s="1358"/>
    </row>
    <row r="19640" spans="8:9">
      <c r="H19640" s="1358"/>
      <c r="I19640" s="1358"/>
    </row>
    <row r="19641" spans="8:9">
      <c r="H19641" s="1358"/>
      <c r="I19641" s="1358"/>
    </row>
    <row r="19642" spans="8:9">
      <c r="H19642" s="1358"/>
      <c r="I19642" s="1358"/>
    </row>
    <row r="19643" spans="8:9">
      <c r="H19643" s="1358"/>
      <c r="I19643" s="1358"/>
    </row>
    <row r="19644" spans="8:9">
      <c r="H19644" s="1358"/>
      <c r="I19644" s="1358"/>
    </row>
    <row r="19645" spans="8:9">
      <c r="H19645" s="1358"/>
      <c r="I19645" s="1358"/>
    </row>
    <row r="19646" spans="8:9">
      <c r="H19646" s="1358"/>
      <c r="I19646" s="1358"/>
    </row>
    <row r="19647" spans="8:9">
      <c r="H19647" s="1358"/>
      <c r="I19647" s="1358"/>
    </row>
    <row r="19648" spans="8:9">
      <c r="H19648" s="1358"/>
      <c r="I19648" s="1358"/>
    </row>
    <row r="19649" spans="8:9">
      <c r="H19649" s="1358"/>
      <c r="I19649" s="1358"/>
    </row>
    <row r="19650" spans="8:9">
      <c r="H19650" s="1358"/>
      <c r="I19650" s="1358"/>
    </row>
    <row r="19651" spans="8:9">
      <c r="H19651" s="1358"/>
      <c r="I19651" s="1358"/>
    </row>
    <row r="19652" spans="8:9">
      <c r="H19652" s="1358"/>
      <c r="I19652" s="1358"/>
    </row>
    <row r="19653" spans="8:9">
      <c r="H19653" s="1358"/>
      <c r="I19653" s="1358"/>
    </row>
    <row r="19654" spans="8:9">
      <c r="H19654" s="1358"/>
      <c r="I19654" s="1358"/>
    </row>
    <row r="19655" spans="8:9">
      <c r="H19655" s="1358"/>
      <c r="I19655" s="1358"/>
    </row>
    <row r="19656" spans="8:9">
      <c r="H19656" s="1358"/>
      <c r="I19656" s="1358"/>
    </row>
    <row r="19657" spans="8:9">
      <c r="H19657" s="1358"/>
      <c r="I19657" s="1358"/>
    </row>
    <row r="19658" spans="8:9">
      <c r="H19658" s="1358"/>
      <c r="I19658" s="1358"/>
    </row>
    <row r="19659" spans="8:9">
      <c r="H19659" s="1358"/>
      <c r="I19659" s="1358"/>
    </row>
    <row r="19660" spans="8:9">
      <c r="H19660" s="1358"/>
      <c r="I19660" s="1358"/>
    </row>
    <row r="19661" spans="8:9">
      <c r="H19661" s="1358"/>
      <c r="I19661" s="1358"/>
    </row>
    <row r="19662" spans="8:9">
      <c r="H19662" s="1358"/>
      <c r="I19662" s="1358"/>
    </row>
    <row r="19663" spans="8:9">
      <c r="H19663" s="1358"/>
      <c r="I19663" s="1358"/>
    </row>
    <row r="19664" spans="8:9">
      <c r="H19664" s="1358"/>
      <c r="I19664" s="1358"/>
    </row>
    <row r="19665" spans="8:9">
      <c r="H19665" s="1358"/>
      <c r="I19665" s="1358"/>
    </row>
    <row r="19666" spans="8:9">
      <c r="H19666" s="1358"/>
      <c r="I19666" s="1358"/>
    </row>
    <row r="19667" spans="8:9">
      <c r="H19667" s="1358"/>
      <c r="I19667" s="1358"/>
    </row>
    <row r="19668" spans="8:9">
      <c r="H19668" s="1358"/>
      <c r="I19668" s="1358"/>
    </row>
    <row r="19669" spans="8:9">
      <c r="H19669" s="1358"/>
      <c r="I19669" s="1358"/>
    </row>
    <row r="19670" spans="8:9">
      <c r="H19670" s="1358"/>
      <c r="I19670" s="1358"/>
    </row>
    <row r="19671" spans="8:9">
      <c r="H19671" s="1358"/>
      <c r="I19671" s="1358"/>
    </row>
    <row r="19672" spans="8:9">
      <c r="H19672" s="1358"/>
      <c r="I19672" s="1358"/>
    </row>
    <row r="19673" spans="8:9">
      <c r="H19673" s="1358"/>
      <c r="I19673" s="1358"/>
    </row>
    <row r="19674" spans="8:9">
      <c r="H19674" s="1358"/>
      <c r="I19674" s="1358"/>
    </row>
    <row r="19675" spans="8:9">
      <c r="H19675" s="1358"/>
      <c r="I19675" s="1358"/>
    </row>
    <row r="19676" spans="8:9">
      <c r="H19676" s="1358"/>
      <c r="I19676" s="1358"/>
    </row>
    <row r="19677" spans="8:9">
      <c r="H19677" s="1358"/>
      <c r="I19677" s="1358"/>
    </row>
    <row r="19678" spans="8:9">
      <c r="H19678" s="1358"/>
      <c r="I19678" s="1358"/>
    </row>
    <row r="19679" spans="8:9">
      <c r="H19679" s="1358"/>
      <c r="I19679" s="1358"/>
    </row>
    <row r="19680" spans="8:9">
      <c r="H19680" s="1358"/>
      <c r="I19680" s="1358"/>
    </row>
    <row r="19681" spans="8:9">
      <c r="H19681" s="1358"/>
      <c r="I19681" s="1358"/>
    </row>
    <row r="19682" spans="8:9">
      <c r="H19682" s="1358"/>
      <c r="I19682" s="1358"/>
    </row>
    <row r="19683" spans="8:9">
      <c r="H19683" s="1358"/>
      <c r="I19683" s="1358"/>
    </row>
    <row r="19684" spans="8:9">
      <c r="H19684" s="1358"/>
      <c r="I19684" s="1358"/>
    </row>
    <row r="19685" spans="8:9">
      <c r="H19685" s="1358"/>
      <c r="I19685" s="1358"/>
    </row>
    <row r="19686" spans="8:9">
      <c r="H19686" s="1358"/>
      <c r="I19686" s="1358"/>
    </row>
    <row r="19687" spans="8:9">
      <c r="H19687" s="1358"/>
      <c r="I19687" s="1358"/>
    </row>
    <row r="19688" spans="8:9">
      <c r="H19688" s="1358"/>
      <c r="I19688" s="1358"/>
    </row>
    <row r="19689" spans="8:9">
      <c r="H19689" s="1358"/>
      <c r="I19689" s="1358"/>
    </row>
    <row r="19690" spans="8:9">
      <c r="H19690" s="1358"/>
      <c r="I19690" s="1358"/>
    </row>
    <row r="19691" spans="8:9">
      <c r="H19691" s="1358"/>
      <c r="I19691" s="1358"/>
    </row>
    <row r="19692" spans="8:9">
      <c r="H19692" s="1358"/>
      <c r="I19692" s="1358"/>
    </row>
    <row r="19693" spans="8:9">
      <c r="H19693" s="1358"/>
      <c r="I19693" s="1358"/>
    </row>
    <row r="19694" spans="8:9">
      <c r="H19694" s="1358"/>
      <c r="I19694" s="1358"/>
    </row>
    <row r="19695" spans="8:9">
      <c r="H19695" s="1358"/>
      <c r="I19695" s="1358"/>
    </row>
    <row r="19696" spans="8:9">
      <c r="H19696" s="1358"/>
      <c r="I19696" s="1358"/>
    </row>
    <row r="19697" spans="8:9">
      <c r="H19697" s="1358"/>
      <c r="I19697" s="1358"/>
    </row>
    <row r="19698" spans="8:9">
      <c r="H19698" s="1358"/>
      <c r="I19698" s="1358"/>
    </row>
    <row r="19699" spans="8:9">
      <c r="H19699" s="1358"/>
      <c r="I19699" s="1358"/>
    </row>
    <row r="19700" spans="8:9">
      <c r="H19700" s="1358"/>
      <c r="I19700" s="1358"/>
    </row>
    <row r="19701" spans="8:9">
      <c r="H19701" s="1358"/>
      <c r="I19701" s="1358"/>
    </row>
    <row r="19702" spans="8:9">
      <c r="H19702" s="1358"/>
      <c r="I19702" s="1358"/>
    </row>
    <row r="19703" spans="8:9">
      <c r="H19703" s="1358"/>
      <c r="I19703" s="1358"/>
    </row>
    <row r="19704" spans="8:9">
      <c r="H19704" s="1358"/>
      <c r="I19704" s="1358"/>
    </row>
    <row r="19705" spans="8:9">
      <c r="H19705" s="1358"/>
      <c r="I19705" s="1358"/>
    </row>
    <row r="19706" spans="8:9">
      <c r="H19706" s="1358"/>
      <c r="I19706" s="1358"/>
    </row>
    <row r="19707" spans="8:9">
      <c r="H19707" s="1358"/>
      <c r="I19707" s="1358"/>
    </row>
    <row r="19708" spans="8:9">
      <c r="H19708" s="1358"/>
      <c r="I19708" s="1358"/>
    </row>
    <row r="19709" spans="8:9">
      <c r="H19709" s="1358"/>
      <c r="I19709" s="1358"/>
    </row>
    <row r="19710" spans="8:9">
      <c r="H19710" s="1358"/>
      <c r="I19710" s="1358"/>
    </row>
    <row r="19711" spans="8:9">
      <c r="H19711" s="1358"/>
      <c r="I19711" s="1358"/>
    </row>
    <row r="19712" spans="8:9">
      <c r="H19712" s="1358"/>
      <c r="I19712" s="1358"/>
    </row>
    <row r="19713" spans="8:9">
      <c r="H19713" s="1358"/>
      <c r="I19713" s="1358"/>
    </row>
    <row r="19714" spans="8:9">
      <c r="H19714" s="1358"/>
      <c r="I19714" s="1358"/>
    </row>
    <row r="19715" spans="8:9">
      <c r="H19715" s="1358"/>
      <c r="I19715" s="1358"/>
    </row>
    <row r="19716" spans="8:9">
      <c r="H19716" s="1358"/>
      <c r="I19716" s="1358"/>
    </row>
    <row r="19717" spans="8:9">
      <c r="H19717" s="1358"/>
      <c r="I19717" s="1358"/>
    </row>
    <row r="19718" spans="8:9">
      <c r="H19718" s="1358"/>
      <c r="I19718" s="1358"/>
    </row>
    <row r="19719" spans="8:9">
      <c r="H19719" s="1358"/>
      <c r="I19719" s="1358"/>
    </row>
    <row r="19720" spans="8:9">
      <c r="H19720" s="1358"/>
      <c r="I19720" s="1358"/>
    </row>
    <row r="19721" spans="8:9">
      <c r="H19721" s="1358"/>
      <c r="I19721" s="1358"/>
    </row>
    <row r="19722" spans="8:9">
      <c r="H19722" s="1358"/>
      <c r="I19722" s="1358"/>
    </row>
    <row r="19723" spans="8:9">
      <c r="H19723" s="1358"/>
      <c r="I19723" s="1358"/>
    </row>
    <row r="19724" spans="8:9">
      <c r="H19724" s="1358"/>
      <c r="I19724" s="1358"/>
    </row>
    <row r="19725" spans="8:9">
      <c r="H19725" s="1358"/>
      <c r="I19725" s="1358"/>
    </row>
    <row r="19726" spans="8:9">
      <c r="H19726" s="1358"/>
      <c r="I19726" s="1358"/>
    </row>
    <row r="19727" spans="8:9">
      <c r="H19727" s="1358"/>
      <c r="I19727" s="1358"/>
    </row>
    <row r="19728" spans="8:9">
      <c r="H19728" s="1358"/>
      <c r="I19728" s="1358"/>
    </row>
    <row r="19729" spans="8:9">
      <c r="H19729" s="1358"/>
      <c r="I19729" s="1358"/>
    </row>
    <row r="19730" spans="8:9">
      <c r="H19730" s="1358"/>
      <c r="I19730" s="1358"/>
    </row>
    <row r="19731" spans="8:9">
      <c r="H19731" s="1358"/>
      <c r="I19731" s="1358"/>
    </row>
    <row r="19732" spans="8:9">
      <c r="H19732" s="1358"/>
      <c r="I19732" s="1358"/>
    </row>
    <row r="19733" spans="8:9">
      <c r="H19733" s="1358"/>
      <c r="I19733" s="1358"/>
    </row>
    <row r="19734" spans="8:9">
      <c r="H19734" s="1358"/>
      <c r="I19734" s="1358"/>
    </row>
    <row r="19735" spans="8:9">
      <c r="H19735" s="1358"/>
      <c r="I19735" s="1358"/>
    </row>
    <row r="19736" spans="8:9">
      <c r="H19736" s="1358"/>
      <c r="I19736" s="1358"/>
    </row>
    <row r="19737" spans="8:9">
      <c r="H19737" s="1358"/>
      <c r="I19737" s="1358"/>
    </row>
    <row r="19738" spans="8:9">
      <c r="H19738" s="1358"/>
      <c r="I19738" s="1358"/>
    </row>
    <row r="19739" spans="8:9">
      <c r="H19739" s="1358"/>
      <c r="I19739" s="1358"/>
    </row>
    <row r="19740" spans="8:9">
      <c r="H19740" s="1358"/>
      <c r="I19740" s="1358"/>
    </row>
    <row r="19741" spans="8:9">
      <c r="H19741" s="1358"/>
      <c r="I19741" s="1358"/>
    </row>
    <row r="19742" spans="8:9">
      <c r="H19742" s="1358"/>
      <c r="I19742" s="1358"/>
    </row>
    <row r="19743" spans="8:9">
      <c r="H19743" s="1358"/>
      <c r="I19743" s="1358"/>
    </row>
    <row r="19744" spans="8:9">
      <c r="H19744" s="1358"/>
      <c r="I19744" s="1358"/>
    </row>
    <row r="19745" spans="8:9">
      <c r="H19745" s="1358"/>
      <c r="I19745" s="1358"/>
    </row>
    <row r="19746" spans="8:9">
      <c r="H19746" s="1358"/>
      <c r="I19746" s="1358"/>
    </row>
    <row r="19747" spans="8:9">
      <c r="H19747" s="1358"/>
      <c r="I19747" s="1358"/>
    </row>
    <row r="19748" spans="8:9">
      <c r="H19748" s="1358"/>
      <c r="I19748" s="1358"/>
    </row>
    <row r="19749" spans="8:9">
      <c r="H19749" s="1358"/>
      <c r="I19749" s="1358"/>
    </row>
    <row r="19750" spans="8:9">
      <c r="H19750" s="1358"/>
      <c r="I19750" s="1358"/>
    </row>
    <row r="19751" spans="8:9">
      <c r="H19751" s="1358"/>
      <c r="I19751" s="1358"/>
    </row>
    <row r="19752" spans="8:9">
      <c r="H19752" s="1358"/>
      <c r="I19752" s="1358"/>
    </row>
    <row r="19753" spans="8:9">
      <c r="H19753" s="1358"/>
      <c r="I19753" s="1358"/>
    </row>
    <row r="19754" spans="8:9">
      <c r="H19754" s="1358"/>
      <c r="I19754" s="1358"/>
    </row>
    <row r="19755" spans="8:9">
      <c r="H19755" s="1358"/>
      <c r="I19755" s="1358"/>
    </row>
    <row r="19756" spans="8:9">
      <c r="H19756" s="1358"/>
      <c r="I19756" s="1358"/>
    </row>
    <row r="19757" spans="8:9">
      <c r="H19757" s="1358"/>
      <c r="I19757" s="1358"/>
    </row>
    <row r="19758" spans="8:9">
      <c r="H19758" s="1358"/>
      <c r="I19758" s="1358"/>
    </row>
    <row r="19759" spans="8:9">
      <c r="H19759" s="1358"/>
      <c r="I19759" s="1358"/>
    </row>
    <row r="19760" spans="8:9">
      <c r="H19760" s="1358"/>
      <c r="I19760" s="1358"/>
    </row>
    <row r="19761" spans="8:9">
      <c r="H19761" s="1358"/>
      <c r="I19761" s="1358"/>
    </row>
    <row r="19762" spans="8:9">
      <c r="H19762" s="1358"/>
      <c r="I19762" s="1358"/>
    </row>
    <row r="19763" spans="8:9">
      <c r="H19763" s="1358"/>
      <c r="I19763" s="1358"/>
    </row>
    <row r="19764" spans="8:9">
      <c r="H19764" s="1358"/>
      <c r="I19764" s="1358"/>
    </row>
    <row r="19765" spans="8:9">
      <c r="H19765" s="1358"/>
      <c r="I19765" s="1358"/>
    </row>
    <row r="19766" spans="8:9">
      <c r="H19766" s="1358"/>
      <c r="I19766" s="1358"/>
    </row>
    <row r="19767" spans="8:9">
      <c r="H19767" s="1358"/>
      <c r="I19767" s="1358"/>
    </row>
    <row r="19768" spans="8:9">
      <c r="H19768" s="1358"/>
      <c r="I19768" s="1358"/>
    </row>
    <row r="19769" spans="8:9">
      <c r="H19769" s="1358"/>
      <c r="I19769" s="1358"/>
    </row>
    <row r="19770" spans="8:9">
      <c r="H19770" s="1358"/>
      <c r="I19770" s="1358"/>
    </row>
    <row r="19771" spans="8:9">
      <c r="H19771" s="1358"/>
      <c r="I19771" s="1358"/>
    </row>
    <row r="19772" spans="8:9">
      <c r="H19772" s="1358"/>
      <c r="I19772" s="1358"/>
    </row>
    <row r="19773" spans="8:9">
      <c r="H19773" s="1358"/>
      <c r="I19773" s="1358"/>
    </row>
    <row r="19774" spans="8:9">
      <c r="H19774" s="1358"/>
      <c r="I19774" s="1358"/>
    </row>
    <row r="19775" spans="8:9">
      <c r="H19775" s="1358"/>
      <c r="I19775" s="1358"/>
    </row>
    <row r="19776" spans="8:9">
      <c r="H19776" s="1358"/>
      <c r="I19776" s="1358"/>
    </row>
    <row r="19777" spans="8:9">
      <c r="H19777" s="1358"/>
      <c r="I19777" s="1358"/>
    </row>
    <row r="19778" spans="8:9">
      <c r="H19778" s="1358"/>
      <c r="I19778" s="1358"/>
    </row>
    <row r="19779" spans="8:9">
      <c r="H19779" s="1358"/>
      <c r="I19779" s="1358"/>
    </row>
    <row r="19780" spans="8:9">
      <c r="H19780" s="1358"/>
      <c r="I19780" s="1358"/>
    </row>
    <row r="19781" spans="8:9">
      <c r="H19781" s="1358"/>
      <c r="I19781" s="1358"/>
    </row>
    <row r="19782" spans="8:9">
      <c r="H19782" s="1358"/>
      <c r="I19782" s="1358"/>
    </row>
    <row r="19783" spans="8:9">
      <c r="H19783" s="1358"/>
      <c r="I19783" s="1358"/>
    </row>
    <row r="19784" spans="8:9">
      <c r="H19784" s="1358"/>
      <c r="I19784" s="1358"/>
    </row>
    <row r="19785" spans="8:9">
      <c r="H19785" s="1358"/>
      <c r="I19785" s="1358"/>
    </row>
    <row r="19786" spans="8:9">
      <c r="H19786" s="1358"/>
      <c r="I19786" s="1358"/>
    </row>
    <row r="19787" spans="8:9">
      <c r="H19787" s="1358"/>
      <c r="I19787" s="1358"/>
    </row>
    <row r="19788" spans="8:9">
      <c r="H19788" s="1358"/>
      <c r="I19788" s="1358"/>
    </row>
    <row r="19789" spans="8:9">
      <c r="H19789" s="1358"/>
      <c r="I19789" s="1358"/>
    </row>
    <row r="19790" spans="8:9">
      <c r="H19790" s="1358"/>
      <c r="I19790" s="1358"/>
    </row>
    <row r="19791" spans="8:9">
      <c r="H19791" s="1358"/>
      <c r="I19791" s="1358"/>
    </row>
    <row r="19792" spans="8:9">
      <c r="H19792" s="1358"/>
      <c r="I19792" s="1358"/>
    </row>
    <row r="19793" spans="8:9">
      <c r="H19793" s="1358"/>
      <c r="I19793" s="1358"/>
    </row>
    <row r="19794" spans="8:9">
      <c r="H19794" s="1358"/>
      <c r="I19794" s="1358"/>
    </row>
    <row r="19795" spans="8:9">
      <c r="H19795" s="1358"/>
      <c r="I19795" s="1358"/>
    </row>
    <row r="19796" spans="8:9">
      <c r="H19796" s="1358"/>
      <c r="I19796" s="1358"/>
    </row>
    <row r="19797" spans="8:9">
      <c r="H19797" s="1358"/>
      <c r="I19797" s="1358"/>
    </row>
    <row r="19798" spans="8:9">
      <c r="H19798" s="1358"/>
      <c r="I19798" s="1358"/>
    </row>
    <row r="19799" spans="8:9">
      <c r="H19799" s="1358"/>
      <c r="I19799" s="1358"/>
    </row>
    <row r="19800" spans="8:9">
      <c r="H19800" s="1358"/>
      <c r="I19800" s="1358"/>
    </row>
    <row r="19801" spans="8:9">
      <c r="H19801" s="1358"/>
      <c r="I19801" s="1358"/>
    </row>
    <row r="19802" spans="8:9">
      <c r="H19802" s="1358"/>
      <c r="I19802" s="1358"/>
    </row>
    <row r="19803" spans="8:9">
      <c r="H19803" s="1358"/>
      <c r="I19803" s="1358"/>
    </row>
    <row r="19804" spans="8:9">
      <c r="H19804" s="1358"/>
      <c r="I19804" s="1358"/>
    </row>
    <row r="19805" spans="8:9">
      <c r="H19805" s="1358"/>
      <c r="I19805" s="1358"/>
    </row>
    <row r="19806" spans="8:9">
      <c r="H19806" s="1358"/>
      <c r="I19806" s="1358"/>
    </row>
    <row r="19807" spans="8:9">
      <c r="H19807" s="1358"/>
      <c r="I19807" s="1358"/>
    </row>
    <row r="19808" spans="8:9">
      <c r="H19808" s="1358"/>
      <c r="I19808" s="1358"/>
    </row>
    <row r="19809" spans="8:9">
      <c r="H19809" s="1358"/>
      <c r="I19809" s="1358"/>
    </row>
    <row r="19810" spans="8:9">
      <c r="H19810" s="1358"/>
      <c r="I19810" s="1358"/>
    </row>
    <row r="19811" spans="8:9">
      <c r="H19811" s="1358"/>
      <c r="I19811" s="1358"/>
    </row>
    <row r="19812" spans="8:9">
      <c r="H19812" s="1358"/>
      <c r="I19812" s="1358"/>
    </row>
    <row r="19813" spans="8:9">
      <c r="H19813" s="1358"/>
      <c r="I19813" s="1358"/>
    </row>
    <row r="19814" spans="8:9">
      <c r="H19814" s="1358"/>
      <c r="I19814" s="1358"/>
    </row>
    <row r="19815" spans="8:9">
      <c r="H19815" s="1358"/>
      <c r="I19815" s="1358"/>
    </row>
    <row r="19816" spans="8:9">
      <c r="H19816" s="1358"/>
      <c r="I19816" s="1358"/>
    </row>
    <row r="19817" spans="8:9">
      <c r="H19817" s="1358"/>
      <c r="I19817" s="1358"/>
    </row>
    <row r="19818" spans="8:9">
      <c r="H19818" s="1358"/>
      <c r="I19818" s="1358"/>
    </row>
    <row r="19819" spans="8:9">
      <c r="H19819" s="1358"/>
      <c r="I19819" s="1358"/>
    </row>
    <row r="19820" spans="8:9">
      <c r="H19820" s="1358"/>
      <c r="I19820" s="1358"/>
    </row>
    <row r="19821" spans="8:9">
      <c r="H19821" s="1358"/>
      <c r="I19821" s="1358"/>
    </row>
    <row r="19822" spans="8:9">
      <c r="H19822" s="1358"/>
      <c r="I19822" s="1358"/>
    </row>
    <row r="19823" spans="8:9">
      <c r="H19823" s="1358"/>
      <c r="I19823" s="1358"/>
    </row>
    <row r="19824" spans="8:9">
      <c r="H19824" s="1358"/>
      <c r="I19824" s="1358"/>
    </row>
    <row r="19825" spans="8:9">
      <c r="H19825" s="1358"/>
      <c r="I19825" s="1358"/>
    </row>
    <row r="19826" spans="8:9">
      <c r="H19826" s="1358"/>
      <c r="I19826" s="1358"/>
    </row>
    <row r="19827" spans="8:9">
      <c r="H19827" s="1358"/>
      <c r="I19827" s="1358"/>
    </row>
    <row r="19828" spans="8:9">
      <c r="H19828" s="1358"/>
      <c r="I19828" s="1358"/>
    </row>
    <row r="19829" spans="8:9">
      <c r="H19829" s="1358"/>
      <c r="I19829" s="1358"/>
    </row>
    <row r="19830" spans="8:9">
      <c r="H19830" s="1358"/>
      <c r="I19830" s="1358"/>
    </row>
    <row r="19831" spans="8:9">
      <c r="H19831" s="1358"/>
      <c r="I19831" s="1358"/>
    </row>
    <row r="19832" spans="8:9">
      <c r="H19832" s="1358"/>
      <c r="I19832" s="1358"/>
    </row>
    <row r="19833" spans="8:9">
      <c r="H19833" s="1358"/>
      <c r="I19833" s="1358"/>
    </row>
    <row r="19834" spans="8:9">
      <c r="H19834" s="1358"/>
      <c r="I19834" s="1358"/>
    </row>
    <row r="19835" spans="8:9">
      <c r="H19835" s="1358"/>
      <c r="I19835" s="1358"/>
    </row>
    <row r="19836" spans="8:9">
      <c r="H19836" s="1358"/>
      <c r="I19836" s="1358"/>
    </row>
    <row r="19837" spans="8:9">
      <c r="H19837" s="1358"/>
      <c r="I19837" s="1358"/>
    </row>
    <row r="19838" spans="8:9">
      <c r="H19838" s="1358"/>
      <c r="I19838" s="1358"/>
    </row>
    <row r="19839" spans="8:9">
      <c r="H19839" s="1358"/>
      <c r="I19839" s="1358"/>
    </row>
    <row r="19840" spans="8:9">
      <c r="H19840" s="1358"/>
      <c r="I19840" s="1358"/>
    </row>
    <row r="19841" spans="8:9">
      <c r="H19841" s="1358"/>
      <c r="I19841" s="1358"/>
    </row>
    <row r="19842" spans="8:9">
      <c r="H19842" s="1358"/>
      <c r="I19842" s="1358"/>
    </row>
    <row r="19843" spans="8:9">
      <c r="H19843" s="1358"/>
      <c r="I19843" s="1358"/>
    </row>
    <row r="19844" spans="8:9">
      <c r="H19844" s="1358"/>
      <c r="I19844" s="1358"/>
    </row>
    <row r="19845" spans="8:9">
      <c r="H19845" s="1358"/>
      <c r="I19845" s="1358"/>
    </row>
    <row r="19846" spans="8:9">
      <c r="H19846" s="1358"/>
      <c r="I19846" s="1358"/>
    </row>
    <row r="19847" spans="8:9">
      <c r="H19847" s="1358"/>
      <c r="I19847" s="1358"/>
    </row>
    <row r="19848" spans="8:9">
      <c r="H19848" s="1358"/>
      <c r="I19848" s="1358"/>
    </row>
    <row r="19849" spans="8:9">
      <c r="H19849" s="1358"/>
      <c r="I19849" s="1358"/>
    </row>
    <row r="19850" spans="8:9">
      <c r="H19850" s="1358"/>
      <c r="I19850" s="1358"/>
    </row>
    <row r="19851" spans="8:9">
      <c r="H19851" s="1358"/>
      <c r="I19851" s="1358"/>
    </row>
    <row r="19852" spans="8:9">
      <c r="H19852" s="1358"/>
      <c r="I19852" s="1358"/>
    </row>
    <row r="19853" spans="8:9">
      <c r="H19853" s="1358"/>
      <c r="I19853" s="1358"/>
    </row>
    <row r="19854" spans="8:9">
      <c r="H19854" s="1358"/>
      <c r="I19854" s="1358"/>
    </row>
    <row r="19855" spans="8:9">
      <c r="H19855" s="1358"/>
      <c r="I19855" s="1358"/>
    </row>
    <row r="19856" spans="8:9">
      <c r="H19856" s="1358"/>
      <c r="I19856" s="1358"/>
    </row>
    <row r="19857" spans="8:9">
      <c r="H19857" s="1358"/>
      <c r="I19857" s="1358"/>
    </row>
    <row r="19858" spans="8:9">
      <c r="H19858" s="1358"/>
      <c r="I19858" s="1358"/>
    </row>
    <row r="19859" spans="8:9">
      <c r="H19859" s="1358"/>
      <c r="I19859" s="1358"/>
    </row>
    <row r="19860" spans="8:9">
      <c r="H19860" s="1358"/>
      <c r="I19860" s="1358"/>
    </row>
    <row r="19861" spans="8:9">
      <c r="H19861" s="1358"/>
      <c r="I19861" s="1358"/>
    </row>
    <row r="19862" spans="8:9">
      <c r="H19862" s="1358"/>
      <c r="I19862" s="1358"/>
    </row>
    <row r="19863" spans="8:9">
      <c r="H19863" s="1358"/>
      <c r="I19863" s="1358"/>
    </row>
    <row r="19864" spans="8:9">
      <c r="H19864" s="1358"/>
      <c r="I19864" s="1358"/>
    </row>
    <row r="19865" spans="8:9">
      <c r="H19865" s="1358"/>
      <c r="I19865" s="1358"/>
    </row>
    <row r="19866" spans="8:9">
      <c r="H19866" s="1358"/>
      <c r="I19866" s="1358"/>
    </row>
    <row r="19867" spans="8:9">
      <c r="H19867" s="1358"/>
      <c r="I19867" s="1358"/>
    </row>
    <row r="19868" spans="8:9">
      <c r="H19868" s="1358"/>
      <c r="I19868" s="1358"/>
    </row>
    <row r="19869" spans="8:9">
      <c r="H19869" s="1358"/>
      <c r="I19869" s="1358"/>
    </row>
    <row r="19870" spans="8:9">
      <c r="H19870" s="1358"/>
      <c r="I19870" s="1358"/>
    </row>
    <row r="19871" spans="8:9">
      <c r="H19871" s="1358"/>
      <c r="I19871" s="1358"/>
    </row>
    <row r="19872" spans="8:9">
      <c r="H19872" s="1358"/>
      <c r="I19872" s="1358"/>
    </row>
    <row r="19873" spans="8:9">
      <c r="H19873" s="1358"/>
      <c r="I19873" s="1358"/>
    </row>
    <row r="19874" spans="8:9">
      <c r="H19874" s="1358"/>
      <c r="I19874" s="1358"/>
    </row>
    <row r="19875" spans="8:9">
      <c r="H19875" s="1358"/>
      <c r="I19875" s="1358"/>
    </row>
    <row r="19876" spans="8:9">
      <c r="H19876" s="1358"/>
      <c r="I19876" s="1358"/>
    </row>
    <row r="19877" spans="8:9">
      <c r="H19877" s="1358"/>
      <c r="I19877" s="1358"/>
    </row>
    <row r="19878" spans="8:9">
      <c r="H19878" s="1358"/>
      <c r="I19878" s="1358"/>
    </row>
    <row r="19879" spans="8:9">
      <c r="H19879" s="1358"/>
      <c r="I19879" s="1358"/>
    </row>
    <row r="19880" spans="8:9">
      <c r="H19880" s="1358"/>
      <c r="I19880" s="1358"/>
    </row>
    <row r="19881" spans="8:9">
      <c r="H19881" s="1358"/>
      <c r="I19881" s="1358"/>
    </row>
    <row r="19882" spans="8:9">
      <c r="H19882" s="1358"/>
      <c r="I19882" s="1358"/>
    </row>
    <row r="19883" spans="8:9">
      <c r="H19883" s="1358"/>
      <c r="I19883" s="1358"/>
    </row>
    <row r="19884" spans="8:9">
      <c r="H19884" s="1358"/>
      <c r="I19884" s="1358"/>
    </row>
    <row r="19885" spans="8:9">
      <c r="H19885" s="1358"/>
      <c r="I19885" s="1358"/>
    </row>
    <row r="19886" spans="8:9">
      <c r="H19886" s="1358"/>
      <c r="I19886" s="1358"/>
    </row>
    <row r="19887" spans="8:9">
      <c r="H19887" s="1358"/>
      <c r="I19887" s="1358"/>
    </row>
    <row r="19888" spans="8:9">
      <c r="H19888" s="1358"/>
      <c r="I19888" s="1358"/>
    </row>
    <row r="19889" spans="8:9">
      <c r="H19889" s="1358"/>
      <c r="I19889" s="1358"/>
    </row>
    <row r="19890" spans="8:9">
      <c r="H19890" s="1358"/>
      <c r="I19890" s="1358"/>
    </row>
    <row r="19891" spans="8:9">
      <c r="H19891" s="1358"/>
      <c r="I19891" s="1358"/>
    </row>
    <row r="19892" spans="8:9">
      <c r="H19892" s="1358"/>
      <c r="I19892" s="1358"/>
    </row>
    <row r="19893" spans="8:9">
      <c r="H19893" s="1358"/>
      <c r="I19893" s="1358"/>
    </row>
    <row r="19894" spans="8:9">
      <c r="H19894" s="1358"/>
      <c r="I19894" s="1358"/>
    </row>
    <row r="19895" spans="8:9">
      <c r="H19895" s="1358"/>
      <c r="I19895" s="1358"/>
    </row>
    <row r="19896" spans="8:9">
      <c r="H19896" s="1358"/>
      <c r="I19896" s="1358"/>
    </row>
    <row r="19897" spans="8:9">
      <c r="H19897" s="1358"/>
      <c r="I19897" s="1358"/>
    </row>
    <row r="19898" spans="8:9">
      <c r="H19898" s="1358"/>
      <c r="I19898" s="1358"/>
    </row>
    <row r="19899" spans="8:9">
      <c r="H19899" s="1358"/>
      <c r="I19899" s="1358"/>
    </row>
    <row r="19900" spans="8:9">
      <c r="H19900" s="1358"/>
      <c r="I19900" s="1358"/>
    </row>
    <row r="19901" spans="8:9">
      <c r="H19901" s="1358"/>
      <c r="I19901" s="1358"/>
    </row>
    <row r="19902" spans="8:9">
      <c r="H19902" s="1358"/>
      <c r="I19902" s="1358"/>
    </row>
    <row r="19903" spans="8:9">
      <c r="H19903" s="1358"/>
      <c r="I19903" s="1358"/>
    </row>
    <row r="19904" spans="8:9">
      <c r="H19904" s="1358"/>
      <c r="I19904" s="1358"/>
    </row>
    <row r="19905" spans="8:9">
      <c r="H19905" s="1358"/>
      <c r="I19905" s="1358"/>
    </row>
    <row r="19906" spans="8:9">
      <c r="H19906" s="1358"/>
      <c r="I19906" s="1358"/>
    </row>
    <row r="19907" spans="8:9">
      <c r="H19907" s="1358"/>
      <c r="I19907" s="1358"/>
    </row>
    <row r="19908" spans="8:9">
      <c r="H19908" s="1358"/>
      <c r="I19908" s="1358"/>
    </row>
    <row r="19909" spans="8:9">
      <c r="H19909" s="1358"/>
      <c r="I19909" s="1358"/>
    </row>
    <row r="19910" spans="8:9">
      <c r="H19910" s="1358"/>
      <c r="I19910" s="1358"/>
    </row>
    <row r="19911" spans="8:9">
      <c r="H19911" s="1358"/>
      <c r="I19911" s="1358"/>
    </row>
    <row r="19912" spans="8:9">
      <c r="H19912" s="1358"/>
      <c r="I19912" s="1358"/>
    </row>
    <row r="19913" spans="8:9">
      <c r="H19913" s="1358"/>
      <c r="I19913" s="1358"/>
    </row>
    <row r="19914" spans="8:9">
      <c r="H19914" s="1358"/>
      <c r="I19914" s="1358"/>
    </row>
    <row r="19915" spans="8:9">
      <c r="H19915" s="1358"/>
      <c r="I19915" s="1358"/>
    </row>
    <row r="19916" spans="8:9">
      <c r="H19916" s="1358"/>
      <c r="I19916" s="1358"/>
    </row>
    <row r="19917" spans="8:9">
      <c r="H19917" s="1358"/>
      <c r="I19917" s="1358"/>
    </row>
    <row r="19918" spans="8:9">
      <c r="H19918" s="1358"/>
      <c r="I19918" s="1358"/>
    </row>
    <row r="19919" spans="8:9">
      <c r="H19919" s="1358"/>
      <c r="I19919" s="1358"/>
    </row>
    <row r="19920" spans="8:9">
      <c r="H19920" s="1358"/>
      <c r="I19920" s="1358"/>
    </row>
    <row r="19921" spans="8:9">
      <c r="H19921" s="1358"/>
      <c r="I19921" s="1358"/>
    </row>
    <row r="19922" spans="8:9">
      <c r="H19922" s="1358"/>
      <c r="I19922" s="1358"/>
    </row>
    <row r="19923" spans="8:9">
      <c r="H19923" s="1358"/>
      <c r="I19923" s="1358"/>
    </row>
    <row r="19924" spans="8:9">
      <c r="H19924" s="1358"/>
      <c r="I19924" s="1358"/>
    </row>
    <row r="19925" spans="8:9">
      <c r="H19925" s="1358"/>
      <c r="I19925" s="1358"/>
    </row>
    <row r="19926" spans="8:9">
      <c r="H19926" s="1358"/>
      <c r="I19926" s="1358"/>
    </row>
    <row r="19927" spans="8:9">
      <c r="H19927" s="1358"/>
      <c r="I19927" s="1358"/>
    </row>
    <row r="19928" spans="8:9">
      <c r="H19928" s="1358"/>
      <c r="I19928" s="1358"/>
    </row>
    <row r="19929" spans="8:9">
      <c r="H19929" s="1358"/>
      <c r="I19929" s="1358"/>
    </row>
    <row r="19930" spans="8:9">
      <c r="H19930" s="1358"/>
      <c r="I19930" s="1358"/>
    </row>
    <row r="19931" spans="8:9">
      <c r="H19931" s="1358"/>
      <c r="I19931" s="1358"/>
    </row>
    <row r="19932" spans="8:9">
      <c r="H19932" s="1358"/>
      <c r="I19932" s="1358"/>
    </row>
    <row r="19933" spans="8:9">
      <c r="H19933" s="1358"/>
      <c r="I19933" s="1358"/>
    </row>
    <row r="19934" spans="8:9">
      <c r="H19934" s="1358"/>
      <c r="I19934" s="1358"/>
    </row>
    <row r="19935" spans="8:9">
      <c r="H19935" s="1358"/>
      <c r="I19935" s="1358"/>
    </row>
    <row r="19936" spans="8:9">
      <c r="H19936" s="1358"/>
      <c r="I19936" s="1358"/>
    </row>
    <row r="19937" spans="8:9">
      <c r="H19937" s="1358"/>
      <c r="I19937" s="1358"/>
    </row>
    <row r="19938" spans="8:9">
      <c r="H19938" s="1358"/>
      <c r="I19938" s="1358"/>
    </row>
    <row r="19939" spans="8:9">
      <c r="H19939" s="1358"/>
      <c r="I19939" s="1358"/>
    </row>
    <row r="19940" spans="8:9">
      <c r="H19940" s="1358"/>
      <c r="I19940" s="1358"/>
    </row>
    <row r="19941" spans="8:9">
      <c r="H19941" s="1358"/>
      <c r="I19941" s="1358"/>
    </row>
    <row r="19942" spans="8:9">
      <c r="H19942" s="1358"/>
      <c r="I19942" s="1358"/>
    </row>
    <row r="19943" spans="8:9">
      <c r="H19943" s="1358"/>
      <c r="I19943" s="1358"/>
    </row>
    <row r="19944" spans="8:9">
      <c r="H19944" s="1358"/>
      <c r="I19944" s="1358"/>
    </row>
    <row r="19945" spans="8:9">
      <c r="H19945" s="1358"/>
      <c r="I19945" s="1358"/>
    </row>
    <row r="19946" spans="8:9">
      <c r="H19946" s="1358"/>
      <c r="I19946" s="1358"/>
    </row>
    <row r="19947" spans="8:9">
      <c r="H19947" s="1358"/>
      <c r="I19947" s="1358"/>
    </row>
    <row r="19948" spans="8:9">
      <c r="H19948" s="1358"/>
      <c r="I19948" s="1358"/>
    </row>
    <row r="19949" spans="8:9">
      <c r="H19949" s="1358"/>
      <c r="I19949" s="1358"/>
    </row>
    <row r="19950" spans="8:9">
      <c r="H19950" s="1358"/>
      <c r="I19950" s="1358"/>
    </row>
    <row r="19951" spans="8:9">
      <c r="H19951" s="1358"/>
      <c r="I19951" s="1358"/>
    </row>
    <row r="19952" spans="8:9">
      <c r="H19952" s="1358"/>
      <c r="I19952" s="1358"/>
    </row>
    <row r="19953" spans="8:9">
      <c r="H19953" s="1358"/>
      <c r="I19953" s="1358"/>
    </row>
    <row r="19954" spans="8:9">
      <c r="H19954" s="1358"/>
      <c r="I19954" s="1358"/>
    </row>
    <row r="19955" spans="8:9">
      <c r="H19955" s="1358"/>
      <c r="I19955" s="1358"/>
    </row>
    <row r="19956" spans="8:9">
      <c r="H19956" s="1358"/>
      <c r="I19956" s="1358"/>
    </row>
    <row r="19957" spans="8:9">
      <c r="H19957" s="1358"/>
      <c r="I19957" s="1358"/>
    </row>
    <row r="19958" spans="8:9">
      <c r="H19958" s="1358"/>
      <c r="I19958" s="1358"/>
    </row>
    <row r="19959" spans="8:9">
      <c r="H19959" s="1358"/>
      <c r="I19959" s="1358"/>
    </row>
    <row r="19960" spans="8:9">
      <c r="H19960" s="1358"/>
      <c r="I19960" s="1358"/>
    </row>
    <row r="19961" spans="8:9">
      <c r="H19961" s="1358"/>
      <c r="I19961" s="1358"/>
    </row>
    <row r="19962" spans="8:9">
      <c r="H19962" s="1358"/>
      <c r="I19962" s="1358"/>
    </row>
    <row r="19963" spans="8:9">
      <c r="H19963" s="1358"/>
      <c r="I19963" s="1358"/>
    </row>
    <row r="19964" spans="8:9">
      <c r="H19964" s="1358"/>
      <c r="I19964" s="1358"/>
    </row>
    <row r="19965" spans="8:9">
      <c r="H19965" s="1358"/>
      <c r="I19965" s="1358"/>
    </row>
    <row r="19966" spans="8:9">
      <c r="H19966" s="1358"/>
      <c r="I19966" s="1358"/>
    </row>
    <row r="19967" spans="8:9">
      <c r="H19967" s="1358"/>
      <c r="I19967" s="1358"/>
    </row>
    <row r="19968" spans="8:9">
      <c r="H19968" s="1358"/>
      <c r="I19968" s="1358"/>
    </row>
    <row r="19969" spans="8:9">
      <c r="H19969" s="1358"/>
      <c r="I19969" s="1358"/>
    </row>
    <row r="19970" spans="8:9">
      <c r="H19970" s="1358"/>
      <c r="I19970" s="1358"/>
    </row>
    <row r="19971" spans="8:9">
      <c r="H19971" s="1358"/>
      <c r="I19971" s="1358"/>
    </row>
    <row r="19972" spans="8:9">
      <c r="H19972" s="1358"/>
      <c r="I19972" s="1358"/>
    </row>
    <row r="19973" spans="8:9">
      <c r="H19973" s="1358"/>
      <c r="I19973" s="1358"/>
    </row>
    <row r="19974" spans="8:9">
      <c r="H19974" s="1358"/>
      <c r="I19974" s="1358"/>
    </row>
    <row r="19975" spans="8:9">
      <c r="H19975" s="1358"/>
      <c r="I19975" s="1358"/>
    </row>
    <row r="19976" spans="8:9">
      <c r="H19976" s="1358"/>
      <c r="I19976" s="1358"/>
    </row>
    <row r="19977" spans="8:9">
      <c r="H19977" s="1358"/>
      <c r="I19977" s="1358"/>
    </row>
    <row r="19978" spans="8:9">
      <c r="H19978" s="1358"/>
      <c r="I19978" s="1358"/>
    </row>
    <row r="19979" spans="8:9">
      <c r="H19979" s="1358"/>
      <c r="I19979" s="1358"/>
    </row>
    <row r="19980" spans="8:9">
      <c r="H19980" s="1358"/>
      <c r="I19980" s="1358"/>
    </row>
    <row r="19981" spans="8:9">
      <c r="H19981" s="1358"/>
      <c r="I19981" s="1358"/>
    </row>
    <row r="19982" spans="8:9">
      <c r="H19982" s="1358"/>
      <c r="I19982" s="1358"/>
    </row>
    <row r="19983" spans="8:9">
      <c r="H19983" s="1358"/>
      <c r="I19983" s="1358"/>
    </row>
    <row r="19984" spans="8:9">
      <c r="H19984" s="1358"/>
      <c r="I19984" s="1358"/>
    </row>
    <row r="19985" spans="8:9">
      <c r="H19985" s="1358"/>
      <c r="I19985" s="1358"/>
    </row>
    <row r="19986" spans="8:9">
      <c r="H19986" s="1358"/>
      <c r="I19986" s="1358"/>
    </row>
    <row r="19987" spans="8:9">
      <c r="H19987" s="1358"/>
      <c r="I19987" s="1358"/>
    </row>
    <row r="19988" spans="8:9">
      <c r="H19988" s="1358"/>
      <c r="I19988" s="1358"/>
    </row>
    <row r="19989" spans="8:9">
      <c r="H19989" s="1358"/>
      <c r="I19989" s="1358"/>
    </row>
    <row r="19990" spans="8:9">
      <c r="H19990" s="1358"/>
      <c r="I19990" s="1358"/>
    </row>
    <row r="19991" spans="8:9">
      <c r="H19991" s="1358"/>
      <c r="I19991" s="1358"/>
    </row>
    <row r="19992" spans="8:9">
      <c r="H19992" s="1358"/>
      <c r="I19992" s="1358"/>
    </row>
    <row r="19993" spans="8:9">
      <c r="H19993" s="1358"/>
      <c r="I19993" s="1358"/>
    </row>
    <row r="19994" spans="8:9">
      <c r="H19994" s="1358"/>
      <c r="I19994" s="1358"/>
    </row>
    <row r="19995" spans="8:9">
      <c r="H19995" s="1358"/>
      <c r="I19995" s="1358"/>
    </row>
    <row r="19996" spans="8:9">
      <c r="H19996" s="1358"/>
      <c r="I19996" s="1358"/>
    </row>
    <row r="19997" spans="8:9">
      <c r="H19997" s="1358"/>
      <c r="I19997" s="1358"/>
    </row>
    <row r="19998" spans="8:9">
      <c r="H19998" s="1358"/>
      <c r="I19998" s="1358"/>
    </row>
    <row r="19999" spans="8:9">
      <c r="H19999" s="1358"/>
      <c r="I19999" s="1358"/>
    </row>
    <row r="20000" spans="8:9">
      <c r="H20000" s="1358"/>
      <c r="I20000" s="1358"/>
    </row>
    <row r="20001" spans="8:9">
      <c r="H20001" s="1358"/>
      <c r="I20001" s="1358"/>
    </row>
    <row r="20002" spans="8:9">
      <c r="H20002" s="1358"/>
      <c r="I20002" s="1358"/>
    </row>
    <row r="20003" spans="8:9">
      <c r="H20003" s="1358"/>
      <c r="I20003" s="1358"/>
    </row>
    <row r="20004" spans="8:9">
      <c r="H20004" s="1358"/>
      <c r="I20004" s="1358"/>
    </row>
    <row r="20005" spans="8:9">
      <c r="H20005" s="1358"/>
      <c r="I20005" s="1358"/>
    </row>
    <row r="20006" spans="8:9">
      <c r="H20006" s="1358"/>
      <c r="I20006" s="1358"/>
    </row>
    <row r="20007" spans="8:9">
      <c r="H20007" s="1358"/>
      <c r="I20007" s="1358"/>
    </row>
    <row r="20008" spans="8:9">
      <c r="H20008" s="1358"/>
      <c r="I20008" s="1358"/>
    </row>
    <row r="20009" spans="8:9">
      <c r="H20009" s="1358"/>
      <c r="I20009" s="1358"/>
    </row>
    <row r="20010" spans="8:9">
      <c r="H20010" s="1358"/>
      <c r="I20010" s="1358"/>
    </row>
    <row r="20011" spans="8:9">
      <c r="H20011" s="1358"/>
      <c r="I20011" s="1358"/>
    </row>
    <row r="20012" spans="8:9">
      <c r="H20012" s="1358"/>
      <c r="I20012" s="1358"/>
    </row>
    <row r="20013" spans="8:9">
      <c r="H20013" s="1358"/>
      <c r="I20013" s="1358"/>
    </row>
    <row r="20014" spans="8:9">
      <c r="H20014" s="1358"/>
      <c r="I20014" s="1358"/>
    </row>
    <row r="20015" spans="8:9">
      <c r="H20015" s="1358"/>
      <c r="I20015" s="1358"/>
    </row>
    <row r="20016" spans="8:9">
      <c r="H20016" s="1358"/>
      <c r="I20016" s="1358"/>
    </row>
    <row r="20017" spans="8:9">
      <c r="H20017" s="1358"/>
      <c r="I20017" s="1358"/>
    </row>
    <row r="20018" spans="8:9">
      <c r="H20018" s="1358"/>
      <c r="I20018" s="1358"/>
    </row>
    <row r="20019" spans="8:9">
      <c r="H20019" s="1358"/>
      <c r="I20019" s="1358"/>
    </row>
    <row r="20020" spans="8:9">
      <c r="H20020" s="1358"/>
      <c r="I20020" s="1358"/>
    </row>
    <row r="20021" spans="8:9">
      <c r="H20021" s="1358"/>
      <c r="I20021" s="1358"/>
    </row>
    <row r="20022" spans="8:9">
      <c r="H20022" s="1358"/>
      <c r="I20022" s="1358"/>
    </row>
    <row r="20023" spans="8:9">
      <c r="H20023" s="1358"/>
      <c r="I20023" s="1358"/>
    </row>
    <row r="20024" spans="8:9">
      <c r="H20024" s="1358"/>
      <c r="I20024" s="1358"/>
    </row>
    <row r="20025" spans="8:9">
      <c r="H20025" s="1358"/>
      <c r="I20025" s="1358"/>
    </row>
    <row r="20026" spans="8:9">
      <c r="H20026" s="1358"/>
      <c r="I20026" s="1358"/>
    </row>
    <row r="20027" spans="8:9">
      <c r="H20027" s="1358"/>
      <c r="I20027" s="1358"/>
    </row>
    <row r="20028" spans="8:9">
      <c r="H20028" s="1358"/>
      <c r="I20028" s="1358"/>
    </row>
    <row r="20029" spans="8:9">
      <c r="H20029" s="1358"/>
      <c r="I20029" s="1358"/>
    </row>
    <row r="20030" spans="8:9">
      <c r="H20030" s="1358"/>
      <c r="I20030" s="1358"/>
    </row>
    <row r="20031" spans="8:9">
      <c r="H20031" s="1358"/>
      <c r="I20031" s="1358"/>
    </row>
    <row r="20032" spans="8:9">
      <c r="H20032" s="1358"/>
      <c r="I20032" s="1358"/>
    </row>
    <row r="20033" spans="8:9">
      <c r="H20033" s="1358"/>
      <c r="I20033" s="1358"/>
    </row>
    <row r="20034" spans="8:9">
      <c r="H20034" s="1358"/>
      <c r="I20034" s="1358"/>
    </row>
    <row r="20035" spans="8:9">
      <c r="H20035" s="1358"/>
      <c r="I20035" s="1358"/>
    </row>
    <row r="20036" spans="8:9">
      <c r="H20036" s="1358"/>
      <c r="I20036" s="1358"/>
    </row>
    <row r="20037" spans="8:9">
      <c r="H20037" s="1358"/>
      <c r="I20037" s="1358"/>
    </row>
    <row r="20038" spans="8:9">
      <c r="H20038" s="1358"/>
      <c r="I20038" s="1358"/>
    </row>
    <row r="20039" spans="8:9">
      <c r="H20039" s="1358"/>
      <c r="I20039" s="1358"/>
    </row>
    <row r="20040" spans="8:9">
      <c r="H20040" s="1358"/>
      <c r="I20040" s="1358"/>
    </row>
    <row r="20041" spans="8:9">
      <c r="H20041" s="1358"/>
      <c r="I20041" s="1358"/>
    </row>
    <row r="20042" spans="8:9">
      <c r="H20042" s="1358"/>
      <c r="I20042" s="1358"/>
    </row>
    <row r="20043" spans="8:9">
      <c r="H20043" s="1358"/>
      <c r="I20043" s="1358"/>
    </row>
    <row r="20044" spans="8:9">
      <c r="H20044" s="1358"/>
      <c r="I20044" s="1358"/>
    </row>
    <row r="20045" spans="8:9">
      <c r="H20045" s="1358"/>
      <c r="I20045" s="1358"/>
    </row>
    <row r="20046" spans="8:9">
      <c r="H20046" s="1358"/>
      <c r="I20046" s="1358"/>
    </row>
    <row r="20047" spans="8:9">
      <c r="H20047" s="1358"/>
      <c r="I20047" s="1358"/>
    </row>
    <row r="20048" spans="8:9">
      <c r="H20048" s="1358"/>
      <c r="I20048" s="1358"/>
    </row>
    <row r="20049" spans="8:9">
      <c r="H20049" s="1358"/>
      <c r="I20049" s="1358"/>
    </row>
    <row r="20050" spans="8:9">
      <c r="H20050" s="1358"/>
      <c r="I20050" s="1358"/>
    </row>
    <row r="20051" spans="8:9">
      <c r="H20051" s="1358"/>
      <c r="I20051" s="1358"/>
    </row>
    <row r="20052" spans="8:9">
      <c r="H20052" s="1358"/>
      <c r="I20052" s="1358"/>
    </row>
    <row r="20053" spans="8:9">
      <c r="H20053" s="1358"/>
      <c r="I20053" s="1358"/>
    </row>
    <row r="20054" spans="8:9">
      <c r="H20054" s="1358"/>
      <c r="I20054" s="1358"/>
    </row>
    <row r="20055" spans="8:9">
      <c r="H20055" s="1358"/>
      <c r="I20055" s="1358"/>
    </row>
    <row r="20056" spans="8:9">
      <c r="H20056" s="1358"/>
      <c r="I20056" s="1358"/>
    </row>
    <row r="20057" spans="8:9">
      <c r="H20057" s="1358"/>
      <c r="I20057" s="1358"/>
    </row>
    <row r="20058" spans="8:9">
      <c r="H20058" s="1358"/>
      <c r="I20058" s="1358"/>
    </row>
    <row r="20059" spans="8:9">
      <c r="H20059" s="1358"/>
      <c r="I20059" s="1358"/>
    </row>
    <row r="20060" spans="8:9">
      <c r="H20060" s="1358"/>
      <c r="I20060" s="1358"/>
    </row>
    <row r="20061" spans="8:9">
      <c r="H20061" s="1358"/>
      <c r="I20061" s="1358"/>
    </row>
    <row r="20062" spans="8:9">
      <c r="H20062" s="1358"/>
      <c r="I20062" s="1358"/>
    </row>
    <row r="20063" spans="8:9">
      <c r="H20063" s="1358"/>
      <c r="I20063" s="1358"/>
    </row>
    <row r="20064" spans="8:9">
      <c r="H20064" s="1358"/>
      <c r="I20064" s="1358"/>
    </row>
    <row r="20065" spans="8:9">
      <c r="H20065" s="1358"/>
      <c r="I20065" s="1358"/>
    </row>
    <row r="20066" spans="8:9">
      <c r="H20066" s="1358"/>
      <c r="I20066" s="1358"/>
    </row>
    <row r="20067" spans="8:9">
      <c r="H20067" s="1358"/>
      <c r="I20067" s="1358"/>
    </row>
    <row r="20068" spans="8:9">
      <c r="H20068" s="1358"/>
      <c r="I20068" s="1358"/>
    </row>
    <row r="20069" spans="8:9">
      <c r="H20069" s="1358"/>
      <c r="I20069" s="1358"/>
    </row>
    <row r="20070" spans="8:9">
      <c r="H20070" s="1358"/>
      <c r="I20070" s="1358"/>
    </row>
    <row r="20071" spans="8:9">
      <c r="H20071" s="1358"/>
      <c r="I20071" s="1358"/>
    </row>
    <row r="20072" spans="8:9">
      <c r="H20072" s="1358"/>
      <c r="I20072" s="1358"/>
    </row>
    <row r="20073" spans="8:9">
      <c r="H20073" s="1358"/>
      <c r="I20073" s="1358"/>
    </row>
    <row r="20074" spans="8:9">
      <c r="H20074" s="1358"/>
      <c r="I20074" s="1358"/>
    </row>
    <row r="20075" spans="8:9">
      <c r="H20075" s="1358"/>
      <c r="I20075" s="1358"/>
    </row>
    <row r="20076" spans="8:9">
      <c r="H20076" s="1358"/>
      <c r="I20076" s="1358"/>
    </row>
    <row r="20077" spans="8:9">
      <c r="H20077" s="1358"/>
      <c r="I20077" s="1358"/>
    </row>
    <row r="20078" spans="8:9">
      <c r="H20078" s="1358"/>
      <c r="I20078" s="1358"/>
    </row>
    <row r="20079" spans="8:9">
      <c r="H20079" s="1358"/>
      <c r="I20079" s="1358"/>
    </row>
    <row r="20080" spans="8:9">
      <c r="H20080" s="1358"/>
      <c r="I20080" s="1358"/>
    </row>
    <row r="20081" spans="8:9">
      <c r="H20081" s="1358"/>
      <c r="I20081" s="1358"/>
    </row>
    <row r="20082" spans="8:9">
      <c r="H20082" s="1358"/>
      <c r="I20082" s="1358"/>
    </row>
    <row r="20083" spans="8:9">
      <c r="H20083" s="1358"/>
      <c r="I20083" s="1358"/>
    </row>
    <row r="20084" spans="8:9">
      <c r="H20084" s="1358"/>
      <c r="I20084" s="1358"/>
    </row>
    <row r="20085" spans="8:9">
      <c r="H20085" s="1358"/>
      <c r="I20085" s="1358"/>
    </row>
    <row r="20086" spans="8:9">
      <c r="H20086" s="1358"/>
      <c r="I20086" s="1358"/>
    </row>
    <row r="20087" spans="8:9">
      <c r="H20087" s="1358"/>
      <c r="I20087" s="1358"/>
    </row>
    <row r="20088" spans="8:9">
      <c r="H20088" s="1358"/>
      <c r="I20088" s="1358"/>
    </row>
    <row r="20089" spans="8:9">
      <c r="H20089" s="1358"/>
      <c r="I20089" s="1358"/>
    </row>
    <row r="20090" spans="8:9">
      <c r="H20090" s="1358"/>
      <c r="I20090" s="1358"/>
    </row>
    <row r="20091" spans="8:9">
      <c r="H20091" s="1358"/>
      <c r="I20091" s="1358"/>
    </row>
    <row r="20092" spans="8:9">
      <c r="H20092" s="1358"/>
      <c r="I20092" s="1358"/>
    </row>
    <row r="20093" spans="8:9">
      <c r="H20093" s="1358"/>
      <c r="I20093" s="1358"/>
    </row>
    <row r="20094" spans="8:9">
      <c r="H20094" s="1358"/>
      <c r="I20094" s="1358"/>
    </row>
    <row r="20095" spans="8:9">
      <c r="H20095" s="1358"/>
      <c r="I20095" s="1358"/>
    </row>
    <row r="20096" spans="8:9">
      <c r="H20096" s="1358"/>
      <c r="I20096" s="1358"/>
    </row>
    <row r="20097" spans="8:9">
      <c r="H20097" s="1358"/>
      <c r="I20097" s="1358"/>
    </row>
    <row r="20098" spans="8:9">
      <c r="H20098" s="1358"/>
      <c r="I20098" s="1358"/>
    </row>
    <row r="20099" spans="8:9">
      <c r="H20099" s="1358"/>
      <c r="I20099" s="1358"/>
    </row>
    <row r="20100" spans="8:9">
      <c r="H20100" s="1358"/>
      <c r="I20100" s="1358"/>
    </row>
    <row r="20101" spans="8:9">
      <c r="H20101" s="1358"/>
      <c r="I20101" s="1358"/>
    </row>
    <row r="20102" spans="8:9">
      <c r="H20102" s="1358"/>
      <c r="I20102" s="1358"/>
    </row>
    <row r="20103" spans="8:9">
      <c r="H20103" s="1358"/>
      <c r="I20103" s="1358"/>
    </row>
    <row r="20104" spans="8:9">
      <c r="H20104" s="1358"/>
      <c r="I20104" s="1358"/>
    </row>
    <row r="20105" spans="8:9">
      <c r="H20105" s="1358"/>
      <c r="I20105" s="1358"/>
    </row>
    <row r="20106" spans="8:9">
      <c r="H20106" s="1358"/>
      <c r="I20106" s="1358"/>
    </row>
    <row r="20107" spans="8:9">
      <c r="H20107" s="1358"/>
      <c r="I20107" s="1358"/>
    </row>
    <row r="20108" spans="8:9">
      <c r="H20108" s="1358"/>
      <c r="I20108" s="1358"/>
    </row>
    <row r="20109" spans="8:9">
      <c r="H20109" s="1358"/>
      <c r="I20109" s="1358"/>
    </row>
    <row r="20110" spans="8:9">
      <c r="H20110" s="1358"/>
      <c r="I20110" s="1358"/>
    </row>
    <row r="20111" spans="8:9">
      <c r="H20111" s="1358"/>
      <c r="I20111" s="1358"/>
    </row>
    <row r="20112" spans="8:9">
      <c r="H20112" s="1358"/>
      <c r="I20112" s="1358"/>
    </row>
    <row r="20113" spans="8:9">
      <c r="H20113" s="1358"/>
      <c r="I20113" s="1358"/>
    </row>
    <row r="20114" spans="8:9">
      <c r="H20114" s="1358"/>
      <c r="I20114" s="1358"/>
    </row>
    <row r="20115" spans="8:9">
      <c r="H20115" s="1358"/>
      <c r="I20115" s="1358"/>
    </row>
    <row r="20116" spans="8:9">
      <c r="H20116" s="1358"/>
      <c r="I20116" s="1358"/>
    </row>
    <row r="20117" spans="8:9">
      <c r="H20117" s="1358"/>
      <c r="I20117" s="1358"/>
    </row>
    <row r="20118" spans="8:9">
      <c r="H20118" s="1358"/>
      <c r="I20118" s="1358"/>
    </row>
    <row r="20119" spans="8:9">
      <c r="H20119" s="1358"/>
      <c r="I20119" s="1358"/>
    </row>
    <row r="20120" spans="8:9">
      <c r="H20120" s="1358"/>
      <c r="I20120" s="1358"/>
    </row>
    <row r="20121" spans="8:9">
      <c r="H20121" s="1358"/>
      <c r="I20121" s="1358"/>
    </row>
    <row r="20122" spans="8:9">
      <c r="H20122" s="1358"/>
      <c r="I20122" s="1358"/>
    </row>
    <row r="20123" spans="8:9">
      <c r="H20123" s="1358"/>
      <c r="I20123" s="1358"/>
    </row>
    <row r="20124" spans="8:9">
      <c r="H20124" s="1358"/>
      <c r="I20124" s="1358"/>
    </row>
    <row r="20125" spans="8:9">
      <c r="H20125" s="1358"/>
      <c r="I20125" s="1358"/>
    </row>
    <row r="20126" spans="8:9">
      <c r="H20126" s="1358"/>
      <c r="I20126" s="1358"/>
    </row>
    <row r="20127" spans="8:9">
      <c r="H20127" s="1358"/>
      <c r="I20127" s="1358"/>
    </row>
    <row r="20128" spans="8:9">
      <c r="H20128" s="1358"/>
      <c r="I20128" s="1358"/>
    </row>
    <row r="20129" spans="8:9">
      <c r="H20129" s="1358"/>
      <c r="I20129" s="1358"/>
    </row>
    <row r="20130" spans="8:9">
      <c r="H20130" s="1358"/>
      <c r="I20130" s="1358"/>
    </row>
    <row r="20131" spans="8:9">
      <c r="H20131" s="1358"/>
      <c r="I20131" s="1358"/>
    </row>
    <row r="20132" spans="8:9">
      <c r="H20132" s="1358"/>
      <c r="I20132" s="1358"/>
    </row>
    <row r="20133" spans="8:9">
      <c r="H20133" s="1358"/>
      <c r="I20133" s="1358"/>
    </row>
    <row r="20134" spans="8:9">
      <c r="H20134" s="1358"/>
      <c r="I20134" s="1358"/>
    </row>
    <row r="20135" spans="8:9">
      <c r="H20135" s="1358"/>
      <c r="I20135" s="1358"/>
    </row>
    <row r="20136" spans="8:9">
      <c r="H20136" s="1358"/>
      <c r="I20136" s="1358"/>
    </row>
    <row r="20137" spans="8:9">
      <c r="H20137" s="1358"/>
      <c r="I20137" s="1358"/>
    </row>
    <row r="20138" spans="8:9">
      <c r="H20138" s="1358"/>
      <c r="I20138" s="1358"/>
    </row>
    <row r="20139" spans="8:9">
      <c r="H20139" s="1358"/>
      <c r="I20139" s="1358"/>
    </row>
    <row r="20140" spans="8:9">
      <c r="H20140" s="1358"/>
      <c r="I20140" s="1358"/>
    </row>
    <row r="20141" spans="8:9">
      <c r="H20141" s="1358"/>
      <c r="I20141" s="1358"/>
    </row>
    <row r="20142" spans="8:9">
      <c r="H20142" s="1358"/>
      <c r="I20142" s="1358"/>
    </row>
    <row r="20143" spans="8:9">
      <c r="H20143" s="1358"/>
      <c r="I20143" s="1358"/>
    </row>
    <row r="20144" spans="8:9">
      <c r="H20144" s="1358"/>
      <c r="I20144" s="1358"/>
    </row>
    <row r="20145" spans="8:9">
      <c r="H20145" s="1358"/>
      <c r="I20145" s="1358"/>
    </row>
    <row r="20146" spans="8:9">
      <c r="H20146" s="1358"/>
      <c r="I20146" s="1358"/>
    </row>
    <row r="20147" spans="8:9">
      <c r="H20147" s="1358"/>
      <c r="I20147" s="1358"/>
    </row>
    <row r="20148" spans="8:9">
      <c r="H20148" s="1358"/>
      <c r="I20148" s="1358"/>
    </row>
    <row r="20149" spans="8:9">
      <c r="H20149" s="1358"/>
      <c r="I20149" s="1358"/>
    </row>
    <row r="20150" spans="8:9">
      <c r="H20150" s="1358"/>
      <c r="I20150" s="1358"/>
    </row>
    <row r="20151" spans="8:9">
      <c r="H20151" s="1358"/>
      <c r="I20151" s="1358"/>
    </row>
    <row r="20152" spans="8:9">
      <c r="H20152" s="1358"/>
      <c r="I20152" s="1358"/>
    </row>
    <row r="20153" spans="8:9">
      <c r="H20153" s="1358"/>
      <c r="I20153" s="1358"/>
    </row>
    <row r="20154" spans="8:9">
      <c r="H20154" s="1358"/>
      <c r="I20154" s="1358"/>
    </row>
    <row r="20155" spans="8:9">
      <c r="H20155" s="1358"/>
      <c r="I20155" s="1358"/>
    </row>
    <row r="20156" spans="8:9">
      <c r="H20156" s="1358"/>
      <c r="I20156" s="1358"/>
    </row>
    <row r="20157" spans="8:9">
      <c r="H20157" s="1358"/>
      <c r="I20157" s="1358"/>
    </row>
    <row r="20158" spans="8:9">
      <c r="H20158" s="1358"/>
      <c r="I20158" s="1358"/>
    </row>
    <row r="20159" spans="8:9">
      <c r="H20159" s="1358"/>
      <c r="I20159" s="1358"/>
    </row>
    <row r="20160" spans="8:9">
      <c r="H20160" s="1358"/>
      <c r="I20160" s="1358"/>
    </row>
    <row r="20161" spans="8:9">
      <c r="H20161" s="1358"/>
      <c r="I20161" s="1358"/>
    </row>
    <row r="20162" spans="8:9">
      <c r="H20162" s="1358"/>
      <c r="I20162" s="1358"/>
    </row>
    <row r="20163" spans="8:9">
      <c r="H20163" s="1358"/>
      <c r="I20163" s="1358"/>
    </row>
    <row r="20164" spans="8:9">
      <c r="H20164" s="1358"/>
      <c r="I20164" s="1358"/>
    </row>
    <row r="20165" spans="8:9">
      <c r="H20165" s="1358"/>
      <c r="I20165" s="1358"/>
    </row>
    <row r="20166" spans="8:9">
      <c r="H20166" s="1358"/>
      <c r="I20166" s="1358"/>
    </row>
    <row r="20167" spans="8:9">
      <c r="H20167" s="1358"/>
      <c r="I20167" s="1358"/>
    </row>
    <row r="20168" spans="8:9">
      <c r="H20168" s="1358"/>
      <c r="I20168" s="1358"/>
    </row>
    <row r="20169" spans="8:9">
      <c r="H20169" s="1358"/>
      <c r="I20169" s="1358"/>
    </row>
    <row r="20170" spans="8:9">
      <c r="H20170" s="1358"/>
      <c r="I20170" s="1358"/>
    </row>
    <row r="20171" spans="8:9">
      <c r="H20171" s="1358"/>
      <c r="I20171" s="1358"/>
    </row>
    <row r="20172" spans="8:9">
      <c r="H20172" s="1358"/>
      <c r="I20172" s="1358"/>
    </row>
    <row r="20173" spans="8:9">
      <c r="H20173" s="1358"/>
      <c r="I20173" s="1358"/>
    </row>
    <row r="20174" spans="8:9">
      <c r="H20174" s="1358"/>
      <c r="I20174" s="1358"/>
    </row>
    <row r="20175" spans="8:9">
      <c r="H20175" s="1358"/>
      <c r="I20175" s="1358"/>
    </row>
    <row r="20176" spans="8:9">
      <c r="H20176" s="1358"/>
      <c r="I20176" s="1358"/>
    </row>
    <row r="20177" spans="8:9">
      <c r="H20177" s="1358"/>
      <c r="I20177" s="1358"/>
    </row>
    <row r="20178" spans="8:9">
      <c r="H20178" s="1358"/>
      <c r="I20178" s="1358"/>
    </row>
    <row r="20179" spans="8:9">
      <c r="H20179" s="1358"/>
      <c r="I20179" s="1358"/>
    </row>
    <row r="20180" spans="8:9">
      <c r="H20180" s="1358"/>
      <c r="I20180" s="1358"/>
    </row>
    <row r="20181" spans="8:9">
      <c r="H20181" s="1358"/>
      <c r="I20181" s="1358"/>
    </row>
    <row r="20182" spans="8:9">
      <c r="H20182" s="1358"/>
      <c r="I20182" s="1358"/>
    </row>
    <row r="20183" spans="8:9">
      <c r="H20183" s="1358"/>
      <c r="I20183" s="1358"/>
    </row>
    <row r="20184" spans="8:9">
      <c r="H20184" s="1358"/>
      <c r="I20184" s="1358"/>
    </row>
    <row r="20185" spans="8:9">
      <c r="H20185" s="1358"/>
      <c r="I20185" s="1358"/>
    </row>
    <row r="20186" spans="8:9">
      <c r="H20186" s="1358"/>
      <c r="I20186" s="1358"/>
    </row>
    <row r="20187" spans="8:9">
      <c r="H20187" s="1358"/>
      <c r="I20187" s="1358"/>
    </row>
    <row r="20188" spans="8:9">
      <c r="H20188" s="1358"/>
      <c r="I20188" s="1358"/>
    </row>
    <row r="20189" spans="8:9">
      <c r="H20189" s="1358"/>
      <c r="I20189" s="1358"/>
    </row>
    <row r="20190" spans="8:9">
      <c r="H20190" s="1358"/>
      <c r="I20190" s="1358"/>
    </row>
    <row r="20191" spans="8:9">
      <c r="H20191" s="1358"/>
      <c r="I20191" s="1358"/>
    </row>
    <row r="20192" spans="8:9">
      <c r="H20192" s="1358"/>
      <c r="I20192" s="1358"/>
    </row>
    <row r="20193" spans="8:9">
      <c r="H20193" s="1358"/>
      <c r="I20193" s="1358"/>
    </row>
    <row r="20194" spans="8:9">
      <c r="H20194" s="1358"/>
      <c r="I20194" s="1358"/>
    </row>
    <row r="20195" spans="8:9">
      <c r="H20195" s="1358"/>
      <c r="I20195" s="1358"/>
    </row>
    <row r="20196" spans="8:9">
      <c r="H20196" s="1358"/>
      <c r="I20196" s="1358"/>
    </row>
    <row r="20197" spans="8:9">
      <c r="H20197" s="1358"/>
      <c r="I20197" s="1358"/>
    </row>
    <row r="20198" spans="8:9">
      <c r="H20198" s="1358"/>
      <c r="I20198" s="1358"/>
    </row>
    <row r="20199" spans="8:9">
      <c r="H20199" s="1358"/>
      <c r="I20199" s="1358"/>
    </row>
    <row r="20200" spans="8:9">
      <c r="H20200" s="1358"/>
      <c r="I20200" s="1358"/>
    </row>
    <row r="20201" spans="8:9">
      <c r="H20201" s="1358"/>
      <c r="I20201" s="1358"/>
    </row>
    <row r="20202" spans="8:9">
      <c r="H20202" s="1358"/>
      <c r="I20202" s="1358"/>
    </row>
    <row r="20203" spans="8:9">
      <c r="H20203" s="1358"/>
      <c r="I20203" s="1358"/>
    </row>
    <row r="20204" spans="8:9">
      <c r="H20204" s="1358"/>
      <c r="I20204" s="1358"/>
    </row>
    <row r="20205" spans="8:9">
      <c r="H20205" s="1358"/>
      <c r="I20205" s="1358"/>
    </row>
    <row r="20206" spans="8:9">
      <c r="H20206" s="1358"/>
      <c r="I20206" s="1358"/>
    </row>
    <row r="20207" spans="8:9">
      <c r="H20207" s="1358"/>
      <c r="I20207" s="1358"/>
    </row>
    <row r="20208" spans="8:9">
      <c r="H20208" s="1358"/>
      <c r="I20208" s="1358"/>
    </row>
    <row r="20209" spans="8:9">
      <c r="H20209" s="1358"/>
      <c r="I20209" s="1358"/>
    </row>
    <row r="20210" spans="8:9">
      <c r="H20210" s="1358"/>
      <c r="I20210" s="1358"/>
    </row>
    <row r="20211" spans="8:9">
      <c r="H20211" s="1358"/>
      <c r="I20211" s="1358"/>
    </row>
    <row r="20212" spans="8:9">
      <c r="H20212" s="1358"/>
      <c r="I20212" s="1358"/>
    </row>
    <row r="20213" spans="8:9">
      <c r="H20213" s="1358"/>
      <c r="I20213" s="1358"/>
    </row>
    <row r="20214" spans="8:9">
      <c r="H20214" s="1358"/>
      <c r="I20214" s="1358"/>
    </row>
    <row r="20215" spans="8:9">
      <c r="H20215" s="1358"/>
      <c r="I20215" s="1358"/>
    </row>
    <row r="20216" spans="8:9">
      <c r="H20216" s="1358"/>
      <c r="I20216" s="1358"/>
    </row>
    <row r="20217" spans="8:9">
      <c r="H20217" s="1358"/>
      <c r="I20217" s="1358"/>
    </row>
    <row r="20218" spans="8:9">
      <c r="H20218" s="1358"/>
      <c r="I20218" s="1358"/>
    </row>
    <row r="20219" spans="8:9">
      <c r="H20219" s="1358"/>
      <c r="I20219" s="1358"/>
    </row>
    <row r="20220" spans="8:9">
      <c r="H20220" s="1358"/>
      <c r="I20220" s="1358"/>
    </row>
    <row r="20221" spans="8:9">
      <c r="H20221" s="1358"/>
      <c r="I20221" s="1358"/>
    </row>
    <row r="20222" spans="8:9">
      <c r="H20222" s="1358"/>
      <c r="I20222" s="1358"/>
    </row>
    <row r="20223" spans="8:9">
      <c r="H20223" s="1358"/>
      <c r="I20223" s="1358"/>
    </row>
    <row r="20224" spans="8:9">
      <c r="H20224" s="1358"/>
      <c r="I20224" s="1358"/>
    </row>
    <row r="20225" spans="8:9">
      <c r="H20225" s="1358"/>
      <c r="I20225" s="1358"/>
    </row>
    <row r="20226" spans="8:9">
      <c r="H20226" s="1358"/>
      <c r="I20226" s="1358"/>
    </row>
    <row r="20227" spans="8:9">
      <c r="H20227" s="1358"/>
      <c r="I20227" s="1358"/>
    </row>
    <row r="20228" spans="8:9">
      <c r="H20228" s="1358"/>
      <c r="I20228" s="1358"/>
    </row>
    <row r="20229" spans="8:9">
      <c r="H20229" s="1358"/>
      <c r="I20229" s="1358"/>
    </row>
    <row r="20230" spans="8:9">
      <c r="H20230" s="1358"/>
      <c r="I20230" s="1358"/>
    </row>
    <row r="20231" spans="8:9">
      <c r="H20231" s="1358"/>
      <c r="I20231" s="1358"/>
    </row>
    <row r="20232" spans="8:9">
      <c r="H20232" s="1358"/>
      <c r="I20232" s="1358"/>
    </row>
    <row r="20233" spans="8:9">
      <c r="H20233" s="1358"/>
      <c r="I20233" s="1358"/>
    </row>
    <row r="20234" spans="8:9">
      <c r="H20234" s="1358"/>
      <c r="I20234" s="1358"/>
    </row>
    <row r="20235" spans="8:9">
      <c r="H20235" s="1358"/>
      <c r="I20235" s="1358"/>
    </row>
    <row r="20236" spans="8:9">
      <c r="H20236" s="1358"/>
      <c r="I20236" s="1358"/>
    </row>
    <row r="20237" spans="8:9">
      <c r="H20237" s="1358"/>
      <c r="I20237" s="1358"/>
    </row>
    <row r="20238" spans="8:9">
      <c r="H20238" s="1358"/>
      <c r="I20238" s="1358"/>
    </row>
    <row r="20239" spans="8:9">
      <c r="H20239" s="1358"/>
      <c r="I20239" s="1358"/>
    </row>
    <row r="20240" spans="8:9">
      <c r="H20240" s="1358"/>
      <c r="I20240" s="1358"/>
    </row>
    <row r="20241" spans="8:9">
      <c r="H20241" s="1358"/>
      <c r="I20241" s="1358"/>
    </row>
    <row r="20242" spans="8:9">
      <c r="H20242" s="1358"/>
      <c r="I20242" s="1358"/>
    </row>
    <row r="20243" spans="8:9">
      <c r="H20243" s="1358"/>
      <c r="I20243" s="1358"/>
    </row>
    <row r="20244" spans="8:9">
      <c r="H20244" s="1358"/>
      <c r="I20244" s="1358"/>
    </row>
    <row r="20245" spans="8:9">
      <c r="H20245" s="1358"/>
      <c r="I20245" s="1358"/>
    </row>
    <row r="20246" spans="8:9">
      <c r="H20246" s="1358"/>
      <c r="I20246" s="1358"/>
    </row>
    <row r="20247" spans="8:9">
      <c r="H20247" s="1358"/>
      <c r="I20247" s="1358"/>
    </row>
    <row r="20248" spans="8:9">
      <c r="H20248" s="1358"/>
      <c r="I20248" s="1358"/>
    </row>
    <row r="20249" spans="8:9">
      <c r="H20249" s="1358"/>
      <c r="I20249" s="1358"/>
    </row>
    <row r="20250" spans="8:9">
      <c r="H20250" s="1358"/>
      <c r="I20250" s="1358"/>
    </row>
    <row r="20251" spans="8:9">
      <c r="H20251" s="1358"/>
      <c r="I20251" s="1358"/>
    </row>
    <row r="20252" spans="8:9">
      <c r="H20252" s="1358"/>
      <c r="I20252" s="1358"/>
    </row>
    <row r="20253" spans="8:9">
      <c r="H20253" s="1358"/>
      <c r="I20253" s="1358"/>
    </row>
    <row r="20254" spans="8:9">
      <c r="H20254" s="1358"/>
      <c r="I20254" s="1358"/>
    </row>
    <row r="20255" spans="8:9">
      <c r="H20255" s="1358"/>
      <c r="I20255" s="1358"/>
    </row>
    <row r="20256" spans="8:9">
      <c r="H20256" s="1358"/>
      <c r="I20256" s="1358"/>
    </row>
    <row r="20257" spans="8:9">
      <c r="H20257" s="1358"/>
      <c r="I20257" s="1358"/>
    </row>
    <row r="20258" spans="8:9">
      <c r="H20258" s="1358"/>
      <c r="I20258" s="1358"/>
    </row>
    <row r="20259" spans="8:9">
      <c r="H20259" s="1358"/>
      <c r="I20259" s="1358"/>
    </row>
    <row r="20260" spans="8:9">
      <c r="H20260" s="1358"/>
      <c r="I20260" s="1358"/>
    </row>
    <row r="20261" spans="8:9">
      <c r="H20261" s="1358"/>
      <c r="I20261" s="1358"/>
    </row>
    <row r="20262" spans="8:9">
      <c r="H20262" s="1358"/>
      <c r="I20262" s="1358"/>
    </row>
    <row r="20263" spans="8:9">
      <c r="H20263" s="1358"/>
      <c r="I20263" s="1358"/>
    </row>
    <row r="20264" spans="8:9">
      <c r="H20264" s="1358"/>
      <c r="I20264" s="1358"/>
    </row>
    <row r="20265" spans="8:9">
      <c r="H20265" s="1358"/>
      <c r="I20265" s="1358"/>
    </row>
    <row r="20266" spans="8:9">
      <c r="H20266" s="1358"/>
      <c r="I20266" s="1358"/>
    </row>
    <row r="20267" spans="8:9">
      <c r="H20267" s="1358"/>
      <c r="I20267" s="1358"/>
    </row>
    <row r="20268" spans="8:9">
      <c r="H20268" s="1358"/>
      <c r="I20268" s="1358"/>
    </row>
    <row r="20269" spans="8:9">
      <c r="H20269" s="1358"/>
      <c r="I20269" s="1358"/>
    </row>
    <row r="20270" spans="8:9">
      <c r="H20270" s="1358"/>
      <c r="I20270" s="1358"/>
    </row>
    <row r="20271" spans="8:9">
      <c r="H20271" s="1358"/>
      <c r="I20271" s="1358"/>
    </row>
    <row r="20272" spans="8:9">
      <c r="H20272" s="1358"/>
      <c r="I20272" s="1358"/>
    </row>
    <row r="20273" spans="8:9">
      <c r="H20273" s="1358"/>
      <c r="I20273" s="1358"/>
    </row>
    <row r="20274" spans="8:9">
      <c r="H20274" s="1358"/>
      <c r="I20274" s="1358"/>
    </row>
    <row r="20275" spans="8:9">
      <c r="H20275" s="1358"/>
      <c r="I20275" s="1358"/>
    </row>
    <row r="20276" spans="8:9">
      <c r="H20276" s="1358"/>
      <c r="I20276" s="1358"/>
    </row>
    <row r="20277" spans="8:9">
      <c r="H20277" s="1358"/>
      <c r="I20277" s="1358"/>
    </row>
    <row r="20278" spans="8:9">
      <c r="H20278" s="1358"/>
      <c r="I20278" s="1358"/>
    </row>
    <row r="20279" spans="8:9">
      <c r="H20279" s="1358"/>
      <c r="I20279" s="1358"/>
    </row>
    <row r="20280" spans="8:9">
      <c r="H20280" s="1358"/>
      <c r="I20280" s="1358"/>
    </row>
    <row r="20281" spans="8:9">
      <c r="H20281" s="1358"/>
      <c r="I20281" s="1358"/>
    </row>
    <row r="20282" spans="8:9">
      <c r="H20282" s="1358"/>
      <c r="I20282" s="1358"/>
    </row>
    <row r="20283" spans="8:9">
      <c r="H20283" s="1358"/>
      <c r="I20283" s="1358"/>
    </row>
    <row r="20284" spans="8:9">
      <c r="H20284" s="1358"/>
      <c r="I20284" s="1358"/>
    </row>
    <row r="20285" spans="8:9">
      <c r="H20285" s="1358"/>
      <c r="I20285" s="1358"/>
    </row>
    <row r="20286" spans="8:9">
      <c r="H20286" s="1358"/>
      <c r="I20286" s="1358"/>
    </row>
    <row r="20287" spans="8:9">
      <c r="H20287" s="1358"/>
      <c r="I20287" s="1358"/>
    </row>
    <row r="20288" spans="8:9">
      <c r="H20288" s="1358"/>
      <c r="I20288" s="1358"/>
    </row>
    <row r="20289" spans="8:9">
      <c r="H20289" s="1358"/>
      <c r="I20289" s="1358"/>
    </row>
    <row r="20290" spans="8:9">
      <c r="H20290" s="1358"/>
      <c r="I20290" s="1358"/>
    </row>
    <row r="20291" spans="8:9">
      <c r="H20291" s="1358"/>
      <c r="I20291" s="1358"/>
    </row>
    <row r="20292" spans="8:9">
      <c r="H20292" s="1358"/>
      <c r="I20292" s="1358"/>
    </row>
    <row r="20293" spans="8:9">
      <c r="H20293" s="1358"/>
      <c r="I20293" s="1358"/>
    </row>
    <row r="20294" spans="8:9">
      <c r="H20294" s="1358"/>
      <c r="I20294" s="1358"/>
    </row>
    <row r="20295" spans="8:9">
      <c r="H20295" s="1358"/>
      <c r="I20295" s="1358"/>
    </row>
    <row r="20296" spans="8:9">
      <c r="H20296" s="1358"/>
      <c r="I20296" s="1358"/>
    </row>
    <row r="20297" spans="8:9">
      <c r="H20297" s="1358"/>
      <c r="I20297" s="1358"/>
    </row>
    <row r="20298" spans="8:9">
      <c r="H20298" s="1358"/>
      <c r="I20298" s="1358"/>
    </row>
    <row r="20299" spans="8:9">
      <c r="H20299" s="1358"/>
      <c r="I20299" s="1358"/>
    </row>
    <row r="20300" spans="8:9">
      <c r="H20300" s="1358"/>
      <c r="I20300" s="1358"/>
    </row>
    <row r="20301" spans="8:9">
      <c r="H20301" s="1358"/>
      <c r="I20301" s="1358"/>
    </row>
    <row r="20302" spans="8:9">
      <c r="H20302" s="1358"/>
      <c r="I20302" s="1358"/>
    </row>
    <row r="20303" spans="8:9">
      <c r="H20303" s="1358"/>
      <c r="I20303" s="1358"/>
    </row>
    <row r="20304" spans="8:9">
      <c r="H20304" s="1358"/>
      <c r="I20304" s="1358"/>
    </row>
    <row r="20305" spans="8:9">
      <c r="H20305" s="1358"/>
      <c r="I20305" s="1358"/>
    </row>
    <row r="20306" spans="8:9">
      <c r="H20306" s="1358"/>
      <c r="I20306" s="1358"/>
    </row>
    <row r="20307" spans="8:9">
      <c r="H20307" s="1358"/>
      <c r="I20307" s="1358"/>
    </row>
    <row r="20308" spans="8:9">
      <c r="H20308" s="1358"/>
      <c r="I20308" s="1358"/>
    </row>
    <row r="20309" spans="8:9">
      <c r="H20309" s="1358"/>
      <c r="I20309" s="1358"/>
    </row>
    <row r="20310" spans="8:9">
      <c r="H20310" s="1358"/>
      <c r="I20310" s="1358"/>
    </row>
    <row r="20311" spans="8:9">
      <c r="H20311" s="1358"/>
      <c r="I20311" s="1358"/>
    </row>
    <row r="20312" spans="8:9">
      <c r="H20312" s="1358"/>
      <c r="I20312" s="1358"/>
    </row>
    <row r="20313" spans="8:9">
      <c r="H20313" s="1358"/>
      <c r="I20313" s="1358"/>
    </row>
    <row r="20314" spans="8:9">
      <c r="H20314" s="1358"/>
      <c r="I20314" s="1358"/>
    </row>
    <row r="20315" spans="8:9">
      <c r="H20315" s="1358"/>
      <c r="I20315" s="1358"/>
    </row>
    <row r="20316" spans="8:9">
      <c r="H20316" s="1358"/>
      <c r="I20316" s="1358"/>
    </row>
    <row r="20317" spans="8:9">
      <c r="H20317" s="1358"/>
      <c r="I20317" s="1358"/>
    </row>
    <row r="20318" spans="8:9">
      <c r="H20318" s="1358"/>
      <c r="I20318" s="1358"/>
    </row>
    <row r="20319" spans="8:9">
      <c r="H20319" s="1358"/>
      <c r="I20319" s="1358"/>
    </row>
    <row r="20320" spans="8:9">
      <c r="H20320" s="1358"/>
      <c r="I20320" s="1358"/>
    </row>
    <row r="20321" spans="8:9">
      <c r="H20321" s="1358"/>
      <c r="I20321" s="1358"/>
    </row>
    <row r="20322" spans="8:9">
      <c r="H20322" s="1358"/>
      <c r="I20322" s="1358"/>
    </row>
    <row r="20323" spans="8:9">
      <c r="H20323" s="1358"/>
      <c r="I20323" s="1358"/>
    </row>
    <row r="20324" spans="8:9">
      <c r="H20324" s="1358"/>
      <c r="I20324" s="1358"/>
    </row>
    <row r="20325" spans="8:9">
      <c r="H20325" s="1358"/>
      <c r="I20325" s="1358"/>
    </row>
    <row r="20326" spans="8:9">
      <c r="H20326" s="1358"/>
      <c r="I20326" s="1358"/>
    </row>
    <row r="20327" spans="8:9">
      <c r="H20327" s="1358"/>
      <c r="I20327" s="1358"/>
    </row>
    <row r="20328" spans="8:9">
      <c r="H20328" s="1358"/>
      <c r="I20328" s="1358"/>
    </row>
    <row r="20329" spans="8:9">
      <c r="H20329" s="1358"/>
      <c r="I20329" s="1358"/>
    </row>
    <row r="20330" spans="8:9">
      <c r="H20330" s="1358"/>
      <c r="I20330" s="1358"/>
    </row>
    <row r="20331" spans="8:9">
      <c r="H20331" s="1358"/>
      <c r="I20331" s="1358"/>
    </row>
    <row r="20332" spans="8:9">
      <c r="H20332" s="1358"/>
      <c r="I20332" s="1358"/>
    </row>
    <row r="20333" spans="8:9">
      <c r="H20333" s="1358"/>
      <c r="I20333" s="1358"/>
    </row>
    <row r="20334" spans="8:9">
      <c r="H20334" s="1358"/>
      <c r="I20334" s="1358"/>
    </row>
    <row r="20335" spans="8:9">
      <c r="H20335" s="1358"/>
      <c r="I20335" s="1358"/>
    </row>
    <row r="20336" spans="8:9">
      <c r="H20336" s="1358"/>
      <c r="I20336" s="1358"/>
    </row>
    <row r="20337" spans="8:9">
      <c r="H20337" s="1358"/>
      <c r="I20337" s="1358"/>
    </row>
    <row r="20338" spans="8:9">
      <c r="H20338" s="1358"/>
      <c r="I20338" s="1358"/>
    </row>
    <row r="20339" spans="8:9">
      <c r="H20339" s="1358"/>
      <c r="I20339" s="1358"/>
    </row>
    <row r="20340" spans="8:9">
      <c r="H20340" s="1358"/>
      <c r="I20340" s="1358"/>
    </row>
    <row r="20341" spans="8:9">
      <c r="H20341" s="1358"/>
      <c r="I20341" s="1358"/>
    </row>
    <row r="20342" spans="8:9">
      <c r="H20342" s="1358"/>
      <c r="I20342" s="1358"/>
    </row>
    <row r="20343" spans="8:9">
      <c r="H20343" s="1358"/>
      <c r="I20343" s="1358"/>
    </row>
    <row r="20344" spans="8:9">
      <c r="H20344" s="1358"/>
      <c r="I20344" s="1358"/>
    </row>
    <row r="20345" spans="8:9">
      <c r="H20345" s="1358"/>
      <c r="I20345" s="1358"/>
    </row>
    <row r="20346" spans="8:9">
      <c r="H20346" s="1358"/>
      <c r="I20346" s="1358"/>
    </row>
    <row r="20347" spans="8:9">
      <c r="H20347" s="1358"/>
      <c r="I20347" s="1358"/>
    </row>
    <row r="20348" spans="8:9">
      <c r="H20348" s="1358"/>
      <c r="I20348" s="1358"/>
    </row>
    <row r="20349" spans="8:9">
      <c r="H20349" s="1358"/>
      <c r="I20349" s="1358"/>
    </row>
    <row r="20350" spans="8:9">
      <c r="H20350" s="1358"/>
      <c r="I20350" s="1358"/>
    </row>
    <row r="20351" spans="8:9">
      <c r="H20351" s="1358"/>
      <c r="I20351" s="1358"/>
    </row>
    <row r="20352" spans="8:9">
      <c r="H20352" s="1358"/>
      <c r="I20352" s="1358"/>
    </row>
    <row r="20353" spans="8:9">
      <c r="H20353" s="1358"/>
      <c r="I20353" s="1358"/>
    </row>
    <row r="20354" spans="8:9">
      <c r="H20354" s="1358"/>
      <c r="I20354" s="1358"/>
    </row>
    <row r="20355" spans="8:9">
      <c r="H20355" s="1358"/>
      <c r="I20355" s="1358"/>
    </row>
    <row r="20356" spans="8:9">
      <c r="H20356" s="1358"/>
      <c r="I20356" s="1358"/>
    </row>
    <row r="20357" spans="8:9">
      <c r="H20357" s="1358"/>
      <c r="I20357" s="1358"/>
    </row>
    <row r="20358" spans="8:9">
      <c r="H20358" s="1358"/>
      <c r="I20358" s="1358"/>
    </row>
    <row r="20359" spans="8:9">
      <c r="H20359" s="1358"/>
      <c r="I20359" s="1358"/>
    </row>
    <row r="20360" spans="8:9">
      <c r="H20360" s="1358"/>
      <c r="I20360" s="1358"/>
    </row>
    <row r="20361" spans="8:9">
      <c r="H20361" s="1358"/>
      <c r="I20361" s="1358"/>
    </row>
    <row r="20362" spans="8:9">
      <c r="H20362" s="1358"/>
      <c r="I20362" s="1358"/>
    </row>
    <row r="20363" spans="8:9">
      <c r="H20363" s="1358"/>
      <c r="I20363" s="1358"/>
    </row>
    <row r="20364" spans="8:9">
      <c r="H20364" s="1358"/>
      <c r="I20364" s="1358"/>
    </row>
    <row r="20365" spans="8:9">
      <c r="H20365" s="1358"/>
      <c r="I20365" s="1358"/>
    </row>
    <row r="20366" spans="8:9">
      <c r="H20366" s="1358"/>
      <c r="I20366" s="1358"/>
    </row>
    <row r="20367" spans="8:9">
      <c r="H20367" s="1358"/>
      <c r="I20367" s="1358"/>
    </row>
    <row r="20368" spans="8:9">
      <c r="H20368" s="1358"/>
      <c r="I20368" s="1358"/>
    </row>
    <row r="20369" spans="8:9">
      <c r="H20369" s="1358"/>
      <c r="I20369" s="1358"/>
    </row>
    <row r="20370" spans="8:9">
      <c r="H20370" s="1358"/>
      <c r="I20370" s="1358"/>
    </row>
    <row r="20371" spans="8:9">
      <c r="H20371" s="1358"/>
      <c r="I20371" s="1358"/>
    </row>
    <row r="20372" spans="8:9">
      <c r="H20372" s="1358"/>
      <c r="I20372" s="1358"/>
    </row>
    <row r="20373" spans="8:9">
      <c r="H20373" s="1358"/>
      <c r="I20373" s="1358"/>
    </row>
    <row r="20374" spans="8:9">
      <c r="H20374" s="1358"/>
      <c r="I20374" s="1358"/>
    </row>
    <row r="20375" spans="8:9">
      <c r="H20375" s="1358"/>
      <c r="I20375" s="1358"/>
    </row>
    <row r="20376" spans="8:9">
      <c r="H20376" s="1358"/>
      <c r="I20376" s="1358"/>
    </row>
    <row r="20377" spans="8:9">
      <c r="H20377" s="1358"/>
      <c r="I20377" s="1358"/>
    </row>
    <row r="20378" spans="8:9">
      <c r="H20378" s="1358"/>
      <c r="I20378" s="1358"/>
    </row>
    <row r="20379" spans="8:9">
      <c r="H20379" s="1358"/>
      <c r="I20379" s="1358"/>
    </row>
    <row r="20380" spans="8:9">
      <c r="H20380" s="1358"/>
      <c r="I20380" s="1358"/>
    </row>
    <row r="20381" spans="8:9">
      <c r="H20381" s="1358"/>
      <c r="I20381" s="1358"/>
    </row>
    <row r="20382" spans="8:9">
      <c r="H20382" s="1358"/>
      <c r="I20382" s="1358"/>
    </row>
    <row r="20383" spans="8:9">
      <c r="H20383" s="1358"/>
      <c r="I20383" s="1358"/>
    </row>
    <row r="20384" spans="8:9">
      <c r="H20384" s="1358"/>
      <c r="I20384" s="1358"/>
    </row>
    <row r="20385" spans="8:9">
      <c r="H20385" s="1358"/>
      <c r="I20385" s="1358"/>
    </row>
    <row r="20386" spans="8:9">
      <c r="H20386" s="1358"/>
      <c r="I20386" s="1358"/>
    </row>
    <row r="20387" spans="8:9">
      <c r="H20387" s="1358"/>
      <c r="I20387" s="1358"/>
    </row>
    <row r="20388" spans="8:9">
      <c r="H20388" s="1358"/>
      <c r="I20388" s="1358"/>
    </row>
    <row r="20389" spans="8:9">
      <c r="H20389" s="1358"/>
      <c r="I20389" s="1358"/>
    </row>
    <row r="20390" spans="8:9">
      <c r="H20390" s="1358"/>
      <c r="I20390" s="1358"/>
    </row>
    <row r="20391" spans="8:9">
      <c r="H20391" s="1358"/>
      <c r="I20391" s="1358"/>
    </row>
    <row r="20392" spans="8:9">
      <c r="H20392" s="1358"/>
      <c r="I20392" s="1358"/>
    </row>
    <row r="20393" spans="8:9">
      <c r="H20393" s="1358"/>
      <c r="I20393" s="1358"/>
    </row>
    <row r="20394" spans="8:9">
      <c r="H20394" s="1358"/>
      <c r="I20394" s="1358"/>
    </row>
    <row r="20395" spans="8:9">
      <c r="H20395" s="1358"/>
      <c r="I20395" s="1358"/>
    </row>
    <row r="20396" spans="8:9">
      <c r="H20396" s="1358"/>
      <c r="I20396" s="1358"/>
    </row>
    <row r="20397" spans="8:9">
      <c r="H20397" s="1358"/>
      <c r="I20397" s="1358"/>
    </row>
    <row r="20398" spans="8:9">
      <c r="H20398" s="1358"/>
      <c r="I20398" s="1358"/>
    </row>
    <row r="20399" spans="8:9">
      <c r="H20399" s="1358"/>
      <c r="I20399" s="1358"/>
    </row>
    <row r="20400" spans="8:9">
      <c r="H20400" s="1358"/>
      <c r="I20400" s="1358"/>
    </row>
    <row r="20401" spans="8:9">
      <c r="H20401" s="1358"/>
      <c r="I20401" s="1358"/>
    </row>
    <row r="20402" spans="8:9">
      <c r="H20402" s="1358"/>
      <c r="I20402" s="1358"/>
    </row>
    <row r="20403" spans="8:9">
      <c r="H20403" s="1358"/>
      <c r="I20403" s="1358"/>
    </row>
    <row r="20404" spans="8:9">
      <c r="H20404" s="1358"/>
      <c r="I20404" s="1358"/>
    </row>
    <row r="20405" spans="8:9">
      <c r="H20405" s="1358"/>
      <c r="I20405" s="1358"/>
    </row>
    <row r="20406" spans="8:9">
      <c r="H20406" s="1358"/>
      <c r="I20406" s="1358"/>
    </row>
    <row r="20407" spans="8:9">
      <c r="H20407" s="1358"/>
      <c r="I20407" s="1358"/>
    </row>
    <row r="20408" spans="8:9">
      <c r="H20408" s="1358"/>
      <c r="I20408" s="1358"/>
    </row>
    <row r="20409" spans="8:9">
      <c r="H20409" s="1358"/>
      <c r="I20409" s="1358"/>
    </row>
    <row r="20410" spans="8:9">
      <c r="H20410" s="1358"/>
      <c r="I20410" s="1358"/>
    </row>
    <row r="20411" spans="8:9">
      <c r="H20411" s="1358"/>
      <c r="I20411" s="1358"/>
    </row>
    <row r="20412" spans="8:9">
      <c r="H20412" s="1358"/>
      <c r="I20412" s="1358"/>
    </row>
    <row r="20413" spans="8:9">
      <c r="H20413" s="1358"/>
      <c r="I20413" s="1358"/>
    </row>
    <row r="20414" spans="8:9">
      <c r="H20414" s="1358"/>
      <c r="I20414" s="1358"/>
    </row>
    <row r="20415" spans="8:9">
      <c r="H20415" s="1358"/>
      <c r="I20415" s="1358"/>
    </row>
    <row r="20416" spans="8:9">
      <c r="H20416" s="1358"/>
      <c r="I20416" s="1358"/>
    </row>
    <row r="20417" spans="8:9">
      <c r="H20417" s="1358"/>
      <c r="I20417" s="1358"/>
    </row>
    <row r="20418" spans="8:9">
      <c r="H20418" s="1358"/>
      <c r="I20418" s="1358"/>
    </row>
    <row r="20419" spans="8:9">
      <c r="H20419" s="1358"/>
      <c r="I20419" s="1358"/>
    </row>
    <row r="20420" spans="8:9">
      <c r="H20420" s="1358"/>
      <c r="I20420" s="1358"/>
    </row>
    <row r="20421" spans="8:9">
      <c r="H20421" s="1358"/>
      <c r="I20421" s="1358"/>
    </row>
    <row r="20422" spans="8:9">
      <c r="H20422" s="1358"/>
      <c r="I20422" s="1358"/>
    </row>
    <row r="20423" spans="8:9">
      <c r="H20423" s="1358"/>
      <c r="I20423" s="1358"/>
    </row>
    <row r="20424" spans="8:9">
      <c r="H20424" s="1358"/>
      <c r="I20424" s="1358"/>
    </row>
    <row r="20425" spans="8:9">
      <c r="H20425" s="1358"/>
      <c r="I20425" s="1358"/>
    </row>
    <row r="20426" spans="8:9">
      <c r="H20426" s="1358"/>
      <c r="I20426" s="1358"/>
    </row>
    <row r="20427" spans="8:9">
      <c r="H20427" s="1358"/>
      <c r="I20427" s="1358"/>
    </row>
    <row r="20428" spans="8:9">
      <c r="H20428" s="1358"/>
      <c r="I20428" s="1358"/>
    </row>
    <row r="20429" spans="8:9">
      <c r="H20429" s="1358"/>
      <c r="I20429" s="1358"/>
    </row>
    <row r="20430" spans="8:9">
      <c r="H20430" s="1358"/>
      <c r="I20430" s="1358"/>
    </row>
    <row r="20431" spans="8:9">
      <c r="H20431" s="1358"/>
      <c r="I20431" s="1358"/>
    </row>
    <row r="20432" spans="8:9">
      <c r="H20432" s="1358"/>
      <c r="I20432" s="1358"/>
    </row>
    <row r="20433" spans="8:9">
      <c r="H20433" s="1358"/>
      <c r="I20433" s="1358"/>
    </row>
    <row r="20434" spans="8:9">
      <c r="H20434" s="1358"/>
      <c r="I20434" s="1358"/>
    </row>
    <row r="20435" spans="8:9">
      <c r="H20435" s="1358"/>
      <c r="I20435" s="1358"/>
    </row>
    <row r="20436" spans="8:9">
      <c r="H20436" s="1358"/>
      <c r="I20436" s="1358"/>
    </row>
    <row r="20437" spans="8:9">
      <c r="H20437" s="1358"/>
      <c r="I20437" s="1358"/>
    </row>
    <row r="20438" spans="8:9">
      <c r="H20438" s="1358"/>
      <c r="I20438" s="1358"/>
    </row>
    <row r="20439" spans="8:9">
      <c r="H20439" s="1358"/>
      <c r="I20439" s="1358"/>
    </row>
    <row r="20440" spans="8:9">
      <c r="H20440" s="1358"/>
      <c r="I20440" s="1358"/>
    </row>
    <row r="20441" spans="8:9">
      <c r="H20441" s="1358"/>
      <c r="I20441" s="1358"/>
    </row>
    <row r="20442" spans="8:9">
      <c r="H20442" s="1358"/>
      <c r="I20442" s="1358"/>
    </row>
    <row r="20443" spans="8:9">
      <c r="H20443" s="1358"/>
      <c r="I20443" s="1358"/>
    </row>
    <row r="20444" spans="8:9">
      <c r="H20444" s="1358"/>
      <c r="I20444" s="1358"/>
    </row>
    <row r="20445" spans="8:9">
      <c r="H20445" s="1358"/>
      <c r="I20445" s="1358"/>
    </row>
    <row r="20446" spans="8:9">
      <c r="H20446" s="1358"/>
      <c r="I20446" s="1358"/>
    </row>
    <row r="20447" spans="8:9">
      <c r="H20447" s="1358"/>
      <c r="I20447" s="1358"/>
    </row>
    <row r="20448" spans="8:9">
      <c r="H20448" s="1358"/>
      <c r="I20448" s="1358"/>
    </row>
    <row r="20449" spans="8:9">
      <c r="H20449" s="1358"/>
      <c r="I20449" s="1358"/>
    </row>
    <row r="20450" spans="8:9">
      <c r="H20450" s="1358"/>
      <c r="I20450" s="1358"/>
    </row>
    <row r="20451" spans="8:9">
      <c r="H20451" s="1358"/>
      <c r="I20451" s="1358"/>
    </row>
    <row r="20452" spans="8:9">
      <c r="H20452" s="1358"/>
      <c r="I20452" s="1358"/>
    </row>
    <row r="20453" spans="8:9">
      <c r="H20453" s="1358"/>
      <c r="I20453" s="1358"/>
    </row>
    <row r="20454" spans="8:9">
      <c r="H20454" s="1358"/>
      <c r="I20454" s="1358"/>
    </row>
    <row r="20455" spans="8:9">
      <c r="H20455" s="1358"/>
      <c r="I20455" s="1358"/>
    </row>
    <row r="20456" spans="8:9">
      <c r="H20456" s="1358"/>
      <c r="I20456" s="1358"/>
    </row>
    <row r="20457" spans="8:9">
      <c r="H20457" s="1358"/>
      <c r="I20457" s="1358"/>
    </row>
    <row r="20458" spans="8:9">
      <c r="H20458" s="1358"/>
      <c r="I20458" s="1358"/>
    </row>
    <row r="20459" spans="8:9">
      <c r="H20459" s="1358"/>
      <c r="I20459" s="1358"/>
    </row>
    <row r="20460" spans="8:9">
      <c r="H20460" s="1358"/>
      <c r="I20460" s="1358"/>
    </row>
    <row r="20461" spans="8:9">
      <c r="H20461" s="1358"/>
      <c r="I20461" s="1358"/>
    </row>
    <row r="20462" spans="8:9">
      <c r="H20462" s="1358"/>
      <c r="I20462" s="1358"/>
    </row>
    <row r="20463" spans="8:9">
      <c r="H20463" s="1358"/>
      <c r="I20463" s="1358"/>
    </row>
    <row r="20464" spans="8:9">
      <c r="H20464" s="1358"/>
      <c r="I20464" s="1358"/>
    </row>
    <row r="20465" spans="8:9">
      <c r="H20465" s="1358"/>
      <c r="I20465" s="1358"/>
    </row>
    <row r="20466" spans="8:9">
      <c r="H20466" s="1358"/>
      <c r="I20466" s="1358"/>
    </row>
    <row r="20467" spans="8:9">
      <c r="H20467" s="1358"/>
      <c r="I20467" s="1358"/>
    </row>
    <row r="20468" spans="8:9">
      <c r="H20468" s="1358"/>
      <c r="I20468" s="1358"/>
    </row>
    <row r="20469" spans="8:9">
      <c r="H20469" s="1358"/>
      <c r="I20469" s="1358"/>
    </row>
    <row r="20470" spans="8:9">
      <c r="H20470" s="1358"/>
      <c r="I20470" s="1358"/>
    </row>
    <row r="20471" spans="8:9">
      <c r="H20471" s="1358"/>
      <c r="I20471" s="1358"/>
    </row>
    <row r="20472" spans="8:9">
      <c r="H20472" s="1358"/>
      <c r="I20472" s="1358"/>
    </row>
    <row r="20473" spans="8:9">
      <c r="H20473" s="1358"/>
      <c r="I20473" s="1358"/>
    </row>
    <row r="20474" spans="8:9">
      <c r="H20474" s="1358"/>
      <c r="I20474" s="1358"/>
    </row>
    <row r="20475" spans="8:9">
      <c r="H20475" s="1358"/>
      <c r="I20475" s="1358"/>
    </row>
    <row r="20476" spans="8:9">
      <c r="H20476" s="1358"/>
      <c r="I20476" s="1358"/>
    </row>
    <row r="20477" spans="8:9">
      <c r="H20477" s="1358"/>
      <c r="I20477" s="1358"/>
    </row>
    <row r="20478" spans="8:9">
      <c r="H20478" s="1358"/>
      <c r="I20478" s="1358"/>
    </row>
    <row r="20479" spans="8:9">
      <c r="H20479" s="1358"/>
      <c r="I20479" s="1358"/>
    </row>
    <row r="20480" spans="8:9">
      <c r="H20480" s="1358"/>
      <c r="I20480" s="1358"/>
    </row>
    <row r="20481" spans="8:9">
      <c r="H20481" s="1358"/>
      <c r="I20481" s="1358"/>
    </row>
    <row r="20482" spans="8:9">
      <c r="H20482" s="1358"/>
      <c r="I20482" s="1358"/>
    </row>
    <row r="20483" spans="8:9">
      <c r="H20483" s="1358"/>
      <c r="I20483" s="1358"/>
    </row>
    <row r="20484" spans="8:9">
      <c r="H20484" s="1358"/>
      <c r="I20484" s="1358"/>
    </row>
    <row r="20485" spans="8:9">
      <c r="H20485" s="1358"/>
      <c r="I20485" s="1358"/>
    </row>
    <row r="20486" spans="8:9">
      <c r="H20486" s="1358"/>
      <c r="I20486" s="1358"/>
    </row>
    <row r="20487" spans="8:9">
      <c r="H20487" s="1358"/>
      <c r="I20487" s="1358"/>
    </row>
    <row r="20488" spans="8:9">
      <c r="H20488" s="1358"/>
      <c r="I20488" s="1358"/>
    </row>
    <row r="20489" spans="8:9">
      <c r="H20489" s="1358"/>
      <c r="I20489" s="1358"/>
    </row>
    <row r="20490" spans="8:9">
      <c r="H20490" s="1358"/>
      <c r="I20490" s="1358"/>
    </row>
    <row r="20491" spans="8:9">
      <c r="H20491" s="1358"/>
      <c r="I20491" s="1358"/>
    </row>
    <row r="20492" spans="8:9">
      <c r="H20492" s="1358"/>
      <c r="I20492" s="1358"/>
    </row>
    <row r="20493" spans="8:9">
      <c r="H20493" s="1358"/>
      <c r="I20493" s="1358"/>
    </row>
    <row r="20494" spans="8:9">
      <c r="H20494" s="1358"/>
      <c r="I20494" s="1358"/>
    </row>
    <row r="20495" spans="8:9">
      <c r="H20495" s="1358"/>
      <c r="I20495" s="1358"/>
    </row>
    <row r="20496" spans="8:9">
      <c r="H20496" s="1358"/>
      <c r="I20496" s="1358"/>
    </row>
    <row r="20497" spans="8:9">
      <c r="H20497" s="1358"/>
      <c r="I20497" s="1358"/>
    </row>
    <row r="20498" spans="8:9">
      <c r="H20498" s="1358"/>
      <c r="I20498" s="1358"/>
    </row>
    <row r="20499" spans="8:9">
      <c r="H20499" s="1358"/>
      <c r="I20499" s="1358"/>
    </row>
    <row r="20500" spans="8:9">
      <c r="H20500" s="1358"/>
      <c r="I20500" s="1358"/>
    </row>
    <row r="20501" spans="8:9">
      <c r="H20501" s="1358"/>
      <c r="I20501" s="1358"/>
    </row>
    <row r="20502" spans="8:9">
      <c r="H20502" s="1358"/>
      <c r="I20502" s="1358"/>
    </row>
    <row r="20503" spans="8:9">
      <c r="H20503" s="1358"/>
      <c r="I20503" s="1358"/>
    </row>
    <row r="20504" spans="8:9">
      <c r="H20504" s="1358"/>
      <c r="I20504" s="1358"/>
    </row>
    <row r="20505" spans="8:9">
      <c r="H20505" s="1358"/>
      <c r="I20505" s="1358"/>
    </row>
    <row r="20506" spans="8:9">
      <c r="H20506" s="1358"/>
      <c r="I20506" s="1358"/>
    </row>
    <row r="20507" spans="8:9">
      <c r="H20507" s="1358"/>
      <c r="I20507" s="1358"/>
    </row>
    <row r="20508" spans="8:9">
      <c r="H20508" s="1358"/>
      <c r="I20508" s="1358"/>
    </row>
    <row r="20509" spans="8:9">
      <c r="H20509" s="1358"/>
      <c r="I20509" s="1358"/>
    </row>
    <row r="20510" spans="8:9">
      <c r="H20510" s="1358"/>
      <c r="I20510" s="1358"/>
    </row>
    <row r="20511" spans="8:9">
      <c r="H20511" s="1358"/>
      <c r="I20511" s="1358"/>
    </row>
    <row r="20512" spans="8:9">
      <c r="H20512" s="1358"/>
      <c r="I20512" s="1358"/>
    </row>
    <row r="20513" spans="8:9">
      <c r="H20513" s="1358"/>
      <c r="I20513" s="1358"/>
    </row>
    <row r="20514" spans="8:9">
      <c r="H20514" s="1358"/>
      <c r="I20514" s="1358"/>
    </row>
    <row r="20515" spans="8:9">
      <c r="H20515" s="1358"/>
      <c r="I20515" s="1358"/>
    </row>
    <row r="20516" spans="8:9">
      <c r="H20516" s="1358"/>
      <c r="I20516" s="1358"/>
    </row>
    <row r="20517" spans="8:9">
      <c r="H20517" s="1358"/>
      <c r="I20517" s="1358"/>
    </row>
    <row r="20518" spans="8:9">
      <c r="H20518" s="1358"/>
      <c r="I20518" s="1358"/>
    </row>
    <row r="20519" spans="8:9">
      <c r="H20519" s="1358"/>
      <c r="I20519" s="1358"/>
    </row>
    <row r="20520" spans="8:9">
      <c r="H20520" s="1358"/>
      <c r="I20520" s="1358"/>
    </row>
    <row r="20521" spans="8:9">
      <c r="H20521" s="1358"/>
      <c r="I20521" s="1358"/>
    </row>
    <row r="20522" spans="8:9">
      <c r="H20522" s="1358"/>
      <c r="I20522" s="1358"/>
    </row>
    <row r="20523" spans="8:9">
      <c r="H20523" s="1358"/>
      <c r="I20523" s="1358"/>
    </row>
    <row r="20524" spans="8:9">
      <c r="H20524" s="1358"/>
      <c r="I20524" s="1358"/>
    </row>
    <row r="20525" spans="8:9">
      <c r="H20525" s="1358"/>
      <c r="I20525" s="1358"/>
    </row>
    <row r="20526" spans="8:9">
      <c r="H20526" s="1358"/>
      <c r="I20526" s="1358"/>
    </row>
    <row r="20527" spans="8:9">
      <c r="H20527" s="1358"/>
      <c r="I20527" s="1358"/>
    </row>
    <row r="20528" spans="8:9">
      <c r="H20528" s="1358"/>
      <c r="I20528" s="1358"/>
    </row>
    <row r="20529" spans="8:9">
      <c r="H20529" s="1358"/>
      <c r="I20529" s="1358"/>
    </row>
    <row r="20530" spans="8:9">
      <c r="H20530" s="1358"/>
      <c r="I20530" s="1358"/>
    </row>
    <row r="20531" spans="8:9">
      <c r="H20531" s="1358"/>
      <c r="I20531" s="1358"/>
    </row>
    <row r="20532" spans="8:9">
      <c r="H20532" s="1358"/>
      <c r="I20532" s="1358"/>
    </row>
    <row r="20533" spans="8:9">
      <c r="H20533" s="1358"/>
      <c r="I20533" s="1358"/>
    </row>
    <row r="20534" spans="8:9">
      <c r="H20534" s="1358"/>
      <c r="I20534" s="1358"/>
    </row>
    <row r="20535" spans="8:9">
      <c r="H20535" s="1358"/>
      <c r="I20535" s="1358"/>
    </row>
    <row r="20536" spans="8:9">
      <c r="H20536" s="1358"/>
      <c r="I20536" s="1358"/>
    </row>
    <row r="20537" spans="8:9">
      <c r="H20537" s="1358"/>
      <c r="I20537" s="1358"/>
    </row>
    <row r="20538" spans="8:9">
      <c r="H20538" s="1358"/>
      <c r="I20538" s="1358"/>
    </row>
    <row r="20539" spans="8:9">
      <c r="H20539" s="1358"/>
      <c r="I20539" s="1358"/>
    </row>
    <row r="20540" spans="8:9">
      <c r="H20540" s="1358"/>
      <c r="I20540" s="1358"/>
    </row>
    <row r="20541" spans="8:9">
      <c r="H20541" s="1358"/>
      <c r="I20541" s="1358"/>
    </row>
    <row r="20542" spans="8:9">
      <c r="H20542" s="1358"/>
      <c r="I20542" s="1358"/>
    </row>
    <row r="20543" spans="8:9">
      <c r="H20543" s="1358"/>
      <c r="I20543" s="1358"/>
    </row>
    <row r="20544" spans="8:9">
      <c r="H20544" s="1358"/>
      <c r="I20544" s="1358"/>
    </row>
    <row r="20545" spans="8:9">
      <c r="H20545" s="1358"/>
      <c r="I20545" s="1358"/>
    </row>
    <row r="20546" spans="8:9">
      <c r="H20546" s="1358"/>
      <c r="I20546" s="1358"/>
    </row>
    <row r="20547" spans="8:9">
      <c r="H20547" s="1358"/>
      <c r="I20547" s="1358"/>
    </row>
    <row r="20548" spans="8:9">
      <c r="H20548" s="1358"/>
      <c r="I20548" s="1358"/>
    </row>
    <row r="20549" spans="8:9">
      <c r="H20549" s="1358"/>
      <c r="I20549" s="1358"/>
    </row>
    <row r="20550" spans="8:9">
      <c r="H20550" s="1358"/>
      <c r="I20550" s="1358"/>
    </row>
    <row r="20551" spans="8:9">
      <c r="H20551" s="1358"/>
      <c r="I20551" s="1358"/>
    </row>
    <row r="20552" spans="8:9">
      <c r="H20552" s="1358"/>
      <c r="I20552" s="1358"/>
    </row>
    <row r="20553" spans="8:9">
      <c r="H20553" s="1358"/>
      <c r="I20553" s="1358"/>
    </row>
    <row r="20554" spans="8:9">
      <c r="H20554" s="1358"/>
      <c r="I20554" s="1358"/>
    </row>
    <row r="20555" spans="8:9">
      <c r="H20555" s="1358"/>
      <c r="I20555" s="1358"/>
    </row>
    <row r="20556" spans="8:9">
      <c r="H20556" s="1358"/>
      <c r="I20556" s="1358"/>
    </row>
    <row r="20557" spans="8:9">
      <c r="H20557" s="1358"/>
      <c r="I20557" s="1358"/>
    </row>
    <row r="20558" spans="8:9">
      <c r="H20558" s="1358"/>
      <c r="I20558" s="1358"/>
    </row>
    <row r="20559" spans="8:9">
      <c r="H20559" s="1358"/>
      <c r="I20559" s="1358"/>
    </row>
    <row r="20560" spans="8:9">
      <c r="H20560" s="1358"/>
      <c r="I20560" s="1358"/>
    </row>
    <row r="20561" spans="8:9">
      <c r="H20561" s="1358"/>
      <c r="I20561" s="1358"/>
    </row>
    <row r="20562" spans="8:9">
      <c r="H20562" s="1358"/>
      <c r="I20562" s="1358"/>
    </row>
    <row r="20563" spans="8:9">
      <c r="H20563" s="1358"/>
      <c r="I20563" s="1358"/>
    </row>
    <row r="20564" spans="8:9">
      <c r="H20564" s="1358"/>
      <c r="I20564" s="1358"/>
    </row>
    <row r="20565" spans="8:9">
      <c r="H20565" s="1358"/>
      <c r="I20565" s="1358"/>
    </row>
    <row r="20566" spans="8:9">
      <c r="H20566" s="1358"/>
      <c r="I20566" s="1358"/>
    </row>
    <row r="20567" spans="8:9">
      <c r="H20567" s="1358"/>
      <c r="I20567" s="1358"/>
    </row>
    <row r="20568" spans="8:9">
      <c r="H20568" s="1358"/>
      <c r="I20568" s="1358"/>
    </row>
    <row r="20569" spans="8:9">
      <c r="H20569" s="1358"/>
      <c r="I20569" s="1358"/>
    </row>
    <row r="20570" spans="8:9">
      <c r="H20570" s="1358"/>
      <c r="I20570" s="1358"/>
    </row>
    <row r="20571" spans="8:9">
      <c r="H20571" s="1358"/>
      <c r="I20571" s="1358"/>
    </row>
    <row r="20572" spans="8:9">
      <c r="H20572" s="1358"/>
      <c r="I20572" s="1358"/>
    </row>
    <row r="20573" spans="8:9">
      <c r="H20573" s="1358"/>
      <c r="I20573" s="1358"/>
    </row>
    <row r="20574" spans="8:9">
      <c r="H20574" s="1358"/>
      <c r="I20574" s="1358"/>
    </row>
    <row r="20575" spans="8:9">
      <c r="H20575" s="1358"/>
      <c r="I20575" s="1358"/>
    </row>
    <row r="20576" spans="8:9">
      <c r="H20576" s="1358"/>
      <c r="I20576" s="1358"/>
    </row>
    <row r="20577" spans="8:9">
      <c r="H20577" s="1358"/>
      <c r="I20577" s="1358"/>
    </row>
    <row r="20578" spans="8:9">
      <c r="H20578" s="1358"/>
      <c r="I20578" s="1358"/>
    </row>
    <row r="20579" spans="8:9">
      <c r="H20579" s="1358"/>
      <c r="I20579" s="1358"/>
    </row>
    <row r="20580" spans="8:9">
      <c r="H20580" s="1358"/>
      <c r="I20580" s="1358"/>
    </row>
    <row r="20581" spans="8:9">
      <c r="H20581" s="1358"/>
      <c r="I20581" s="1358"/>
    </row>
    <row r="20582" spans="8:9">
      <c r="H20582" s="1358"/>
      <c r="I20582" s="1358"/>
    </row>
    <row r="20583" spans="8:9">
      <c r="H20583" s="1358"/>
      <c r="I20583" s="1358"/>
    </row>
    <row r="20584" spans="8:9">
      <c r="H20584" s="1358"/>
      <c r="I20584" s="1358"/>
    </row>
    <row r="20585" spans="8:9">
      <c r="H20585" s="1358"/>
      <c r="I20585" s="1358"/>
    </row>
    <row r="20586" spans="8:9">
      <c r="H20586" s="1358"/>
      <c r="I20586" s="1358"/>
    </row>
    <row r="20587" spans="8:9">
      <c r="H20587" s="1358"/>
      <c r="I20587" s="1358"/>
    </row>
    <row r="20588" spans="8:9">
      <c r="H20588" s="1358"/>
      <c r="I20588" s="1358"/>
    </row>
    <row r="20589" spans="8:9">
      <c r="H20589" s="1358"/>
      <c r="I20589" s="1358"/>
    </row>
    <row r="20590" spans="8:9">
      <c r="H20590" s="1358"/>
      <c r="I20590" s="1358"/>
    </row>
    <row r="20591" spans="8:9">
      <c r="H20591" s="1358"/>
      <c r="I20591" s="1358"/>
    </row>
    <row r="20592" spans="8:9">
      <c r="H20592" s="1358"/>
      <c r="I20592" s="1358"/>
    </row>
    <row r="20593" spans="8:9">
      <c r="H20593" s="1358"/>
      <c r="I20593" s="1358"/>
    </row>
    <row r="20594" spans="8:9">
      <c r="H20594" s="1358"/>
      <c r="I20594" s="1358"/>
    </row>
    <row r="20595" spans="8:9">
      <c r="H20595" s="1358"/>
      <c r="I20595" s="1358"/>
    </row>
    <row r="20596" spans="8:9">
      <c r="H20596" s="1358"/>
      <c r="I20596" s="1358"/>
    </row>
    <row r="20597" spans="8:9">
      <c r="H20597" s="1358"/>
      <c r="I20597" s="1358"/>
    </row>
    <row r="20598" spans="8:9">
      <c r="H20598" s="1358"/>
      <c r="I20598" s="1358"/>
    </row>
    <row r="20599" spans="8:9">
      <c r="H20599" s="1358"/>
      <c r="I20599" s="1358"/>
    </row>
    <row r="20600" spans="8:9">
      <c r="H20600" s="1358"/>
      <c r="I20600" s="1358"/>
    </row>
    <row r="20601" spans="8:9">
      <c r="H20601" s="1358"/>
      <c r="I20601" s="1358"/>
    </row>
    <row r="20602" spans="8:9">
      <c r="H20602" s="1358"/>
      <c r="I20602" s="1358"/>
    </row>
    <row r="20603" spans="8:9">
      <c r="H20603" s="1358"/>
      <c r="I20603" s="1358"/>
    </row>
    <row r="20604" spans="8:9">
      <c r="H20604" s="1358"/>
      <c r="I20604" s="1358"/>
    </row>
    <row r="20605" spans="8:9">
      <c r="H20605" s="1358"/>
      <c r="I20605" s="1358"/>
    </row>
    <row r="20606" spans="8:9">
      <c r="H20606" s="1358"/>
      <c r="I20606" s="1358"/>
    </row>
    <row r="20607" spans="8:9">
      <c r="H20607" s="1358"/>
      <c r="I20607" s="1358"/>
    </row>
    <row r="20608" spans="8:9">
      <c r="H20608" s="1358"/>
      <c r="I20608" s="1358"/>
    </row>
    <row r="20609" spans="8:9">
      <c r="H20609" s="1358"/>
      <c r="I20609" s="1358"/>
    </row>
    <row r="20610" spans="8:9">
      <c r="H20610" s="1358"/>
      <c r="I20610" s="1358"/>
    </row>
    <row r="20611" spans="8:9">
      <c r="H20611" s="1358"/>
      <c r="I20611" s="1358"/>
    </row>
    <row r="20612" spans="8:9">
      <c r="H20612" s="1358"/>
      <c r="I20612" s="1358"/>
    </row>
    <row r="20613" spans="8:9">
      <c r="H20613" s="1358"/>
      <c r="I20613" s="1358"/>
    </row>
    <row r="20614" spans="8:9">
      <c r="H20614" s="1358"/>
      <c r="I20614" s="1358"/>
    </row>
    <row r="20615" spans="8:9">
      <c r="H20615" s="1358"/>
      <c r="I20615" s="1358"/>
    </row>
    <row r="20616" spans="8:9">
      <c r="H20616" s="1358"/>
      <c r="I20616" s="1358"/>
    </row>
    <row r="20617" spans="8:9">
      <c r="H20617" s="1358"/>
      <c r="I20617" s="1358"/>
    </row>
    <row r="20618" spans="8:9">
      <c r="H20618" s="1358"/>
      <c r="I20618" s="1358"/>
    </row>
    <row r="20619" spans="8:9">
      <c r="H20619" s="1358"/>
      <c r="I20619" s="1358"/>
    </row>
    <row r="20620" spans="8:9">
      <c r="H20620" s="1358"/>
      <c r="I20620" s="1358"/>
    </row>
    <row r="20621" spans="8:9">
      <c r="H20621" s="1358"/>
      <c r="I20621" s="1358"/>
    </row>
    <row r="20622" spans="8:9">
      <c r="H20622" s="1358"/>
      <c r="I20622" s="1358"/>
    </row>
    <row r="20623" spans="8:9">
      <c r="H20623" s="1358"/>
      <c r="I20623" s="1358"/>
    </row>
    <row r="20624" spans="8:9">
      <c r="H20624" s="1358"/>
      <c r="I20624" s="1358"/>
    </row>
    <row r="20625" spans="8:9">
      <c r="H20625" s="1358"/>
      <c r="I20625" s="1358"/>
    </row>
    <row r="20626" spans="8:9">
      <c r="H20626" s="1358"/>
      <c r="I20626" s="1358"/>
    </row>
    <row r="20627" spans="8:9">
      <c r="H20627" s="1358"/>
      <c r="I20627" s="1358"/>
    </row>
    <row r="20628" spans="8:9">
      <c r="H20628" s="1358"/>
      <c r="I20628" s="1358"/>
    </row>
    <row r="20629" spans="8:9">
      <c r="H20629" s="1358"/>
      <c r="I20629" s="1358"/>
    </row>
    <row r="20630" spans="8:9">
      <c r="H20630" s="1358"/>
      <c r="I20630" s="1358"/>
    </row>
    <row r="20631" spans="8:9">
      <c r="H20631" s="1358"/>
      <c r="I20631" s="1358"/>
    </row>
    <row r="20632" spans="8:9">
      <c r="H20632" s="1358"/>
      <c r="I20632" s="1358"/>
    </row>
    <row r="20633" spans="8:9">
      <c r="H20633" s="1358"/>
      <c r="I20633" s="1358"/>
    </row>
    <row r="20634" spans="8:9">
      <c r="H20634" s="1358"/>
      <c r="I20634" s="1358"/>
    </row>
    <row r="20635" spans="8:9">
      <c r="H20635" s="1358"/>
      <c r="I20635" s="1358"/>
    </row>
    <row r="20636" spans="8:9">
      <c r="H20636" s="1358"/>
      <c r="I20636" s="1358"/>
    </row>
    <row r="20637" spans="8:9">
      <c r="H20637" s="1358"/>
      <c r="I20637" s="1358"/>
    </row>
    <row r="20638" spans="8:9">
      <c r="H20638" s="1358"/>
      <c r="I20638" s="1358"/>
    </row>
    <row r="20639" spans="8:9">
      <c r="H20639" s="1358"/>
      <c r="I20639" s="1358"/>
    </row>
    <row r="20640" spans="8:9">
      <c r="H20640" s="1358"/>
      <c r="I20640" s="1358"/>
    </row>
    <row r="20641" spans="8:9">
      <c r="H20641" s="1358"/>
      <c r="I20641" s="1358"/>
    </row>
    <row r="20642" spans="8:9">
      <c r="H20642" s="1358"/>
      <c r="I20642" s="1358"/>
    </row>
    <row r="20643" spans="8:9">
      <c r="H20643" s="1358"/>
      <c r="I20643" s="1358"/>
    </row>
    <row r="20644" spans="8:9">
      <c r="H20644" s="1358"/>
      <c r="I20644" s="1358"/>
    </row>
    <row r="20645" spans="8:9">
      <c r="H20645" s="1358"/>
      <c r="I20645" s="1358"/>
    </row>
    <row r="20646" spans="8:9">
      <c r="H20646" s="1358"/>
      <c r="I20646" s="1358"/>
    </row>
    <row r="20647" spans="8:9">
      <c r="H20647" s="1358"/>
      <c r="I20647" s="1358"/>
    </row>
    <row r="20648" spans="8:9">
      <c r="H20648" s="1358"/>
      <c r="I20648" s="1358"/>
    </row>
    <row r="20649" spans="8:9">
      <c r="H20649" s="1358"/>
      <c r="I20649" s="1358"/>
    </row>
    <row r="20650" spans="8:9">
      <c r="H20650" s="1358"/>
      <c r="I20650" s="1358"/>
    </row>
    <row r="20651" spans="8:9">
      <c r="H20651" s="1358"/>
      <c r="I20651" s="1358"/>
    </row>
    <row r="20652" spans="8:9">
      <c r="H20652" s="1358"/>
      <c r="I20652" s="1358"/>
    </row>
    <row r="20653" spans="8:9">
      <c r="H20653" s="1358"/>
      <c r="I20653" s="1358"/>
    </row>
    <row r="20654" spans="8:9">
      <c r="H20654" s="1358"/>
      <c r="I20654" s="1358"/>
    </row>
    <row r="20655" spans="8:9">
      <c r="H20655" s="1358"/>
      <c r="I20655" s="1358"/>
    </row>
    <row r="20656" spans="8:9">
      <c r="H20656" s="1358"/>
      <c r="I20656" s="1358"/>
    </row>
    <row r="20657" spans="8:9">
      <c r="H20657" s="1358"/>
      <c r="I20657" s="1358"/>
    </row>
    <row r="20658" spans="8:9">
      <c r="H20658" s="1358"/>
      <c r="I20658" s="1358"/>
    </row>
    <row r="20659" spans="8:9">
      <c r="H20659" s="1358"/>
      <c r="I20659" s="1358"/>
    </row>
    <row r="20660" spans="8:9">
      <c r="H20660" s="1358"/>
      <c r="I20660" s="1358"/>
    </row>
    <row r="20661" spans="8:9">
      <c r="H20661" s="1358"/>
      <c r="I20661" s="1358"/>
    </row>
    <row r="20662" spans="8:9">
      <c r="H20662" s="1358"/>
      <c r="I20662" s="1358"/>
    </row>
    <row r="20663" spans="8:9">
      <c r="H20663" s="1358"/>
      <c r="I20663" s="1358"/>
    </row>
    <row r="20664" spans="8:9">
      <c r="H20664" s="1358"/>
      <c r="I20664" s="1358"/>
    </row>
    <row r="20665" spans="8:9">
      <c r="H20665" s="1358"/>
      <c r="I20665" s="1358"/>
    </row>
    <row r="20666" spans="8:9">
      <c r="H20666" s="1358"/>
      <c r="I20666" s="1358"/>
    </row>
    <row r="20667" spans="8:9">
      <c r="H20667" s="1358"/>
      <c r="I20667" s="1358"/>
    </row>
    <row r="20668" spans="8:9">
      <c r="H20668" s="1358"/>
      <c r="I20668" s="1358"/>
    </row>
    <row r="20669" spans="8:9">
      <c r="H20669" s="1358"/>
      <c r="I20669" s="1358"/>
    </row>
    <row r="20670" spans="8:9">
      <c r="H20670" s="1358"/>
      <c r="I20670" s="1358"/>
    </row>
    <row r="20671" spans="8:9">
      <c r="H20671" s="1358"/>
      <c r="I20671" s="1358"/>
    </row>
    <row r="20672" spans="8:9">
      <c r="H20672" s="1358"/>
      <c r="I20672" s="1358"/>
    </row>
    <row r="20673" spans="8:9">
      <c r="H20673" s="1358"/>
      <c r="I20673" s="1358"/>
    </row>
    <row r="20674" spans="8:9">
      <c r="H20674" s="1358"/>
      <c r="I20674" s="1358"/>
    </row>
    <row r="20675" spans="8:9">
      <c r="H20675" s="1358"/>
      <c r="I20675" s="1358"/>
    </row>
    <row r="20676" spans="8:9">
      <c r="H20676" s="1358"/>
      <c r="I20676" s="1358"/>
    </row>
    <row r="20677" spans="8:9">
      <c r="H20677" s="1358"/>
      <c r="I20677" s="1358"/>
    </row>
    <row r="20678" spans="8:9">
      <c r="H20678" s="1358"/>
      <c r="I20678" s="1358"/>
    </row>
    <row r="20679" spans="8:9">
      <c r="H20679" s="1358"/>
      <c r="I20679" s="1358"/>
    </row>
    <row r="20680" spans="8:9">
      <c r="H20680" s="1358"/>
      <c r="I20680" s="1358"/>
    </row>
    <row r="20681" spans="8:9">
      <c r="H20681" s="1358"/>
      <c r="I20681" s="1358"/>
    </row>
    <row r="20682" spans="8:9">
      <c r="H20682" s="1358"/>
      <c r="I20682" s="1358"/>
    </row>
    <row r="20683" spans="8:9">
      <c r="H20683" s="1358"/>
      <c r="I20683" s="1358"/>
    </row>
    <row r="20684" spans="8:9">
      <c r="H20684" s="1358"/>
      <c r="I20684" s="1358"/>
    </row>
    <row r="20685" spans="8:9">
      <c r="H20685" s="1358"/>
      <c r="I20685" s="1358"/>
    </row>
    <row r="20686" spans="8:9">
      <c r="H20686" s="1358"/>
      <c r="I20686" s="1358"/>
    </row>
    <row r="20687" spans="8:9">
      <c r="H20687" s="1358"/>
      <c r="I20687" s="1358"/>
    </row>
    <row r="20688" spans="8:9">
      <c r="H20688" s="1358"/>
      <c r="I20688" s="1358"/>
    </row>
    <row r="20689" spans="8:9">
      <c r="H20689" s="1358"/>
      <c r="I20689" s="1358"/>
    </row>
    <row r="20690" spans="8:9">
      <c r="H20690" s="1358"/>
      <c r="I20690" s="1358"/>
    </row>
    <row r="20691" spans="8:9">
      <c r="H20691" s="1358"/>
      <c r="I20691" s="1358"/>
    </row>
    <row r="20692" spans="8:9">
      <c r="H20692" s="1358"/>
      <c r="I20692" s="1358"/>
    </row>
    <row r="20693" spans="8:9">
      <c r="H20693" s="1358"/>
      <c r="I20693" s="1358"/>
    </row>
    <row r="20694" spans="8:9">
      <c r="H20694" s="1358"/>
      <c r="I20694" s="1358"/>
    </row>
    <row r="20695" spans="8:9">
      <c r="H20695" s="1358"/>
      <c r="I20695" s="1358"/>
    </row>
    <row r="20696" spans="8:9">
      <c r="H20696" s="1358"/>
      <c r="I20696" s="1358"/>
    </row>
    <row r="20697" spans="8:9">
      <c r="H20697" s="1358"/>
      <c r="I20697" s="1358"/>
    </row>
    <row r="20698" spans="8:9">
      <c r="H20698" s="1358"/>
      <c r="I20698" s="1358"/>
    </row>
    <row r="20699" spans="8:9">
      <c r="H20699" s="1358"/>
      <c r="I20699" s="1358"/>
    </row>
    <row r="20700" spans="8:9">
      <c r="H20700" s="1358"/>
      <c r="I20700" s="1358"/>
    </row>
    <row r="20701" spans="8:9">
      <c r="H20701" s="1358"/>
      <c r="I20701" s="1358"/>
    </row>
    <row r="20702" spans="8:9">
      <c r="H20702" s="1358"/>
      <c r="I20702" s="1358"/>
    </row>
    <row r="20703" spans="8:9">
      <c r="H20703" s="1358"/>
      <c r="I20703" s="1358"/>
    </row>
    <row r="20704" spans="8:9">
      <c r="H20704" s="1358"/>
      <c r="I20704" s="1358"/>
    </row>
    <row r="20705" spans="8:9">
      <c r="H20705" s="1358"/>
      <c r="I20705" s="1358"/>
    </row>
    <row r="20706" spans="8:9">
      <c r="H20706" s="1358"/>
      <c r="I20706" s="1358"/>
    </row>
    <row r="20707" spans="8:9">
      <c r="H20707" s="1358"/>
      <c r="I20707" s="1358"/>
    </row>
    <row r="20708" spans="8:9">
      <c r="H20708" s="1358"/>
      <c r="I20708" s="1358"/>
    </row>
    <row r="20709" spans="8:9">
      <c r="H20709" s="1358"/>
      <c r="I20709" s="1358"/>
    </row>
    <row r="20710" spans="8:9">
      <c r="H20710" s="1358"/>
      <c r="I20710" s="1358"/>
    </row>
    <row r="20711" spans="8:9">
      <c r="H20711" s="1358"/>
      <c r="I20711" s="1358"/>
    </row>
    <row r="20712" spans="8:9">
      <c r="H20712" s="1358"/>
      <c r="I20712" s="1358"/>
    </row>
    <row r="20713" spans="8:9">
      <c r="H20713" s="1358"/>
      <c r="I20713" s="1358"/>
    </row>
    <row r="20714" spans="8:9">
      <c r="H20714" s="1358"/>
      <c r="I20714" s="1358"/>
    </row>
    <row r="20715" spans="8:9">
      <c r="H20715" s="1358"/>
      <c r="I20715" s="1358"/>
    </row>
    <row r="20716" spans="8:9">
      <c r="H20716" s="1358"/>
      <c r="I20716" s="1358"/>
    </row>
    <row r="20717" spans="8:9">
      <c r="H20717" s="1358"/>
      <c r="I20717" s="1358"/>
    </row>
    <row r="20718" spans="8:9">
      <c r="H20718" s="1358"/>
      <c r="I20718" s="1358"/>
    </row>
    <row r="20719" spans="8:9">
      <c r="H20719" s="1358"/>
      <c r="I20719" s="1358"/>
    </row>
    <row r="20720" spans="8:9">
      <c r="H20720" s="1358"/>
      <c r="I20720" s="1358"/>
    </row>
    <row r="20721" spans="8:9">
      <c r="H20721" s="1358"/>
      <c r="I20721" s="1358"/>
    </row>
    <row r="20722" spans="8:9">
      <c r="H20722" s="1358"/>
      <c r="I20722" s="1358"/>
    </row>
    <row r="20723" spans="8:9">
      <c r="H20723" s="1358"/>
      <c r="I20723" s="1358"/>
    </row>
    <row r="20724" spans="8:9">
      <c r="H20724" s="1358"/>
      <c r="I20724" s="1358"/>
    </row>
    <row r="20725" spans="8:9">
      <c r="H20725" s="1358"/>
      <c r="I20725" s="1358"/>
    </row>
    <row r="20726" spans="8:9">
      <c r="H20726" s="1358"/>
      <c r="I20726" s="1358"/>
    </row>
    <row r="20727" spans="8:9">
      <c r="H20727" s="1358"/>
      <c r="I20727" s="1358"/>
    </row>
    <row r="20728" spans="8:9">
      <c r="H20728" s="1358"/>
      <c r="I20728" s="1358"/>
    </row>
    <row r="20729" spans="8:9">
      <c r="H20729" s="1358"/>
      <c r="I20729" s="1358"/>
    </row>
    <row r="20730" spans="8:9">
      <c r="H20730" s="1358"/>
      <c r="I20730" s="1358"/>
    </row>
    <row r="20731" spans="8:9">
      <c r="H20731" s="1358"/>
      <c r="I20731" s="1358"/>
    </row>
    <row r="20732" spans="8:9">
      <c r="H20732" s="1358"/>
      <c r="I20732" s="1358"/>
    </row>
    <row r="20733" spans="8:9">
      <c r="H20733" s="1358"/>
      <c r="I20733" s="1358"/>
    </row>
    <row r="20734" spans="8:9">
      <c r="H20734" s="1358"/>
      <c r="I20734" s="1358"/>
    </row>
    <row r="20735" spans="8:9">
      <c r="H20735" s="1358"/>
      <c r="I20735" s="1358"/>
    </row>
    <row r="20736" spans="8:9">
      <c r="H20736" s="1358"/>
      <c r="I20736" s="1358"/>
    </row>
    <row r="20737" spans="8:9">
      <c r="H20737" s="1358"/>
      <c r="I20737" s="1358"/>
    </row>
    <row r="20738" spans="8:9">
      <c r="H20738" s="1358"/>
      <c r="I20738" s="1358"/>
    </row>
    <row r="20739" spans="8:9">
      <c r="H20739" s="1358"/>
      <c r="I20739" s="1358"/>
    </row>
    <row r="20740" spans="8:9">
      <c r="H20740" s="1358"/>
      <c r="I20740" s="1358"/>
    </row>
    <row r="20741" spans="8:9">
      <c r="H20741" s="1358"/>
      <c r="I20741" s="1358"/>
    </row>
    <row r="20742" spans="8:9">
      <c r="H20742" s="1358"/>
      <c r="I20742" s="1358"/>
    </row>
    <row r="20743" spans="8:9">
      <c r="H20743" s="1358"/>
      <c r="I20743" s="1358"/>
    </row>
    <row r="20744" spans="8:9">
      <c r="H20744" s="1358"/>
      <c r="I20744" s="1358"/>
    </row>
    <row r="20745" spans="8:9">
      <c r="H20745" s="1358"/>
      <c r="I20745" s="1358"/>
    </row>
    <row r="20746" spans="8:9">
      <c r="H20746" s="1358"/>
      <c r="I20746" s="1358"/>
    </row>
    <row r="20747" spans="8:9">
      <c r="H20747" s="1358"/>
      <c r="I20747" s="1358"/>
    </row>
    <row r="20748" spans="8:9">
      <c r="H20748" s="1358"/>
      <c r="I20748" s="1358"/>
    </row>
    <row r="20749" spans="8:9">
      <c r="H20749" s="1358"/>
      <c r="I20749" s="1358"/>
    </row>
    <row r="20750" spans="8:9">
      <c r="H20750" s="1358"/>
      <c r="I20750" s="1358"/>
    </row>
    <row r="20751" spans="8:9">
      <c r="H20751" s="1358"/>
      <c r="I20751" s="1358"/>
    </row>
    <row r="20752" spans="8:9">
      <c r="H20752" s="1358"/>
      <c r="I20752" s="1358"/>
    </row>
    <row r="20753" spans="8:9">
      <c r="H20753" s="1358"/>
      <c r="I20753" s="1358"/>
    </row>
    <row r="20754" spans="8:9">
      <c r="H20754" s="1358"/>
      <c r="I20754" s="1358"/>
    </row>
    <row r="20755" spans="8:9">
      <c r="H20755" s="1358"/>
      <c r="I20755" s="1358"/>
    </row>
    <row r="20756" spans="8:9">
      <c r="H20756" s="1358"/>
      <c r="I20756" s="1358"/>
    </row>
    <row r="20757" spans="8:9">
      <c r="H20757" s="1358"/>
      <c r="I20757" s="1358"/>
    </row>
    <row r="20758" spans="8:9">
      <c r="H20758" s="1358"/>
      <c r="I20758" s="1358"/>
    </row>
    <row r="20759" spans="8:9">
      <c r="H20759" s="1358"/>
      <c r="I20759" s="1358"/>
    </row>
    <row r="20760" spans="8:9">
      <c r="H20760" s="1358"/>
      <c r="I20760" s="1358"/>
    </row>
    <row r="20761" spans="8:9">
      <c r="H20761" s="1358"/>
      <c r="I20761" s="1358"/>
    </row>
    <row r="20762" spans="8:9">
      <c r="H20762" s="1358"/>
      <c r="I20762" s="1358"/>
    </row>
    <row r="20763" spans="8:9">
      <c r="H20763" s="1358"/>
      <c r="I20763" s="1358"/>
    </row>
    <row r="20764" spans="8:9">
      <c r="H20764" s="1358"/>
      <c r="I20764" s="1358"/>
    </row>
    <row r="20765" spans="8:9">
      <c r="H20765" s="1358"/>
      <c r="I20765" s="1358"/>
    </row>
    <row r="20766" spans="8:9">
      <c r="H20766" s="1358"/>
      <c r="I20766" s="1358"/>
    </row>
    <row r="20767" spans="8:9">
      <c r="H20767" s="1358"/>
      <c r="I20767" s="1358"/>
    </row>
    <row r="20768" spans="8:9">
      <c r="H20768" s="1358"/>
      <c r="I20768" s="1358"/>
    </row>
    <row r="20769" spans="8:9">
      <c r="H20769" s="1358"/>
      <c r="I20769" s="1358"/>
    </row>
    <row r="20770" spans="8:9">
      <c r="H20770" s="1358"/>
      <c r="I20770" s="1358"/>
    </row>
    <row r="20771" spans="8:9">
      <c r="H20771" s="1358"/>
      <c r="I20771" s="1358"/>
    </row>
    <row r="20772" spans="8:9">
      <c r="H20772" s="1358"/>
      <c r="I20772" s="1358"/>
    </row>
    <row r="20773" spans="8:9">
      <c r="H20773" s="1358"/>
      <c r="I20773" s="1358"/>
    </row>
    <row r="20774" spans="8:9">
      <c r="H20774" s="1358"/>
      <c r="I20774" s="1358"/>
    </row>
    <row r="20775" spans="8:9">
      <c r="H20775" s="1358"/>
      <c r="I20775" s="1358"/>
    </row>
    <row r="20776" spans="8:9">
      <c r="H20776" s="1358"/>
      <c r="I20776" s="1358"/>
    </row>
    <row r="20777" spans="8:9">
      <c r="H20777" s="1358"/>
      <c r="I20777" s="1358"/>
    </row>
    <row r="20778" spans="8:9">
      <c r="H20778" s="1358"/>
      <c r="I20778" s="1358"/>
    </row>
    <row r="20779" spans="8:9">
      <c r="H20779" s="1358"/>
      <c r="I20779" s="1358"/>
    </row>
    <row r="20780" spans="8:9">
      <c r="H20780" s="1358"/>
      <c r="I20780" s="1358"/>
    </row>
    <row r="20781" spans="8:9">
      <c r="H20781" s="1358"/>
      <c r="I20781" s="1358"/>
    </row>
    <row r="20782" spans="8:9">
      <c r="H20782" s="1358"/>
      <c r="I20782" s="1358"/>
    </row>
    <row r="20783" spans="8:9">
      <c r="H20783" s="1358"/>
      <c r="I20783" s="1358"/>
    </row>
    <row r="20784" spans="8:9">
      <c r="H20784" s="1358"/>
      <c r="I20784" s="1358"/>
    </row>
    <row r="20785" spans="8:9">
      <c r="H20785" s="1358"/>
      <c r="I20785" s="1358"/>
    </row>
    <row r="20786" spans="8:9">
      <c r="H20786" s="1358"/>
      <c r="I20786" s="1358"/>
    </row>
    <row r="20787" spans="8:9">
      <c r="H20787" s="1358"/>
      <c r="I20787" s="1358"/>
    </row>
    <row r="20788" spans="8:9">
      <c r="H20788" s="1358"/>
      <c r="I20788" s="1358"/>
    </row>
    <row r="20789" spans="8:9">
      <c r="H20789" s="1358"/>
      <c r="I20789" s="1358"/>
    </row>
    <row r="20790" spans="8:9">
      <c r="H20790" s="1358"/>
      <c r="I20790" s="1358"/>
    </row>
    <row r="20791" spans="8:9">
      <c r="H20791" s="1358"/>
      <c r="I20791" s="1358"/>
    </row>
    <row r="20792" spans="8:9">
      <c r="H20792" s="1358"/>
      <c r="I20792" s="1358"/>
    </row>
    <row r="20793" spans="8:9">
      <c r="H20793" s="1358"/>
      <c r="I20793" s="1358"/>
    </row>
    <row r="20794" spans="8:9">
      <c r="H20794" s="1358"/>
      <c r="I20794" s="1358"/>
    </row>
    <row r="20795" spans="8:9">
      <c r="H20795" s="1358"/>
      <c r="I20795" s="1358"/>
    </row>
    <row r="20796" spans="8:9">
      <c r="H20796" s="1358"/>
      <c r="I20796" s="1358"/>
    </row>
    <row r="20797" spans="8:9">
      <c r="H20797" s="1358"/>
      <c r="I20797" s="1358"/>
    </row>
    <row r="20798" spans="8:9">
      <c r="H20798" s="1358"/>
      <c r="I20798" s="1358"/>
    </row>
    <row r="20799" spans="8:9">
      <c r="H20799" s="1358"/>
      <c r="I20799" s="1358"/>
    </row>
    <row r="20800" spans="8:9">
      <c r="H20800" s="1358"/>
      <c r="I20800" s="1358"/>
    </row>
    <row r="20801" spans="8:9">
      <c r="H20801" s="1358"/>
      <c r="I20801" s="1358"/>
    </row>
    <row r="20802" spans="8:9">
      <c r="H20802" s="1358"/>
      <c r="I20802" s="1358"/>
    </row>
    <row r="20803" spans="8:9">
      <c r="H20803" s="1358"/>
      <c r="I20803" s="1358"/>
    </row>
    <row r="20804" spans="8:9">
      <c r="H20804" s="1358"/>
      <c r="I20804" s="1358"/>
    </row>
    <row r="20805" spans="8:9">
      <c r="H20805" s="1358"/>
      <c r="I20805" s="1358"/>
    </row>
    <row r="20806" spans="8:9">
      <c r="H20806" s="1358"/>
      <c r="I20806" s="1358"/>
    </row>
    <row r="20807" spans="8:9">
      <c r="H20807" s="1358"/>
      <c r="I20807" s="1358"/>
    </row>
    <row r="20808" spans="8:9">
      <c r="H20808" s="1358"/>
      <c r="I20808" s="1358"/>
    </row>
    <row r="20809" spans="8:9">
      <c r="H20809" s="1358"/>
      <c r="I20809" s="1358"/>
    </row>
    <row r="20810" spans="8:9">
      <c r="H20810" s="1358"/>
      <c r="I20810" s="1358"/>
    </row>
    <row r="20811" spans="8:9">
      <c r="H20811" s="1358"/>
      <c r="I20811" s="1358"/>
    </row>
    <row r="20812" spans="8:9">
      <c r="H20812" s="1358"/>
      <c r="I20812" s="1358"/>
    </row>
    <row r="20813" spans="8:9">
      <c r="H20813" s="1358"/>
      <c r="I20813" s="1358"/>
    </row>
    <row r="20814" spans="8:9">
      <c r="H20814" s="1358"/>
      <c r="I20814" s="1358"/>
    </row>
    <row r="20815" spans="8:9">
      <c r="H20815" s="1358"/>
      <c r="I20815" s="1358"/>
    </row>
    <row r="20816" spans="8:9">
      <c r="H20816" s="1358"/>
      <c r="I20816" s="1358"/>
    </row>
    <row r="20817" spans="8:9">
      <c r="H20817" s="1358"/>
      <c r="I20817" s="1358"/>
    </row>
    <row r="20818" spans="8:9">
      <c r="H20818" s="1358"/>
      <c r="I20818" s="1358"/>
    </row>
    <row r="20819" spans="8:9">
      <c r="H20819" s="1358"/>
      <c r="I20819" s="1358"/>
    </row>
    <row r="20820" spans="8:9">
      <c r="H20820" s="1358"/>
      <c r="I20820" s="1358"/>
    </row>
    <row r="20821" spans="8:9">
      <c r="H20821" s="1358"/>
      <c r="I20821" s="1358"/>
    </row>
    <row r="20822" spans="8:9">
      <c r="H20822" s="1358"/>
      <c r="I20822" s="1358"/>
    </row>
    <row r="20823" spans="8:9">
      <c r="H20823" s="1358"/>
      <c r="I20823" s="1358"/>
    </row>
    <row r="20824" spans="8:9">
      <c r="H20824" s="1358"/>
      <c r="I20824" s="1358"/>
    </row>
    <row r="20825" spans="8:9">
      <c r="H20825" s="1358"/>
      <c r="I20825" s="1358"/>
    </row>
    <row r="20826" spans="8:9">
      <c r="H20826" s="1358"/>
      <c r="I20826" s="1358"/>
    </row>
    <row r="20827" spans="8:9">
      <c r="H20827" s="1358"/>
      <c r="I20827" s="1358"/>
    </row>
    <row r="20828" spans="8:9">
      <c r="H20828" s="1358"/>
      <c r="I20828" s="1358"/>
    </row>
    <row r="20829" spans="8:9">
      <c r="H20829" s="1358"/>
      <c r="I20829" s="1358"/>
    </row>
    <row r="20830" spans="8:9">
      <c r="H20830" s="1358"/>
      <c r="I20830" s="1358"/>
    </row>
    <row r="20831" spans="8:9">
      <c r="H20831" s="1358"/>
      <c r="I20831" s="1358"/>
    </row>
    <row r="20832" spans="8:9">
      <c r="H20832" s="1358"/>
      <c r="I20832" s="1358"/>
    </row>
    <row r="20833" spans="8:9">
      <c r="H20833" s="1358"/>
      <c r="I20833" s="1358"/>
    </row>
    <row r="20834" spans="8:9">
      <c r="H20834" s="1358"/>
      <c r="I20834" s="1358"/>
    </row>
    <row r="20835" spans="8:9">
      <c r="H20835" s="1358"/>
      <c r="I20835" s="1358"/>
    </row>
    <row r="20836" spans="8:9">
      <c r="H20836" s="1358"/>
      <c r="I20836" s="1358"/>
    </row>
    <row r="20837" spans="8:9">
      <c r="H20837" s="1358"/>
      <c r="I20837" s="1358"/>
    </row>
    <row r="20838" spans="8:9">
      <c r="H20838" s="1358"/>
      <c r="I20838" s="1358"/>
    </row>
    <row r="20839" spans="8:9">
      <c r="H20839" s="1358"/>
      <c r="I20839" s="1358"/>
    </row>
    <row r="20840" spans="8:9">
      <c r="H20840" s="1358"/>
      <c r="I20840" s="1358"/>
    </row>
    <row r="20841" spans="8:9">
      <c r="H20841" s="1358"/>
      <c r="I20841" s="1358"/>
    </row>
    <row r="20842" spans="8:9">
      <c r="H20842" s="1358"/>
      <c r="I20842" s="1358"/>
    </row>
    <row r="20843" spans="8:9">
      <c r="H20843" s="1358"/>
      <c r="I20843" s="1358"/>
    </row>
    <row r="20844" spans="8:9">
      <c r="H20844" s="1358"/>
      <c r="I20844" s="1358"/>
    </row>
    <row r="20845" spans="8:9">
      <c r="H20845" s="1358"/>
      <c r="I20845" s="1358"/>
    </row>
    <row r="20846" spans="8:9">
      <c r="H20846" s="1358"/>
      <c r="I20846" s="1358"/>
    </row>
    <row r="20847" spans="8:9">
      <c r="H20847" s="1358"/>
      <c r="I20847" s="1358"/>
    </row>
    <row r="20848" spans="8:9">
      <c r="H20848" s="1358"/>
      <c r="I20848" s="1358"/>
    </row>
    <row r="20849" spans="8:9">
      <c r="H20849" s="1358"/>
      <c r="I20849" s="1358"/>
    </row>
    <row r="20850" spans="8:9">
      <c r="H20850" s="1358"/>
      <c r="I20850" s="1358"/>
    </row>
    <row r="20851" spans="8:9">
      <c r="H20851" s="1358"/>
      <c r="I20851" s="1358"/>
    </row>
    <row r="20852" spans="8:9">
      <c r="H20852" s="1358"/>
      <c r="I20852" s="1358"/>
    </row>
    <row r="20853" spans="8:9">
      <c r="H20853" s="1358"/>
      <c r="I20853" s="1358"/>
    </row>
    <row r="20854" spans="8:9">
      <c r="H20854" s="1358"/>
      <c r="I20854" s="1358"/>
    </row>
    <row r="20855" spans="8:9">
      <c r="H20855" s="1358"/>
      <c r="I20855" s="1358"/>
    </row>
    <row r="20856" spans="8:9">
      <c r="H20856" s="1358"/>
      <c r="I20856" s="1358"/>
    </row>
    <row r="20857" spans="8:9">
      <c r="H20857" s="1358"/>
      <c r="I20857" s="1358"/>
    </row>
    <row r="20858" spans="8:9">
      <c r="H20858" s="1358"/>
      <c r="I20858" s="1358"/>
    </row>
    <row r="20859" spans="8:9">
      <c r="H20859" s="1358"/>
      <c r="I20859" s="1358"/>
    </row>
    <row r="20860" spans="8:9">
      <c r="H20860" s="1358"/>
      <c r="I20860" s="1358"/>
    </row>
    <row r="20861" spans="8:9">
      <c r="H20861" s="1358"/>
      <c r="I20861" s="1358"/>
    </row>
    <row r="20862" spans="8:9">
      <c r="H20862" s="1358"/>
      <c r="I20862" s="1358"/>
    </row>
    <row r="20863" spans="8:9">
      <c r="H20863" s="1358"/>
      <c r="I20863" s="1358"/>
    </row>
    <row r="20864" spans="8:9">
      <c r="H20864" s="1358"/>
      <c r="I20864" s="1358"/>
    </row>
    <row r="20865" spans="8:9">
      <c r="H20865" s="1358"/>
      <c r="I20865" s="1358"/>
    </row>
    <row r="20866" spans="8:9">
      <c r="H20866" s="1358"/>
      <c r="I20866" s="1358"/>
    </row>
    <row r="20867" spans="8:9">
      <c r="H20867" s="1358"/>
      <c r="I20867" s="1358"/>
    </row>
    <row r="20868" spans="8:9">
      <c r="H20868" s="1358"/>
      <c r="I20868" s="1358"/>
    </row>
    <row r="20869" spans="8:9">
      <c r="H20869" s="1358"/>
      <c r="I20869" s="1358"/>
    </row>
    <row r="20870" spans="8:9">
      <c r="H20870" s="1358"/>
      <c r="I20870" s="1358"/>
    </row>
    <row r="20871" spans="8:9">
      <c r="H20871" s="1358"/>
      <c r="I20871" s="1358"/>
    </row>
    <row r="20872" spans="8:9">
      <c r="H20872" s="1358"/>
      <c r="I20872" s="1358"/>
    </row>
    <row r="20873" spans="8:9">
      <c r="H20873" s="1358"/>
      <c r="I20873" s="1358"/>
    </row>
    <row r="20874" spans="8:9">
      <c r="H20874" s="1358"/>
      <c r="I20874" s="1358"/>
    </row>
    <row r="20875" spans="8:9">
      <c r="H20875" s="1358"/>
      <c r="I20875" s="1358"/>
    </row>
    <row r="20876" spans="8:9">
      <c r="H20876" s="1358"/>
      <c r="I20876" s="1358"/>
    </row>
    <row r="20877" spans="8:9">
      <c r="H20877" s="1358"/>
      <c r="I20877" s="1358"/>
    </row>
    <row r="20878" spans="8:9">
      <c r="H20878" s="1358"/>
      <c r="I20878" s="1358"/>
    </row>
    <row r="20879" spans="8:9">
      <c r="H20879" s="1358"/>
      <c r="I20879" s="1358"/>
    </row>
    <row r="20880" spans="8:9">
      <c r="H20880" s="1358"/>
      <c r="I20880" s="1358"/>
    </row>
    <row r="20881" spans="8:9">
      <c r="H20881" s="1358"/>
      <c r="I20881" s="1358"/>
    </row>
    <row r="20882" spans="8:9">
      <c r="H20882" s="1358"/>
      <c r="I20882" s="1358"/>
    </row>
    <row r="20883" spans="8:9">
      <c r="H20883" s="1358"/>
      <c r="I20883" s="1358"/>
    </row>
    <row r="20884" spans="8:9">
      <c r="H20884" s="1358"/>
      <c r="I20884" s="1358"/>
    </row>
    <row r="20885" spans="8:9">
      <c r="H20885" s="1358"/>
      <c r="I20885" s="1358"/>
    </row>
    <row r="20886" spans="8:9">
      <c r="H20886" s="1358"/>
      <c r="I20886" s="1358"/>
    </row>
    <row r="20887" spans="8:9">
      <c r="H20887" s="1358"/>
      <c r="I20887" s="1358"/>
    </row>
    <row r="20888" spans="8:9">
      <c r="H20888" s="1358"/>
      <c r="I20888" s="1358"/>
    </row>
    <row r="20889" spans="8:9">
      <c r="H20889" s="1358"/>
      <c r="I20889" s="1358"/>
    </row>
    <row r="20890" spans="8:9">
      <c r="H20890" s="1358"/>
      <c r="I20890" s="1358"/>
    </row>
    <row r="20891" spans="8:9">
      <c r="H20891" s="1358"/>
      <c r="I20891" s="1358"/>
    </row>
    <row r="20892" spans="8:9">
      <c r="H20892" s="1358"/>
      <c r="I20892" s="1358"/>
    </row>
    <row r="20893" spans="8:9">
      <c r="H20893" s="1358"/>
      <c r="I20893" s="1358"/>
    </row>
    <row r="20894" spans="8:9">
      <c r="H20894" s="1358"/>
      <c r="I20894" s="1358"/>
    </row>
    <row r="20895" spans="8:9">
      <c r="H20895" s="1358"/>
      <c r="I20895" s="1358"/>
    </row>
    <row r="20896" spans="8:9">
      <c r="H20896" s="1358"/>
      <c r="I20896" s="1358"/>
    </row>
    <row r="20897" spans="8:9">
      <c r="H20897" s="1358"/>
      <c r="I20897" s="1358"/>
    </row>
    <row r="20898" spans="8:9">
      <c r="H20898" s="1358"/>
      <c r="I20898" s="1358"/>
    </row>
    <row r="20899" spans="8:9">
      <c r="H20899" s="1358"/>
      <c r="I20899" s="1358"/>
    </row>
    <row r="20900" spans="8:9">
      <c r="H20900" s="1358"/>
      <c r="I20900" s="1358"/>
    </row>
    <row r="20901" spans="8:9">
      <c r="H20901" s="1358"/>
      <c r="I20901" s="1358"/>
    </row>
    <row r="20902" spans="8:9">
      <c r="H20902" s="1358"/>
      <c r="I20902" s="1358"/>
    </row>
    <row r="20903" spans="8:9">
      <c r="H20903" s="1358"/>
      <c r="I20903" s="1358"/>
    </row>
    <row r="20904" spans="8:9">
      <c r="H20904" s="1358"/>
      <c r="I20904" s="1358"/>
    </row>
    <row r="20905" spans="8:9">
      <c r="H20905" s="1358"/>
      <c r="I20905" s="1358"/>
    </row>
    <row r="20906" spans="8:9">
      <c r="H20906" s="1358"/>
      <c r="I20906" s="1358"/>
    </row>
    <row r="20907" spans="8:9">
      <c r="H20907" s="1358"/>
      <c r="I20907" s="1358"/>
    </row>
    <row r="20908" spans="8:9">
      <c r="H20908" s="1358"/>
      <c r="I20908" s="1358"/>
    </row>
    <row r="20909" spans="8:9">
      <c r="H20909" s="1358"/>
      <c r="I20909" s="1358"/>
    </row>
    <row r="20910" spans="8:9">
      <c r="H20910" s="1358"/>
      <c r="I20910" s="1358"/>
    </row>
    <row r="20911" spans="8:9">
      <c r="H20911" s="1358"/>
      <c r="I20911" s="1358"/>
    </row>
    <row r="20912" spans="8:9">
      <c r="H20912" s="1358"/>
      <c r="I20912" s="1358"/>
    </row>
    <row r="20913" spans="8:9">
      <c r="H20913" s="1358"/>
      <c r="I20913" s="1358"/>
    </row>
    <row r="20914" spans="8:9">
      <c r="H20914" s="1358"/>
      <c r="I20914" s="1358"/>
    </row>
    <row r="20915" spans="8:9">
      <c r="H20915" s="1358"/>
      <c r="I20915" s="1358"/>
    </row>
    <row r="20916" spans="8:9">
      <c r="H20916" s="1358"/>
      <c r="I20916" s="1358"/>
    </row>
    <row r="20917" spans="8:9">
      <c r="H20917" s="1358"/>
      <c r="I20917" s="1358"/>
    </row>
    <row r="20918" spans="8:9">
      <c r="H20918" s="1358"/>
      <c r="I20918" s="1358"/>
    </row>
    <row r="20919" spans="8:9">
      <c r="H20919" s="1358"/>
      <c r="I20919" s="1358"/>
    </row>
    <row r="20920" spans="8:9">
      <c r="H20920" s="1358"/>
      <c r="I20920" s="1358"/>
    </row>
    <row r="20921" spans="8:9">
      <c r="H20921" s="1358"/>
      <c r="I20921" s="1358"/>
    </row>
    <row r="20922" spans="8:9">
      <c r="H20922" s="1358"/>
      <c r="I20922" s="1358"/>
    </row>
    <row r="20923" spans="8:9">
      <c r="H20923" s="1358"/>
      <c r="I20923" s="1358"/>
    </row>
    <row r="20924" spans="8:9">
      <c r="H20924" s="1358"/>
      <c r="I20924" s="1358"/>
    </row>
    <row r="20925" spans="8:9">
      <c r="H20925" s="1358"/>
      <c r="I20925" s="1358"/>
    </row>
    <row r="20926" spans="8:9">
      <c r="H20926" s="1358"/>
      <c r="I20926" s="1358"/>
    </row>
    <row r="20927" spans="8:9">
      <c r="H20927" s="1358"/>
      <c r="I20927" s="1358"/>
    </row>
    <row r="20928" spans="8:9">
      <c r="H20928" s="1358"/>
      <c r="I20928" s="1358"/>
    </row>
    <row r="20929" spans="8:9">
      <c r="H20929" s="1358"/>
      <c r="I20929" s="1358"/>
    </row>
    <row r="20930" spans="8:9">
      <c r="H20930" s="1358"/>
      <c r="I20930" s="1358"/>
    </row>
    <row r="20931" spans="8:9">
      <c r="H20931" s="1358"/>
      <c r="I20931" s="1358"/>
    </row>
    <row r="20932" spans="8:9">
      <c r="H20932" s="1358"/>
      <c r="I20932" s="1358"/>
    </row>
    <row r="20933" spans="8:9">
      <c r="H20933" s="1358"/>
      <c r="I20933" s="1358"/>
    </row>
    <row r="20934" spans="8:9">
      <c r="H20934" s="1358"/>
      <c r="I20934" s="1358"/>
    </row>
    <row r="20935" spans="8:9">
      <c r="H20935" s="1358"/>
      <c r="I20935" s="1358"/>
    </row>
    <row r="20936" spans="8:9">
      <c r="H20936" s="1358"/>
      <c r="I20936" s="1358"/>
    </row>
    <row r="20937" spans="8:9">
      <c r="H20937" s="1358"/>
      <c r="I20937" s="1358"/>
    </row>
    <row r="20938" spans="8:9">
      <c r="H20938" s="1358"/>
      <c r="I20938" s="1358"/>
    </row>
    <row r="20939" spans="8:9">
      <c r="H20939" s="1358"/>
      <c r="I20939" s="1358"/>
    </row>
    <row r="20940" spans="8:9">
      <c r="H20940" s="1358"/>
      <c r="I20940" s="1358"/>
    </row>
    <row r="20941" spans="8:9">
      <c r="H20941" s="1358"/>
      <c r="I20941" s="1358"/>
    </row>
    <row r="20942" spans="8:9">
      <c r="H20942" s="1358"/>
      <c r="I20942" s="1358"/>
    </row>
    <row r="20943" spans="8:9">
      <c r="H20943" s="1358"/>
      <c r="I20943" s="1358"/>
    </row>
    <row r="20944" spans="8:9">
      <c r="H20944" s="1358"/>
      <c r="I20944" s="1358"/>
    </row>
    <row r="20945" spans="8:9">
      <c r="H20945" s="1358"/>
      <c r="I20945" s="1358"/>
    </row>
    <row r="20946" spans="8:9">
      <c r="H20946" s="1358"/>
      <c r="I20946" s="1358"/>
    </row>
    <row r="20947" spans="8:9">
      <c r="H20947" s="1358"/>
      <c r="I20947" s="1358"/>
    </row>
    <row r="20948" spans="8:9">
      <c r="H20948" s="1358"/>
      <c r="I20948" s="1358"/>
    </row>
    <row r="20949" spans="8:9">
      <c r="H20949" s="1358"/>
      <c r="I20949" s="1358"/>
    </row>
    <row r="20950" spans="8:9">
      <c r="H20950" s="1358"/>
      <c r="I20950" s="1358"/>
    </row>
    <row r="20951" spans="8:9">
      <c r="H20951" s="1358"/>
      <c r="I20951" s="1358"/>
    </row>
    <row r="20952" spans="8:9">
      <c r="H20952" s="1358"/>
      <c r="I20952" s="1358"/>
    </row>
    <row r="20953" spans="8:9">
      <c r="H20953" s="1358"/>
      <c r="I20953" s="1358"/>
    </row>
    <row r="20954" spans="8:9">
      <c r="H20954" s="1358"/>
      <c r="I20954" s="1358"/>
    </row>
    <row r="20955" spans="8:9">
      <c r="H20955" s="1358"/>
      <c r="I20955" s="1358"/>
    </row>
    <row r="20956" spans="8:9">
      <c r="H20956" s="1358"/>
      <c r="I20956" s="1358"/>
    </row>
    <row r="20957" spans="8:9">
      <c r="H20957" s="1358"/>
      <c r="I20957" s="1358"/>
    </row>
    <row r="20958" spans="8:9">
      <c r="H20958" s="1358"/>
      <c r="I20958" s="1358"/>
    </row>
    <row r="20959" spans="8:9">
      <c r="H20959" s="1358"/>
      <c r="I20959" s="1358"/>
    </row>
    <row r="20960" spans="8:9">
      <c r="H20960" s="1358"/>
      <c r="I20960" s="1358"/>
    </row>
    <row r="20961" spans="8:9">
      <c r="H20961" s="1358"/>
      <c r="I20961" s="1358"/>
    </row>
    <row r="20962" spans="8:9">
      <c r="H20962" s="1358"/>
      <c r="I20962" s="1358"/>
    </row>
    <row r="20963" spans="8:9">
      <c r="H20963" s="1358"/>
      <c r="I20963" s="1358"/>
    </row>
    <row r="20964" spans="8:9">
      <c r="H20964" s="1358"/>
      <c r="I20964" s="1358"/>
    </row>
    <row r="20965" spans="8:9">
      <c r="H20965" s="1358"/>
      <c r="I20965" s="1358"/>
    </row>
    <row r="20966" spans="8:9">
      <c r="H20966" s="1358"/>
      <c r="I20966" s="1358"/>
    </row>
    <row r="20967" spans="8:9">
      <c r="H20967" s="1358"/>
      <c r="I20967" s="1358"/>
    </row>
    <row r="20968" spans="8:9">
      <c r="H20968" s="1358"/>
      <c r="I20968" s="1358"/>
    </row>
    <row r="20969" spans="8:9">
      <c r="H20969" s="1358"/>
      <c r="I20969" s="1358"/>
    </row>
    <row r="20970" spans="8:9">
      <c r="H20970" s="1358"/>
      <c r="I20970" s="1358"/>
    </row>
    <row r="20971" spans="8:9">
      <c r="H20971" s="1358"/>
      <c r="I20971" s="1358"/>
    </row>
    <row r="20972" spans="8:9">
      <c r="H20972" s="1358"/>
      <c r="I20972" s="1358"/>
    </row>
    <row r="20973" spans="8:9">
      <c r="H20973" s="1358"/>
      <c r="I20973" s="1358"/>
    </row>
    <row r="20974" spans="8:9">
      <c r="H20974" s="1358"/>
      <c r="I20974" s="1358"/>
    </row>
    <row r="20975" spans="8:9">
      <c r="H20975" s="1358"/>
      <c r="I20975" s="1358"/>
    </row>
    <row r="20976" spans="8:9">
      <c r="H20976" s="1358"/>
      <c r="I20976" s="1358"/>
    </row>
    <row r="20977" spans="8:9">
      <c r="H20977" s="1358"/>
      <c r="I20977" s="1358"/>
    </row>
    <row r="20978" spans="8:9">
      <c r="H20978" s="1358"/>
      <c r="I20978" s="1358"/>
    </row>
    <row r="20979" spans="8:9">
      <c r="H20979" s="1358"/>
      <c r="I20979" s="1358"/>
    </row>
    <row r="20980" spans="8:9">
      <c r="H20980" s="1358"/>
      <c r="I20980" s="1358"/>
    </row>
    <row r="20981" spans="8:9">
      <c r="H20981" s="1358"/>
      <c r="I20981" s="1358"/>
    </row>
    <row r="20982" spans="8:9">
      <c r="H20982" s="1358"/>
      <c r="I20982" s="1358"/>
    </row>
    <row r="20983" spans="8:9">
      <c r="H20983" s="1358"/>
      <c r="I20983" s="1358"/>
    </row>
    <row r="20984" spans="8:9">
      <c r="H20984" s="1358"/>
      <c r="I20984" s="1358"/>
    </row>
    <row r="20985" spans="8:9">
      <c r="H20985" s="1358"/>
      <c r="I20985" s="1358"/>
    </row>
    <row r="20986" spans="8:9">
      <c r="H20986" s="1358"/>
      <c r="I20986" s="1358"/>
    </row>
    <row r="20987" spans="8:9">
      <c r="H20987" s="1358"/>
      <c r="I20987" s="1358"/>
    </row>
    <row r="20988" spans="8:9">
      <c r="H20988" s="1358"/>
      <c r="I20988" s="1358"/>
    </row>
    <row r="20989" spans="8:9">
      <c r="H20989" s="1358"/>
      <c r="I20989" s="1358"/>
    </row>
    <row r="20990" spans="8:9">
      <c r="H20990" s="1358"/>
      <c r="I20990" s="1358"/>
    </row>
    <row r="20991" spans="8:9">
      <c r="H20991" s="1358"/>
      <c r="I20991" s="1358"/>
    </row>
    <row r="20992" spans="8:9">
      <c r="H20992" s="1358"/>
      <c r="I20992" s="1358"/>
    </row>
    <row r="20993" spans="8:9">
      <c r="H20993" s="1358"/>
      <c r="I20993" s="1358"/>
    </row>
    <row r="20994" spans="8:9">
      <c r="H20994" s="1358"/>
      <c r="I20994" s="1358"/>
    </row>
    <row r="20995" spans="8:9">
      <c r="H20995" s="1358"/>
      <c r="I20995" s="1358"/>
    </row>
    <row r="20996" spans="8:9">
      <c r="H20996" s="1358"/>
      <c r="I20996" s="1358"/>
    </row>
    <row r="20997" spans="8:9">
      <c r="H20997" s="1358"/>
      <c r="I20997" s="1358"/>
    </row>
    <row r="20998" spans="8:9">
      <c r="H20998" s="1358"/>
      <c r="I20998" s="1358"/>
    </row>
    <row r="20999" spans="8:9">
      <c r="H20999" s="1358"/>
      <c r="I20999" s="1358"/>
    </row>
    <row r="21000" spans="8:9">
      <c r="H21000" s="1358"/>
      <c r="I21000" s="1358"/>
    </row>
    <row r="21001" spans="8:9">
      <c r="H21001" s="1358"/>
      <c r="I21001" s="1358"/>
    </row>
    <row r="21002" spans="8:9">
      <c r="H21002" s="1358"/>
      <c r="I21002" s="1358"/>
    </row>
    <row r="21003" spans="8:9">
      <c r="H21003" s="1358"/>
      <c r="I21003" s="1358"/>
    </row>
    <row r="21004" spans="8:9">
      <c r="H21004" s="1358"/>
      <c r="I21004" s="1358"/>
    </row>
    <row r="21005" spans="8:9">
      <c r="H21005" s="1358"/>
      <c r="I21005" s="1358"/>
    </row>
    <row r="21006" spans="8:9">
      <c r="H21006" s="1358"/>
      <c r="I21006" s="1358"/>
    </row>
    <row r="21007" spans="8:9">
      <c r="H21007" s="1358"/>
      <c r="I21007" s="1358"/>
    </row>
    <row r="21008" spans="8:9">
      <c r="H21008" s="1358"/>
      <c r="I21008" s="1358"/>
    </row>
    <row r="21009" spans="8:9">
      <c r="H21009" s="1358"/>
      <c r="I21009" s="1358"/>
    </row>
    <row r="21010" spans="8:9">
      <c r="H21010" s="1358"/>
      <c r="I21010" s="1358"/>
    </row>
    <row r="21011" spans="8:9">
      <c r="H21011" s="1358"/>
      <c r="I21011" s="1358"/>
    </row>
    <row r="21012" spans="8:9">
      <c r="H21012" s="1358"/>
      <c r="I21012" s="1358"/>
    </row>
    <row r="21013" spans="8:9">
      <c r="H21013" s="1358"/>
      <c r="I21013" s="1358"/>
    </row>
    <row r="21014" spans="8:9">
      <c r="H21014" s="1358"/>
      <c r="I21014" s="1358"/>
    </row>
    <row r="21015" spans="8:9">
      <c r="H21015" s="1358"/>
      <c r="I21015" s="1358"/>
    </row>
    <row r="21016" spans="8:9">
      <c r="H21016" s="1358"/>
      <c r="I21016" s="1358"/>
    </row>
    <row r="21017" spans="8:9">
      <c r="H21017" s="1358"/>
      <c r="I21017" s="1358"/>
    </row>
    <row r="21018" spans="8:9">
      <c r="H21018" s="1358"/>
      <c r="I21018" s="1358"/>
    </row>
    <row r="21019" spans="8:9">
      <c r="H21019" s="1358"/>
      <c r="I21019" s="1358"/>
    </row>
    <row r="21020" spans="8:9">
      <c r="H21020" s="1358"/>
      <c r="I21020" s="1358"/>
    </row>
    <row r="21021" spans="8:9">
      <c r="H21021" s="1358"/>
      <c r="I21021" s="1358"/>
    </row>
    <row r="21022" spans="8:9">
      <c r="H21022" s="1358"/>
      <c r="I21022" s="1358"/>
    </row>
    <row r="21023" spans="8:9">
      <c r="H21023" s="1358"/>
      <c r="I21023" s="1358"/>
    </row>
    <row r="21024" spans="8:9">
      <c r="H21024" s="1358"/>
      <c r="I21024" s="1358"/>
    </row>
    <row r="21025" spans="8:9">
      <c r="H21025" s="1358"/>
      <c r="I21025" s="1358"/>
    </row>
    <row r="21026" spans="8:9">
      <c r="H21026" s="1358"/>
      <c r="I21026" s="1358"/>
    </row>
    <row r="21027" spans="8:9">
      <c r="H21027" s="1358"/>
      <c r="I21027" s="1358"/>
    </row>
    <row r="21028" spans="8:9">
      <c r="H21028" s="1358"/>
      <c r="I21028" s="1358"/>
    </row>
    <row r="21029" spans="8:9">
      <c r="H21029" s="1358"/>
      <c r="I21029" s="1358"/>
    </row>
    <row r="21030" spans="8:9">
      <c r="H21030" s="1358"/>
      <c r="I21030" s="1358"/>
    </row>
    <row r="21031" spans="8:9">
      <c r="H21031" s="1358"/>
      <c r="I21031" s="1358"/>
    </row>
    <row r="21032" spans="8:9">
      <c r="H21032" s="1358"/>
      <c r="I21032" s="1358"/>
    </row>
    <row r="21033" spans="8:9">
      <c r="H21033" s="1358"/>
      <c r="I21033" s="1358"/>
    </row>
    <row r="21034" spans="8:9">
      <c r="H21034" s="1358"/>
      <c r="I21034" s="1358"/>
    </row>
    <row r="21035" spans="8:9">
      <c r="H21035" s="1358"/>
      <c r="I21035" s="1358"/>
    </row>
    <row r="21036" spans="8:9">
      <c r="H21036" s="1358"/>
      <c r="I21036" s="1358"/>
    </row>
    <row r="21037" spans="8:9">
      <c r="H21037" s="1358"/>
      <c r="I21037" s="1358"/>
    </row>
    <row r="21038" spans="8:9">
      <c r="H21038" s="1358"/>
      <c r="I21038" s="1358"/>
    </row>
    <row r="21039" spans="8:9">
      <c r="H21039" s="1358"/>
      <c r="I21039" s="1358"/>
    </row>
    <row r="21040" spans="8:9">
      <c r="H21040" s="1358"/>
      <c r="I21040" s="1358"/>
    </row>
    <row r="21041" spans="8:9">
      <c r="H21041" s="1358"/>
      <c r="I21041" s="1358"/>
    </row>
    <row r="21042" spans="8:9">
      <c r="H21042" s="1358"/>
      <c r="I21042" s="1358"/>
    </row>
    <row r="21043" spans="8:9">
      <c r="H21043" s="1358"/>
      <c r="I21043" s="1358"/>
    </row>
    <row r="21044" spans="8:9">
      <c r="H21044" s="1358"/>
      <c r="I21044" s="1358"/>
    </row>
    <row r="21045" spans="8:9">
      <c r="H21045" s="1358"/>
      <c r="I21045" s="1358"/>
    </row>
    <row r="21046" spans="8:9">
      <c r="H21046" s="1358"/>
      <c r="I21046" s="1358"/>
    </row>
    <row r="21047" spans="8:9">
      <c r="H21047" s="1358"/>
      <c r="I21047" s="1358"/>
    </row>
    <row r="21048" spans="8:9">
      <c r="H21048" s="1358"/>
      <c r="I21048" s="1358"/>
    </row>
    <row r="21049" spans="8:9">
      <c r="H21049" s="1358"/>
      <c r="I21049" s="1358"/>
    </row>
    <row r="21050" spans="8:9">
      <c r="H21050" s="1358"/>
      <c r="I21050" s="1358"/>
    </row>
    <row r="21051" spans="8:9">
      <c r="H21051" s="1358"/>
      <c r="I21051" s="1358"/>
    </row>
    <row r="21052" spans="8:9">
      <c r="H21052" s="1358"/>
      <c r="I21052" s="1358"/>
    </row>
    <row r="21053" spans="8:9">
      <c r="H21053" s="1358"/>
      <c r="I21053" s="1358"/>
    </row>
    <row r="21054" spans="8:9">
      <c r="H21054" s="1358"/>
      <c r="I21054" s="1358"/>
    </row>
    <row r="21055" spans="8:9">
      <c r="H21055" s="1358"/>
      <c r="I21055" s="1358"/>
    </row>
    <row r="21056" spans="8:9">
      <c r="H21056" s="1358"/>
      <c r="I21056" s="1358"/>
    </row>
    <row r="21057" spans="8:9">
      <c r="H21057" s="1358"/>
      <c r="I21057" s="1358"/>
    </row>
    <row r="21058" spans="8:9">
      <c r="H21058" s="1358"/>
      <c r="I21058" s="1358"/>
    </row>
    <row r="21059" spans="8:9">
      <c r="H21059" s="1358"/>
      <c r="I21059" s="1358"/>
    </row>
    <row r="21060" spans="8:9">
      <c r="H21060" s="1358"/>
      <c r="I21060" s="1358"/>
    </row>
    <row r="21061" spans="8:9">
      <c r="H21061" s="1358"/>
      <c r="I21061" s="1358"/>
    </row>
    <row r="21062" spans="8:9">
      <c r="H21062" s="1358"/>
      <c r="I21062" s="1358"/>
    </row>
    <row r="21063" spans="8:9">
      <c r="H21063" s="1358"/>
      <c r="I21063" s="1358"/>
    </row>
    <row r="21064" spans="8:9">
      <c r="H21064" s="1358"/>
      <c r="I21064" s="1358"/>
    </row>
    <row r="21065" spans="8:9">
      <c r="H21065" s="1358"/>
      <c r="I21065" s="1358"/>
    </row>
    <row r="21066" spans="8:9">
      <c r="H21066" s="1358"/>
      <c r="I21066" s="1358"/>
    </row>
    <row r="21067" spans="8:9">
      <c r="H21067" s="1358"/>
      <c r="I21067" s="1358"/>
    </row>
    <row r="21068" spans="8:9">
      <c r="H21068" s="1358"/>
      <c r="I21068" s="1358"/>
    </row>
    <row r="21069" spans="8:9">
      <c r="H21069" s="1358"/>
      <c r="I21069" s="1358"/>
    </row>
    <row r="21070" spans="8:9">
      <c r="H21070" s="1358"/>
      <c r="I21070" s="1358"/>
    </row>
    <row r="21071" spans="8:9">
      <c r="H21071" s="1358"/>
      <c r="I21071" s="1358"/>
    </row>
    <row r="21072" spans="8:9">
      <c r="H21072" s="1358"/>
      <c r="I21072" s="1358"/>
    </row>
    <row r="21073" spans="8:9">
      <c r="H21073" s="1358"/>
      <c r="I21073" s="1358"/>
    </row>
    <row r="21074" spans="8:9">
      <c r="H21074" s="1358"/>
      <c r="I21074" s="1358"/>
    </row>
    <row r="21075" spans="8:9">
      <c r="H21075" s="1358"/>
      <c r="I21075" s="1358"/>
    </row>
    <row r="21076" spans="8:9">
      <c r="H21076" s="1358"/>
      <c r="I21076" s="1358"/>
    </row>
    <row r="21077" spans="8:9">
      <c r="H21077" s="1358"/>
      <c r="I21077" s="1358"/>
    </row>
    <row r="21078" spans="8:9">
      <c r="H21078" s="1358"/>
      <c r="I21078" s="1358"/>
    </row>
    <row r="21079" spans="8:9">
      <c r="H21079" s="1358"/>
      <c r="I21079" s="1358"/>
    </row>
    <row r="21080" spans="8:9">
      <c r="H21080" s="1358"/>
      <c r="I21080" s="1358"/>
    </row>
    <row r="21081" spans="8:9">
      <c r="H21081" s="1358"/>
      <c r="I21081" s="1358"/>
    </row>
    <row r="21082" spans="8:9">
      <c r="H21082" s="1358"/>
      <c r="I21082" s="1358"/>
    </row>
    <row r="21083" spans="8:9">
      <c r="H21083" s="1358"/>
      <c r="I21083" s="1358"/>
    </row>
    <row r="21084" spans="8:9">
      <c r="H21084" s="1358"/>
      <c r="I21084" s="1358"/>
    </row>
    <row r="21085" spans="8:9">
      <c r="H21085" s="1358"/>
      <c r="I21085" s="1358"/>
    </row>
    <row r="21086" spans="8:9">
      <c r="H21086" s="1358"/>
      <c r="I21086" s="1358"/>
    </row>
    <row r="21087" spans="8:9">
      <c r="H21087" s="1358"/>
      <c r="I21087" s="1358"/>
    </row>
    <row r="21088" spans="8:9">
      <c r="H21088" s="1358"/>
      <c r="I21088" s="1358"/>
    </row>
    <row r="21089" spans="8:9">
      <c r="H21089" s="1358"/>
      <c r="I21089" s="1358"/>
    </row>
    <row r="21090" spans="8:9">
      <c r="H21090" s="1358"/>
      <c r="I21090" s="1358"/>
    </row>
    <row r="21091" spans="8:9">
      <c r="H21091" s="1358"/>
      <c r="I21091" s="1358"/>
    </row>
    <row r="21092" spans="8:9">
      <c r="H21092" s="1358"/>
      <c r="I21092" s="1358"/>
    </row>
    <row r="21093" spans="8:9">
      <c r="H21093" s="1358"/>
      <c r="I21093" s="1358"/>
    </row>
    <row r="21094" spans="8:9">
      <c r="H21094" s="1358"/>
      <c r="I21094" s="1358"/>
    </row>
    <row r="21095" spans="8:9">
      <c r="H21095" s="1358"/>
      <c r="I21095" s="1358"/>
    </row>
    <row r="21096" spans="8:9">
      <c r="H21096" s="1358"/>
      <c r="I21096" s="1358"/>
    </row>
    <row r="21097" spans="8:9">
      <c r="H21097" s="1358"/>
      <c r="I21097" s="1358"/>
    </row>
    <row r="21098" spans="8:9">
      <c r="H21098" s="1358"/>
      <c r="I21098" s="1358"/>
    </row>
    <row r="21099" spans="8:9">
      <c r="H21099" s="1358"/>
      <c r="I21099" s="1358"/>
    </row>
    <row r="21100" spans="8:9">
      <c r="H21100" s="1358"/>
      <c r="I21100" s="1358"/>
    </row>
    <row r="21101" spans="8:9">
      <c r="H21101" s="1358"/>
      <c r="I21101" s="1358"/>
    </row>
    <row r="21102" spans="8:9">
      <c r="H21102" s="1358"/>
      <c r="I21102" s="1358"/>
    </row>
    <row r="21103" spans="8:9">
      <c r="H21103" s="1358"/>
      <c r="I21103" s="1358"/>
    </row>
    <row r="21104" spans="8:9">
      <c r="H21104" s="1358"/>
      <c r="I21104" s="1358"/>
    </row>
    <row r="21105" spans="8:9">
      <c r="H21105" s="1358"/>
      <c r="I21105" s="1358"/>
    </row>
    <row r="21106" spans="8:9">
      <c r="H21106" s="1358"/>
      <c r="I21106" s="1358"/>
    </row>
    <row r="21107" spans="8:9">
      <c r="H21107" s="1358"/>
      <c r="I21107" s="1358"/>
    </row>
    <row r="21108" spans="8:9">
      <c r="H21108" s="1358"/>
      <c r="I21108" s="1358"/>
    </row>
    <row r="21109" spans="8:9">
      <c r="H21109" s="1358"/>
      <c r="I21109" s="1358"/>
    </row>
    <row r="21110" spans="8:9">
      <c r="H21110" s="1358"/>
      <c r="I21110" s="1358"/>
    </row>
    <row r="21111" spans="8:9">
      <c r="H21111" s="1358"/>
      <c r="I21111" s="1358"/>
    </row>
    <row r="21112" spans="8:9">
      <c r="H21112" s="1358"/>
      <c r="I21112" s="1358"/>
    </row>
    <row r="21113" spans="8:9">
      <c r="H21113" s="1358"/>
      <c r="I21113" s="1358"/>
    </row>
    <row r="21114" spans="8:9">
      <c r="H21114" s="1358"/>
      <c r="I21114" s="1358"/>
    </row>
    <row r="21115" spans="8:9">
      <c r="H21115" s="1358"/>
      <c r="I21115" s="1358"/>
    </row>
    <row r="21116" spans="8:9">
      <c r="H21116" s="1358"/>
      <c r="I21116" s="1358"/>
    </row>
    <row r="21117" spans="8:9">
      <c r="H21117" s="1358"/>
      <c r="I21117" s="1358"/>
    </row>
    <row r="21118" spans="8:9">
      <c r="H21118" s="1358"/>
      <c r="I21118" s="1358"/>
    </row>
    <row r="21119" spans="8:9">
      <c r="H21119" s="1358"/>
      <c r="I21119" s="1358"/>
    </row>
    <row r="21120" spans="8:9">
      <c r="H21120" s="1358"/>
      <c r="I21120" s="1358"/>
    </row>
    <row r="21121" spans="8:9">
      <c r="H21121" s="1358"/>
      <c r="I21121" s="1358"/>
    </row>
    <row r="21122" spans="8:9">
      <c r="H21122" s="1358"/>
      <c r="I21122" s="1358"/>
    </row>
    <row r="21123" spans="8:9">
      <c r="H21123" s="1358"/>
      <c r="I21123" s="1358"/>
    </row>
    <row r="21124" spans="8:9">
      <c r="H21124" s="1358"/>
      <c r="I21124" s="1358"/>
    </row>
    <row r="21125" spans="8:9">
      <c r="H21125" s="1358"/>
      <c r="I21125" s="1358"/>
    </row>
    <row r="21126" spans="8:9">
      <c r="H21126" s="1358"/>
      <c r="I21126" s="1358"/>
    </row>
    <row r="21127" spans="8:9">
      <c r="H21127" s="1358"/>
      <c r="I21127" s="1358"/>
    </row>
    <row r="21128" spans="8:9">
      <c r="H21128" s="1358"/>
      <c r="I21128" s="1358"/>
    </row>
    <row r="21129" spans="8:9">
      <c r="H21129" s="1358"/>
      <c r="I21129" s="1358"/>
    </row>
    <row r="21130" spans="8:9">
      <c r="H21130" s="1358"/>
      <c r="I21130" s="1358"/>
    </row>
    <row r="21131" spans="8:9">
      <c r="H21131" s="1358"/>
      <c r="I21131" s="1358"/>
    </row>
    <row r="21132" spans="8:9">
      <c r="H21132" s="1358"/>
      <c r="I21132" s="1358"/>
    </row>
    <row r="21133" spans="8:9">
      <c r="H21133" s="1358"/>
      <c r="I21133" s="1358"/>
    </row>
    <row r="21134" spans="8:9">
      <c r="H21134" s="1358"/>
      <c r="I21134" s="1358"/>
    </row>
    <row r="21135" spans="8:9">
      <c r="H21135" s="1358"/>
      <c r="I21135" s="1358"/>
    </row>
    <row r="21136" spans="8:9">
      <c r="H21136" s="1358"/>
      <c r="I21136" s="1358"/>
    </row>
    <row r="21137" spans="8:9">
      <c r="H21137" s="1358"/>
      <c r="I21137" s="1358"/>
    </row>
    <row r="21138" spans="8:9">
      <c r="H21138" s="1358"/>
      <c r="I21138" s="1358"/>
    </row>
    <row r="21139" spans="8:9">
      <c r="H21139" s="1358"/>
      <c r="I21139" s="1358"/>
    </row>
    <row r="21140" spans="8:9">
      <c r="H21140" s="1358"/>
      <c r="I21140" s="1358"/>
    </row>
    <row r="21141" spans="8:9">
      <c r="H21141" s="1358"/>
      <c r="I21141" s="1358"/>
    </row>
    <row r="21142" spans="8:9">
      <c r="H21142" s="1358"/>
      <c r="I21142" s="1358"/>
    </row>
    <row r="21143" spans="8:9">
      <c r="H21143" s="1358"/>
      <c r="I21143" s="1358"/>
    </row>
    <row r="21144" spans="8:9">
      <c r="H21144" s="1358"/>
      <c r="I21144" s="1358"/>
    </row>
    <row r="21145" spans="8:9">
      <c r="H21145" s="1358"/>
      <c r="I21145" s="1358"/>
    </row>
    <row r="21146" spans="8:9">
      <c r="H21146" s="1358"/>
      <c r="I21146" s="1358"/>
    </row>
    <row r="21147" spans="8:9">
      <c r="H21147" s="1358"/>
      <c r="I21147" s="1358"/>
    </row>
    <row r="21148" spans="8:9">
      <c r="H21148" s="1358"/>
      <c r="I21148" s="1358"/>
    </row>
    <row r="21149" spans="8:9">
      <c r="H21149" s="1358"/>
      <c r="I21149" s="1358"/>
    </row>
    <row r="21150" spans="8:9">
      <c r="H21150" s="1358"/>
      <c r="I21150" s="1358"/>
    </row>
    <row r="21151" spans="8:9">
      <c r="H21151" s="1358"/>
      <c r="I21151" s="1358"/>
    </row>
    <row r="21152" spans="8:9">
      <c r="H21152" s="1358"/>
      <c r="I21152" s="1358"/>
    </row>
    <row r="21153" spans="8:9">
      <c r="H21153" s="1358"/>
      <c r="I21153" s="1358"/>
    </row>
    <row r="21154" spans="8:9">
      <c r="H21154" s="1358"/>
      <c r="I21154" s="1358"/>
    </row>
    <row r="21155" spans="8:9">
      <c r="H21155" s="1358"/>
      <c r="I21155" s="1358"/>
    </row>
    <row r="21156" spans="8:9">
      <c r="H21156" s="1358"/>
      <c r="I21156" s="1358"/>
    </row>
    <row r="21157" spans="8:9">
      <c r="H21157" s="1358"/>
      <c r="I21157" s="1358"/>
    </row>
    <row r="21158" spans="8:9">
      <c r="H21158" s="1358"/>
      <c r="I21158" s="1358"/>
    </row>
    <row r="21159" spans="8:9">
      <c r="H21159" s="1358"/>
      <c r="I21159" s="1358"/>
    </row>
    <row r="21160" spans="8:9">
      <c r="H21160" s="1358"/>
      <c r="I21160" s="1358"/>
    </row>
    <row r="21161" spans="8:9">
      <c r="H21161" s="1358"/>
      <c r="I21161" s="1358"/>
    </row>
    <row r="21162" spans="8:9">
      <c r="H21162" s="1358"/>
      <c r="I21162" s="1358"/>
    </row>
    <row r="21163" spans="8:9">
      <c r="H21163" s="1358"/>
      <c r="I21163" s="1358"/>
    </row>
    <row r="21164" spans="8:9">
      <c r="H21164" s="1358"/>
      <c r="I21164" s="1358"/>
    </row>
    <row r="21165" spans="8:9">
      <c r="H21165" s="1358"/>
      <c r="I21165" s="1358"/>
    </row>
    <row r="21166" spans="8:9">
      <c r="H21166" s="1358"/>
      <c r="I21166" s="1358"/>
    </row>
    <row r="21167" spans="8:9">
      <c r="H21167" s="1358"/>
      <c r="I21167" s="1358"/>
    </row>
    <row r="21168" spans="8:9">
      <c r="H21168" s="1358"/>
      <c r="I21168" s="1358"/>
    </row>
    <row r="21169" spans="8:9">
      <c r="H21169" s="1358"/>
      <c r="I21169" s="1358"/>
    </row>
    <row r="21170" spans="8:9">
      <c r="H21170" s="1358"/>
      <c r="I21170" s="1358"/>
    </row>
    <row r="21171" spans="8:9">
      <c r="H21171" s="1358"/>
      <c r="I21171" s="1358"/>
    </row>
    <row r="21172" spans="8:9">
      <c r="H21172" s="1358"/>
      <c r="I21172" s="1358"/>
    </row>
    <row r="21173" spans="8:9">
      <c r="H21173" s="1358"/>
      <c r="I21173" s="1358"/>
    </row>
    <row r="21174" spans="8:9">
      <c r="H21174" s="1358"/>
      <c r="I21174" s="1358"/>
    </row>
    <row r="21175" spans="8:9">
      <c r="H21175" s="1358"/>
      <c r="I21175" s="1358"/>
    </row>
    <row r="21176" spans="8:9">
      <c r="H21176" s="1358"/>
      <c r="I21176" s="1358"/>
    </row>
    <row r="21177" spans="8:9">
      <c r="H21177" s="1358"/>
      <c r="I21177" s="1358"/>
    </row>
    <row r="21178" spans="8:9">
      <c r="H21178" s="1358"/>
      <c r="I21178" s="1358"/>
    </row>
    <row r="21179" spans="8:9">
      <c r="H21179" s="1358"/>
      <c r="I21179" s="1358"/>
    </row>
    <row r="21180" spans="8:9">
      <c r="H21180" s="1358"/>
      <c r="I21180" s="1358"/>
    </row>
    <row r="21181" spans="8:9">
      <c r="H21181" s="1358"/>
      <c r="I21181" s="1358"/>
    </row>
    <row r="21182" spans="8:9">
      <c r="H21182" s="1358"/>
      <c r="I21182" s="1358"/>
    </row>
    <row r="21183" spans="8:9">
      <c r="H21183" s="1358"/>
      <c r="I21183" s="1358"/>
    </row>
    <row r="21184" spans="8:9">
      <c r="H21184" s="1358"/>
      <c r="I21184" s="1358"/>
    </row>
    <row r="21185" spans="8:9">
      <c r="H21185" s="1358"/>
      <c r="I21185" s="1358"/>
    </row>
    <row r="21186" spans="8:9">
      <c r="H21186" s="1358"/>
      <c r="I21186" s="1358"/>
    </row>
    <row r="21187" spans="8:9">
      <c r="H21187" s="1358"/>
      <c r="I21187" s="1358"/>
    </row>
    <row r="21188" spans="8:9">
      <c r="H21188" s="1358"/>
      <c r="I21188" s="1358"/>
    </row>
    <row r="21189" spans="8:9">
      <c r="H21189" s="1358"/>
      <c r="I21189" s="1358"/>
    </row>
    <row r="21190" spans="8:9">
      <c r="H21190" s="1358"/>
      <c r="I21190" s="1358"/>
    </row>
    <row r="21191" spans="8:9">
      <c r="H21191" s="1358"/>
      <c r="I21191" s="1358"/>
    </row>
    <row r="21192" spans="8:9">
      <c r="H21192" s="1358"/>
      <c r="I21192" s="1358"/>
    </row>
    <row r="21193" spans="8:9">
      <c r="H21193" s="1358"/>
      <c r="I21193" s="1358"/>
    </row>
    <row r="21194" spans="8:9">
      <c r="H21194" s="1358"/>
      <c r="I21194" s="1358"/>
    </row>
    <row r="21195" spans="8:9">
      <c r="H21195" s="1358"/>
      <c r="I21195" s="1358"/>
    </row>
    <row r="21196" spans="8:9">
      <c r="H21196" s="1358"/>
      <c r="I21196" s="1358"/>
    </row>
    <row r="21197" spans="8:9">
      <c r="H21197" s="1358"/>
      <c r="I21197" s="1358"/>
    </row>
    <row r="21198" spans="8:9">
      <c r="H21198" s="1358"/>
      <c r="I21198" s="1358"/>
    </row>
    <row r="21199" spans="8:9">
      <c r="H21199" s="1358"/>
      <c r="I21199" s="1358"/>
    </row>
    <row r="21200" spans="8:9">
      <c r="H21200" s="1358"/>
      <c r="I21200" s="1358"/>
    </row>
    <row r="21201" spans="8:9">
      <c r="H21201" s="1358"/>
      <c r="I21201" s="1358"/>
    </row>
    <row r="21202" spans="8:9">
      <c r="H21202" s="1358"/>
      <c r="I21202" s="1358"/>
    </row>
    <row r="21203" spans="8:9">
      <c r="H21203" s="1358"/>
      <c r="I21203" s="1358"/>
    </row>
    <row r="21204" spans="8:9">
      <c r="H21204" s="1358"/>
      <c r="I21204" s="1358"/>
    </row>
    <row r="21205" spans="8:9">
      <c r="H21205" s="1358"/>
      <c r="I21205" s="1358"/>
    </row>
    <row r="21206" spans="8:9">
      <c r="H21206" s="1358"/>
      <c r="I21206" s="1358"/>
    </row>
    <row r="21207" spans="8:9">
      <c r="H21207" s="1358"/>
      <c r="I21207" s="1358"/>
    </row>
    <row r="21208" spans="8:9">
      <c r="H21208" s="1358"/>
      <c r="I21208" s="1358"/>
    </row>
    <row r="21209" spans="8:9">
      <c r="H21209" s="1358"/>
      <c r="I21209" s="1358"/>
    </row>
    <row r="21210" spans="8:9">
      <c r="H21210" s="1358"/>
      <c r="I21210" s="1358"/>
    </row>
    <row r="21211" spans="8:9">
      <c r="H21211" s="1358"/>
      <c r="I21211" s="1358"/>
    </row>
    <row r="21212" spans="8:9">
      <c r="H21212" s="1358"/>
      <c r="I21212" s="1358"/>
    </row>
    <row r="21213" spans="8:9">
      <c r="H21213" s="1358"/>
      <c r="I21213" s="1358"/>
    </row>
    <row r="21214" spans="8:9">
      <c r="H21214" s="1358"/>
      <c r="I21214" s="1358"/>
    </row>
    <row r="21215" spans="8:9">
      <c r="H21215" s="1358"/>
      <c r="I21215" s="1358"/>
    </row>
    <row r="21216" spans="8:9">
      <c r="H21216" s="1358"/>
      <c r="I21216" s="1358"/>
    </row>
    <row r="21217" spans="8:9">
      <c r="H21217" s="1358"/>
      <c r="I21217" s="1358"/>
    </row>
    <row r="21218" spans="8:9">
      <c r="H21218" s="1358"/>
      <c r="I21218" s="1358"/>
    </row>
    <row r="21219" spans="8:9">
      <c r="H21219" s="1358"/>
      <c r="I21219" s="1358"/>
    </row>
    <row r="21220" spans="8:9">
      <c r="H21220" s="1358"/>
      <c r="I21220" s="1358"/>
    </row>
    <row r="21221" spans="8:9">
      <c r="H21221" s="1358"/>
      <c r="I21221" s="1358"/>
    </row>
    <row r="21222" spans="8:9">
      <c r="H21222" s="1358"/>
      <c r="I21222" s="1358"/>
    </row>
    <row r="21223" spans="8:9">
      <c r="H21223" s="1358"/>
      <c r="I21223" s="1358"/>
    </row>
    <row r="21224" spans="8:9">
      <c r="H21224" s="1358"/>
      <c r="I21224" s="1358"/>
    </row>
    <row r="21225" spans="8:9">
      <c r="H21225" s="1358"/>
      <c r="I21225" s="1358"/>
    </row>
    <row r="21226" spans="8:9">
      <c r="H21226" s="1358"/>
      <c r="I21226" s="1358"/>
    </row>
    <row r="21227" spans="8:9">
      <c r="H21227" s="1358"/>
      <c r="I21227" s="1358"/>
    </row>
    <row r="21228" spans="8:9">
      <c r="H21228" s="1358"/>
      <c r="I21228" s="1358"/>
    </row>
    <row r="21229" spans="8:9">
      <c r="H21229" s="1358"/>
      <c r="I21229" s="1358"/>
    </row>
    <row r="21230" spans="8:9">
      <c r="H21230" s="1358"/>
      <c r="I21230" s="1358"/>
    </row>
    <row r="21231" spans="8:9">
      <c r="H21231" s="1358"/>
      <c r="I21231" s="1358"/>
    </row>
    <row r="21232" spans="8:9">
      <c r="H21232" s="1358"/>
      <c r="I21232" s="1358"/>
    </row>
    <row r="21233" spans="8:9">
      <c r="H21233" s="1358"/>
      <c r="I21233" s="1358"/>
    </row>
    <row r="21234" spans="8:9">
      <c r="H21234" s="1358"/>
      <c r="I21234" s="1358"/>
    </row>
    <row r="21235" spans="8:9">
      <c r="H21235" s="1358"/>
      <c r="I21235" s="1358"/>
    </row>
    <row r="21236" spans="8:9">
      <c r="H21236" s="1358"/>
      <c r="I21236" s="1358"/>
    </row>
    <row r="21237" spans="8:9">
      <c r="H21237" s="1358"/>
      <c r="I21237" s="1358"/>
    </row>
    <row r="21238" spans="8:9">
      <c r="H21238" s="1358"/>
      <c r="I21238" s="1358"/>
    </row>
    <row r="21239" spans="8:9">
      <c r="H21239" s="1358"/>
      <c r="I21239" s="1358"/>
    </row>
    <row r="21240" spans="8:9">
      <c r="H21240" s="1358"/>
      <c r="I21240" s="1358"/>
    </row>
    <row r="21241" spans="8:9">
      <c r="H21241" s="1358"/>
      <c r="I21241" s="1358"/>
    </row>
    <row r="21242" spans="8:9">
      <c r="H21242" s="1358"/>
      <c r="I21242" s="1358"/>
    </row>
    <row r="21243" spans="8:9">
      <c r="H21243" s="1358"/>
      <c r="I21243" s="1358"/>
    </row>
    <row r="21244" spans="8:9">
      <c r="H21244" s="1358"/>
      <c r="I21244" s="1358"/>
    </row>
    <row r="21245" spans="8:9">
      <c r="H21245" s="1358"/>
      <c r="I21245" s="1358"/>
    </row>
    <row r="21246" spans="8:9">
      <c r="H21246" s="1358"/>
      <c r="I21246" s="1358"/>
    </row>
    <row r="21247" spans="8:9">
      <c r="H21247" s="1358"/>
      <c r="I21247" s="1358"/>
    </row>
    <row r="21248" spans="8:9">
      <c r="H21248" s="1358"/>
      <c r="I21248" s="1358"/>
    </row>
    <row r="21249" spans="8:9">
      <c r="H21249" s="1358"/>
      <c r="I21249" s="1358"/>
    </row>
    <row r="21250" spans="8:9">
      <c r="H21250" s="1358"/>
      <c r="I21250" s="1358"/>
    </row>
    <row r="21251" spans="8:9">
      <c r="H21251" s="1358"/>
      <c r="I21251" s="1358"/>
    </row>
    <row r="21252" spans="8:9">
      <c r="H21252" s="1358"/>
      <c r="I21252" s="1358"/>
    </row>
    <row r="21253" spans="8:9">
      <c r="H21253" s="1358"/>
      <c r="I21253" s="1358"/>
    </row>
    <row r="21254" spans="8:9">
      <c r="H21254" s="1358"/>
      <c r="I21254" s="1358"/>
    </row>
    <row r="21255" spans="8:9">
      <c r="H21255" s="1358"/>
      <c r="I21255" s="1358"/>
    </row>
    <row r="21256" spans="8:9">
      <c r="H21256" s="1358"/>
      <c r="I21256" s="1358"/>
    </row>
    <row r="21257" spans="8:9">
      <c r="H21257" s="1358"/>
      <c r="I21257" s="1358"/>
    </row>
    <row r="21258" spans="8:9">
      <c r="H21258" s="1358"/>
      <c r="I21258" s="1358"/>
    </row>
    <row r="21259" spans="8:9">
      <c r="H21259" s="1358"/>
      <c r="I21259" s="1358"/>
    </row>
    <row r="21260" spans="8:9">
      <c r="H21260" s="1358"/>
      <c r="I21260" s="1358"/>
    </row>
    <row r="21261" spans="8:9">
      <c r="H21261" s="1358"/>
      <c r="I21261" s="1358"/>
    </row>
    <row r="21262" spans="8:9">
      <c r="H21262" s="1358"/>
      <c r="I21262" s="1358"/>
    </row>
    <row r="21263" spans="8:9">
      <c r="H21263" s="1358"/>
      <c r="I21263" s="1358"/>
    </row>
    <row r="21264" spans="8:9">
      <c r="H21264" s="1358"/>
      <c r="I21264" s="1358"/>
    </row>
    <row r="21265" spans="8:9">
      <c r="H21265" s="1358"/>
      <c r="I21265" s="1358"/>
    </row>
    <row r="21266" spans="8:9">
      <c r="H21266" s="1358"/>
      <c r="I21266" s="1358"/>
    </row>
    <row r="21267" spans="8:9">
      <c r="H21267" s="1358"/>
      <c r="I21267" s="1358"/>
    </row>
    <row r="21268" spans="8:9">
      <c r="H21268" s="1358"/>
      <c r="I21268" s="1358"/>
    </row>
    <row r="21269" spans="8:9">
      <c r="H21269" s="1358"/>
      <c r="I21269" s="1358"/>
    </row>
    <row r="21270" spans="8:9">
      <c r="H21270" s="1358"/>
      <c r="I21270" s="1358"/>
    </row>
    <row r="21271" spans="8:9">
      <c r="H21271" s="1358"/>
      <c r="I21271" s="1358"/>
    </row>
    <row r="21272" spans="8:9">
      <c r="H21272" s="1358"/>
      <c r="I21272" s="1358"/>
    </row>
    <row r="21273" spans="8:9">
      <c r="H21273" s="1358"/>
      <c r="I21273" s="1358"/>
    </row>
    <row r="21274" spans="8:9">
      <c r="H21274" s="1358"/>
      <c r="I21274" s="1358"/>
    </row>
    <row r="21275" spans="8:9">
      <c r="H21275" s="1358"/>
      <c r="I21275" s="1358"/>
    </row>
    <row r="21276" spans="8:9">
      <c r="H21276" s="1358"/>
      <c r="I21276" s="1358"/>
    </row>
    <row r="21277" spans="8:9">
      <c r="H21277" s="1358"/>
      <c r="I21277" s="1358"/>
    </row>
    <row r="21278" spans="8:9">
      <c r="H21278" s="1358"/>
      <c r="I21278" s="1358"/>
    </row>
    <row r="21279" spans="8:9">
      <c r="H21279" s="1358"/>
      <c r="I21279" s="1358"/>
    </row>
    <row r="21280" spans="8:9">
      <c r="H21280" s="1358"/>
      <c r="I21280" s="1358"/>
    </row>
    <row r="21281" spans="8:9">
      <c r="H21281" s="1358"/>
      <c r="I21281" s="1358"/>
    </row>
    <row r="21282" spans="8:9">
      <c r="H21282" s="1358"/>
      <c r="I21282" s="1358"/>
    </row>
    <row r="21283" spans="8:9">
      <c r="H21283" s="1358"/>
      <c r="I21283" s="1358"/>
    </row>
    <row r="21284" spans="8:9">
      <c r="H21284" s="1358"/>
      <c r="I21284" s="1358"/>
    </row>
    <row r="21285" spans="8:9">
      <c r="H21285" s="1358"/>
      <c r="I21285" s="1358"/>
    </row>
    <row r="21286" spans="8:9">
      <c r="H21286" s="1358"/>
      <c r="I21286" s="1358"/>
    </row>
    <row r="21287" spans="8:9">
      <c r="H21287" s="1358"/>
      <c r="I21287" s="1358"/>
    </row>
    <row r="21288" spans="8:9">
      <c r="H21288" s="1358"/>
      <c r="I21288" s="1358"/>
    </row>
    <row r="21289" spans="8:9">
      <c r="H21289" s="1358"/>
      <c r="I21289" s="1358"/>
    </row>
    <row r="21290" spans="8:9">
      <c r="H21290" s="1358"/>
      <c r="I21290" s="1358"/>
    </row>
    <row r="21291" spans="8:9">
      <c r="H21291" s="1358"/>
      <c r="I21291" s="1358"/>
    </row>
    <row r="21292" spans="8:9">
      <c r="H21292" s="1358"/>
      <c r="I21292" s="1358"/>
    </row>
    <row r="21293" spans="8:9">
      <c r="H21293" s="1358"/>
      <c r="I21293" s="1358"/>
    </row>
    <row r="21294" spans="8:9">
      <c r="H21294" s="1358"/>
      <c r="I21294" s="1358"/>
    </row>
    <row r="21295" spans="8:9">
      <c r="H21295" s="1358"/>
      <c r="I21295" s="1358"/>
    </row>
    <row r="21296" spans="8:9">
      <c r="H21296" s="1358"/>
      <c r="I21296" s="1358"/>
    </row>
    <row r="21297" spans="8:9">
      <c r="H21297" s="1358"/>
      <c r="I21297" s="1358"/>
    </row>
    <row r="21298" spans="8:9">
      <c r="H21298" s="1358"/>
      <c r="I21298" s="1358"/>
    </row>
    <row r="21299" spans="8:9">
      <c r="H21299" s="1358"/>
      <c r="I21299" s="1358"/>
    </row>
    <row r="21300" spans="8:9">
      <c r="H21300" s="1358"/>
      <c r="I21300" s="1358"/>
    </row>
    <row r="21301" spans="8:9">
      <c r="H21301" s="1358"/>
      <c r="I21301" s="1358"/>
    </row>
    <row r="21302" spans="8:9">
      <c r="H21302" s="1358"/>
      <c r="I21302" s="1358"/>
    </row>
    <row r="21303" spans="8:9">
      <c r="H21303" s="1358"/>
      <c r="I21303" s="1358"/>
    </row>
    <row r="21304" spans="8:9">
      <c r="H21304" s="1358"/>
      <c r="I21304" s="1358"/>
    </row>
    <row r="21305" spans="8:9">
      <c r="H21305" s="1358"/>
      <c r="I21305" s="1358"/>
    </row>
    <row r="21306" spans="8:9">
      <c r="H21306" s="1358"/>
      <c r="I21306" s="1358"/>
    </row>
    <row r="21307" spans="8:9">
      <c r="H21307" s="1358"/>
      <c r="I21307" s="1358"/>
    </row>
    <row r="21308" spans="8:9">
      <c r="H21308" s="1358"/>
      <c r="I21308" s="1358"/>
    </row>
    <row r="21309" spans="8:9">
      <c r="H21309" s="1358"/>
      <c r="I21309" s="1358"/>
    </row>
    <row r="21310" spans="8:9">
      <c r="H21310" s="1358"/>
      <c r="I21310" s="1358"/>
    </row>
    <row r="21311" spans="8:9">
      <c r="H21311" s="1358"/>
      <c r="I21311" s="1358"/>
    </row>
    <row r="21312" spans="8:9">
      <c r="H21312" s="1358"/>
      <c r="I21312" s="1358"/>
    </row>
    <row r="21313" spans="8:9">
      <c r="H21313" s="1358"/>
      <c r="I21313" s="1358"/>
    </row>
    <row r="21314" spans="8:9">
      <c r="H21314" s="1358"/>
      <c r="I21314" s="1358"/>
    </row>
    <row r="21315" spans="8:9">
      <c r="H21315" s="1358"/>
      <c r="I21315" s="1358"/>
    </row>
    <row r="21316" spans="8:9">
      <c r="H21316" s="1358"/>
      <c r="I21316" s="1358"/>
    </row>
    <row r="21317" spans="8:9">
      <c r="H21317" s="1358"/>
      <c r="I21317" s="1358"/>
    </row>
    <row r="21318" spans="8:9">
      <c r="H21318" s="1358"/>
      <c r="I21318" s="1358"/>
    </row>
    <row r="21319" spans="8:9">
      <c r="H21319" s="1358"/>
      <c r="I21319" s="1358"/>
    </row>
    <row r="21320" spans="8:9">
      <c r="H21320" s="1358"/>
      <c r="I21320" s="1358"/>
    </row>
    <row r="21321" spans="8:9">
      <c r="H21321" s="1358"/>
      <c r="I21321" s="1358"/>
    </row>
    <row r="21322" spans="8:9">
      <c r="H21322" s="1358"/>
      <c r="I21322" s="1358"/>
    </row>
    <row r="21323" spans="8:9">
      <c r="H21323" s="1358"/>
      <c r="I21323" s="1358"/>
    </row>
    <row r="21324" spans="8:9">
      <c r="H21324" s="1358"/>
      <c r="I21324" s="1358"/>
    </row>
    <row r="21325" spans="8:9">
      <c r="H21325" s="1358"/>
      <c r="I21325" s="1358"/>
    </row>
    <row r="21326" spans="8:9">
      <c r="H21326" s="1358"/>
      <c r="I21326" s="1358"/>
    </row>
    <row r="21327" spans="8:9">
      <c r="H21327" s="1358"/>
      <c r="I21327" s="1358"/>
    </row>
    <row r="21328" spans="8:9">
      <c r="H21328" s="1358"/>
      <c r="I21328" s="1358"/>
    </row>
    <row r="21329" spans="8:9">
      <c r="H21329" s="1358"/>
      <c r="I21329" s="1358"/>
    </row>
    <row r="21330" spans="8:9">
      <c r="H21330" s="1358"/>
      <c r="I21330" s="1358"/>
    </row>
    <row r="21331" spans="8:9">
      <c r="H21331" s="1358"/>
      <c r="I21331" s="1358"/>
    </row>
    <row r="21332" spans="8:9">
      <c r="H21332" s="1358"/>
      <c r="I21332" s="1358"/>
    </row>
    <row r="21333" spans="8:9">
      <c r="H21333" s="1358"/>
      <c r="I21333" s="1358"/>
    </row>
    <row r="21334" spans="8:9">
      <c r="H21334" s="1358"/>
      <c r="I21334" s="1358"/>
    </row>
    <row r="21335" spans="8:9">
      <c r="H21335" s="1358"/>
      <c r="I21335" s="1358"/>
    </row>
    <row r="21336" spans="8:9">
      <c r="H21336" s="1358"/>
      <c r="I21336" s="1358"/>
    </row>
    <row r="21337" spans="8:9">
      <c r="H21337" s="1358"/>
      <c r="I21337" s="1358"/>
    </row>
    <row r="21338" spans="8:9">
      <c r="H21338" s="1358"/>
      <c r="I21338" s="1358"/>
    </row>
    <row r="21339" spans="8:9">
      <c r="H21339" s="1358"/>
      <c r="I21339" s="1358"/>
    </row>
    <row r="21340" spans="8:9">
      <c r="H21340" s="1358"/>
      <c r="I21340" s="1358"/>
    </row>
    <row r="21341" spans="8:9">
      <c r="H21341" s="1358"/>
      <c r="I21341" s="1358"/>
    </row>
    <row r="21342" spans="8:9">
      <c r="H21342" s="1358"/>
      <c r="I21342" s="1358"/>
    </row>
    <row r="21343" spans="8:9">
      <c r="H21343" s="1358"/>
      <c r="I21343" s="1358"/>
    </row>
    <row r="21344" spans="8:9">
      <c r="H21344" s="1358"/>
      <c r="I21344" s="1358"/>
    </row>
    <row r="21345" spans="8:9">
      <c r="H21345" s="1358"/>
      <c r="I21345" s="1358"/>
    </row>
    <row r="21346" spans="8:9">
      <c r="H21346" s="1358"/>
      <c r="I21346" s="1358"/>
    </row>
    <row r="21347" spans="8:9">
      <c r="H21347" s="1358"/>
      <c r="I21347" s="1358"/>
    </row>
    <row r="21348" spans="8:9">
      <c r="H21348" s="1358"/>
      <c r="I21348" s="1358"/>
    </row>
    <row r="21349" spans="8:9">
      <c r="H21349" s="1358"/>
      <c r="I21349" s="1358"/>
    </row>
    <row r="21350" spans="8:9">
      <c r="H21350" s="1358"/>
      <c r="I21350" s="1358"/>
    </row>
    <row r="21351" spans="8:9">
      <c r="H21351" s="1358"/>
      <c r="I21351" s="1358"/>
    </row>
    <row r="21352" spans="8:9">
      <c r="H21352" s="1358"/>
      <c r="I21352" s="1358"/>
    </row>
    <row r="21353" spans="8:9">
      <c r="H21353" s="1358"/>
      <c r="I21353" s="1358"/>
    </row>
    <row r="21354" spans="8:9">
      <c r="H21354" s="1358"/>
      <c r="I21354" s="1358"/>
    </row>
    <row r="21355" spans="8:9">
      <c r="H21355" s="1358"/>
      <c r="I21355" s="1358"/>
    </row>
    <row r="21356" spans="8:9">
      <c r="H21356" s="1358"/>
      <c r="I21356" s="1358"/>
    </row>
    <row r="21357" spans="8:9">
      <c r="H21357" s="1358"/>
      <c r="I21357" s="1358"/>
    </row>
    <row r="21358" spans="8:9">
      <c r="H21358" s="1358"/>
      <c r="I21358" s="1358"/>
    </row>
    <row r="21359" spans="8:9">
      <c r="H21359" s="1358"/>
      <c r="I21359" s="1358"/>
    </row>
    <row r="21360" spans="8:9">
      <c r="H21360" s="1358"/>
      <c r="I21360" s="1358"/>
    </row>
    <row r="21361" spans="8:9">
      <c r="H21361" s="1358"/>
      <c r="I21361" s="1358"/>
    </row>
    <row r="21362" spans="8:9">
      <c r="H21362" s="1358"/>
      <c r="I21362" s="1358"/>
    </row>
    <row r="21363" spans="8:9">
      <c r="H21363" s="1358"/>
      <c r="I21363" s="1358"/>
    </row>
    <row r="21364" spans="8:9">
      <c r="H21364" s="1358"/>
      <c r="I21364" s="1358"/>
    </row>
    <row r="21365" spans="8:9">
      <c r="H21365" s="1358"/>
      <c r="I21365" s="1358"/>
    </row>
    <row r="21366" spans="8:9">
      <c r="H21366" s="1358"/>
      <c r="I21366" s="1358"/>
    </row>
    <row r="21367" spans="8:9">
      <c r="H21367" s="1358"/>
      <c r="I21367" s="1358"/>
    </row>
    <row r="21368" spans="8:9">
      <c r="H21368" s="1358"/>
      <c r="I21368" s="1358"/>
    </row>
    <row r="21369" spans="8:9">
      <c r="H21369" s="1358"/>
      <c r="I21369" s="1358"/>
    </row>
    <row r="21370" spans="8:9">
      <c r="H21370" s="1358"/>
      <c r="I21370" s="1358"/>
    </row>
    <row r="21371" spans="8:9">
      <c r="H21371" s="1358"/>
      <c r="I21371" s="1358"/>
    </row>
    <row r="21372" spans="8:9">
      <c r="H21372" s="1358"/>
      <c r="I21372" s="1358"/>
    </row>
    <row r="21373" spans="8:9">
      <c r="H21373" s="1358"/>
      <c r="I21373" s="1358"/>
    </row>
    <row r="21374" spans="8:9">
      <c r="H21374" s="1358"/>
      <c r="I21374" s="1358"/>
    </row>
    <row r="21375" spans="8:9">
      <c r="H21375" s="1358"/>
      <c r="I21375" s="1358"/>
    </row>
    <row r="21376" spans="8:9">
      <c r="H21376" s="1358"/>
      <c r="I21376" s="1358"/>
    </row>
    <row r="21377" spans="8:9">
      <c r="H21377" s="1358"/>
      <c r="I21377" s="1358"/>
    </row>
    <row r="21378" spans="8:9">
      <c r="H21378" s="1358"/>
      <c r="I21378" s="1358"/>
    </row>
    <row r="21379" spans="8:9">
      <c r="H21379" s="1358"/>
      <c r="I21379" s="1358"/>
    </row>
    <row r="21380" spans="8:9">
      <c r="H21380" s="1358"/>
      <c r="I21380" s="1358"/>
    </row>
    <row r="21381" spans="8:9">
      <c r="H21381" s="1358"/>
      <c r="I21381" s="1358"/>
    </row>
    <row r="21382" spans="8:9">
      <c r="H21382" s="1358"/>
      <c r="I21382" s="1358"/>
    </row>
    <row r="21383" spans="8:9">
      <c r="H21383" s="1358"/>
      <c r="I21383" s="1358"/>
    </row>
    <row r="21384" spans="8:9">
      <c r="H21384" s="1358"/>
      <c r="I21384" s="1358"/>
    </row>
    <row r="21385" spans="8:9">
      <c r="H21385" s="1358"/>
      <c r="I21385" s="1358"/>
    </row>
    <row r="21386" spans="8:9">
      <c r="H21386" s="1358"/>
      <c r="I21386" s="1358"/>
    </row>
    <row r="21387" spans="8:9">
      <c r="H21387" s="1358"/>
      <c r="I21387" s="1358"/>
    </row>
    <row r="21388" spans="8:9">
      <c r="H21388" s="1358"/>
      <c r="I21388" s="1358"/>
    </row>
    <row r="21389" spans="8:9">
      <c r="H21389" s="1358"/>
      <c r="I21389" s="1358"/>
    </row>
    <row r="21390" spans="8:9">
      <c r="H21390" s="1358"/>
      <c r="I21390" s="1358"/>
    </row>
    <row r="21391" spans="8:9">
      <c r="H21391" s="1358"/>
      <c r="I21391" s="1358"/>
    </row>
    <row r="21392" spans="8:9">
      <c r="H21392" s="1358"/>
      <c r="I21392" s="1358"/>
    </row>
    <row r="21393" spans="8:9">
      <c r="H21393" s="1358"/>
      <c r="I21393" s="1358"/>
    </row>
    <row r="21394" spans="8:9">
      <c r="H21394" s="1358"/>
      <c r="I21394" s="1358"/>
    </row>
    <row r="21395" spans="8:9">
      <c r="H21395" s="1358"/>
      <c r="I21395" s="1358"/>
    </row>
    <row r="21396" spans="8:9">
      <c r="H21396" s="1358"/>
      <c r="I21396" s="1358"/>
    </row>
    <row r="21397" spans="8:9">
      <c r="H21397" s="1358"/>
      <c r="I21397" s="1358"/>
    </row>
    <row r="21398" spans="8:9">
      <c r="H21398" s="1358"/>
      <c r="I21398" s="1358"/>
    </row>
    <row r="21399" spans="8:9">
      <c r="H21399" s="1358"/>
      <c r="I21399" s="1358"/>
    </row>
    <row r="21400" spans="8:9">
      <c r="H21400" s="1358"/>
      <c r="I21400" s="1358"/>
    </row>
    <row r="21401" spans="8:9">
      <c r="H21401" s="1358"/>
      <c r="I21401" s="1358"/>
    </row>
    <row r="21402" spans="8:9">
      <c r="H21402" s="1358"/>
      <c r="I21402" s="1358"/>
    </row>
    <row r="21403" spans="8:9">
      <c r="H21403" s="1358"/>
      <c r="I21403" s="1358"/>
    </row>
    <row r="21404" spans="8:9">
      <c r="H21404" s="1358"/>
      <c r="I21404" s="1358"/>
    </row>
    <row r="21405" spans="8:9">
      <c r="H21405" s="1358"/>
      <c r="I21405" s="1358"/>
    </row>
    <row r="21406" spans="8:9">
      <c r="H21406" s="1358"/>
      <c r="I21406" s="1358"/>
    </row>
    <row r="21407" spans="8:9">
      <c r="H21407" s="1358"/>
      <c r="I21407" s="1358"/>
    </row>
    <row r="21408" spans="8:9">
      <c r="H21408" s="1358"/>
      <c r="I21408" s="1358"/>
    </row>
    <row r="21409" spans="8:9">
      <c r="H21409" s="1358"/>
      <c r="I21409" s="1358"/>
    </row>
    <row r="21410" spans="8:9">
      <c r="H21410" s="1358"/>
      <c r="I21410" s="1358"/>
    </row>
    <row r="21411" spans="8:9">
      <c r="H21411" s="1358"/>
      <c r="I21411" s="1358"/>
    </row>
    <row r="21412" spans="8:9">
      <c r="H21412" s="1358"/>
      <c r="I21412" s="1358"/>
    </row>
    <row r="21413" spans="8:9">
      <c r="H21413" s="1358"/>
      <c r="I21413" s="1358"/>
    </row>
    <row r="21414" spans="8:9">
      <c r="H21414" s="1358"/>
      <c r="I21414" s="1358"/>
    </row>
    <row r="21415" spans="8:9">
      <c r="H21415" s="1358"/>
      <c r="I21415" s="1358"/>
    </row>
    <row r="21416" spans="8:9">
      <c r="H21416" s="1358"/>
      <c r="I21416" s="1358"/>
    </row>
    <row r="21417" spans="8:9">
      <c r="H21417" s="1358"/>
      <c r="I21417" s="1358"/>
    </row>
    <row r="21418" spans="8:9">
      <c r="H21418" s="1358"/>
      <c r="I21418" s="1358"/>
    </row>
    <row r="21419" spans="8:9">
      <c r="H21419" s="1358"/>
      <c r="I21419" s="1358"/>
    </row>
    <row r="21420" spans="8:9">
      <c r="H21420" s="1358"/>
      <c r="I21420" s="1358"/>
    </row>
    <row r="21421" spans="8:9">
      <c r="H21421" s="1358"/>
      <c r="I21421" s="1358"/>
    </row>
    <row r="21422" spans="8:9">
      <c r="H21422" s="1358"/>
      <c r="I21422" s="1358"/>
    </row>
    <row r="21423" spans="8:9">
      <c r="H21423" s="1358"/>
      <c r="I21423" s="1358"/>
    </row>
    <row r="21424" spans="8:9">
      <c r="H21424" s="1358"/>
      <c r="I21424" s="1358"/>
    </row>
    <row r="21425" spans="8:9">
      <c r="H21425" s="1358"/>
      <c r="I21425" s="1358"/>
    </row>
    <row r="21426" spans="8:9">
      <c r="H21426" s="1358"/>
      <c r="I21426" s="1358"/>
    </row>
    <row r="21427" spans="8:9">
      <c r="H21427" s="1358"/>
      <c r="I21427" s="1358"/>
    </row>
    <row r="21428" spans="8:9">
      <c r="H21428" s="1358"/>
      <c r="I21428" s="1358"/>
    </row>
    <row r="21429" spans="8:9">
      <c r="H21429" s="1358"/>
      <c r="I21429" s="1358"/>
    </row>
    <row r="21430" spans="8:9">
      <c r="H21430" s="1358"/>
      <c r="I21430" s="1358"/>
    </row>
    <row r="21431" spans="8:9">
      <c r="H21431" s="1358"/>
      <c r="I21431" s="1358"/>
    </row>
    <row r="21432" spans="8:9">
      <c r="H21432" s="1358"/>
      <c r="I21432" s="1358"/>
    </row>
    <row r="21433" spans="8:9">
      <c r="H21433" s="1358"/>
      <c r="I21433" s="1358"/>
    </row>
    <row r="21434" spans="8:9">
      <c r="H21434" s="1358"/>
      <c r="I21434" s="1358"/>
    </row>
    <row r="21435" spans="8:9">
      <c r="H21435" s="1358"/>
      <c r="I21435" s="1358"/>
    </row>
    <row r="21436" spans="8:9">
      <c r="H21436" s="1358"/>
      <c r="I21436" s="1358"/>
    </row>
    <row r="21437" spans="8:9">
      <c r="H21437" s="1358"/>
      <c r="I21437" s="1358"/>
    </row>
    <row r="21438" spans="8:9">
      <c r="H21438" s="1358"/>
      <c r="I21438" s="1358"/>
    </row>
    <row r="21439" spans="8:9">
      <c r="H21439" s="1358"/>
      <c r="I21439" s="1358"/>
    </row>
    <row r="21440" spans="8:9">
      <c r="H21440" s="1358"/>
      <c r="I21440" s="1358"/>
    </row>
    <row r="21441" spans="8:9">
      <c r="H21441" s="1358"/>
      <c r="I21441" s="1358"/>
    </row>
    <row r="21442" spans="8:9">
      <c r="H21442" s="1358"/>
      <c r="I21442" s="1358"/>
    </row>
    <row r="21443" spans="8:9">
      <c r="H21443" s="1358"/>
      <c r="I21443" s="1358"/>
    </row>
    <row r="21444" spans="8:9">
      <c r="H21444" s="1358"/>
      <c r="I21444" s="1358"/>
    </row>
    <row r="21445" spans="8:9">
      <c r="H21445" s="1358"/>
      <c r="I21445" s="1358"/>
    </row>
    <row r="21446" spans="8:9">
      <c r="H21446" s="1358"/>
      <c r="I21446" s="1358"/>
    </row>
    <row r="21447" spans="8:9">
      <c r="H21447" s="1358"/>
      <c r="I21447" s="1358"/>
    </row>
    <row r="21448" spans="8:9">
      <c r="H21448" s="1358"/>
      <c r="I21448" s="1358"/>
    </row>
    <row r="21449" spans="8:9">
      <c r="H21449" s="1358"/>
      <c r="I21449" s="1358"/>
    </row>
    <row r="21450" spans="8:9">
      <c r="H21450" s="1358"/>
      <c r="I21450" s="1358"/>
    </row>
    <row r="21451" spans="8:9">
      <c r="H21451" s="1358"/>
      <c r="I21451" s="1358"/>
    </row>
    <row r="21452" spans="8:9">
      <c r="H21452" s="1358"/>
      <c r="I21452" s="1358"/>
    </row>
    <row r="21453" spans="8:9">
      <c r="H21453" s="1358"/>
      <c r="I21453" s="1358"/>
    </row>
    <row r="21454" spans="8:9">
      <c r="H21454" s="1358"/>
      <c r="I21454" s="1358"/>
    </row>
    <row r="21455" spans="8:9">
      <c r="H21455" s="1358"/>
      <c r="I21455" s="1358"/>
    </row>
    <row r="21456" spans="8:9">
      <c r="H21456" s="1358"/>
      <c r="I21456" s="1358"/>
    </row>
    <row r="21457" spans="8:9">
      <c r="H21457" s="1358"/>
      <c r="I21457" s="1358"/>
    </row>
    <row r="21458" spans="8:9">
      <c r="H21458" s="1358"/>
      <c r="I21458" s="1358"/>
    </row>
    <row r="21459" spans="8:9">
      <c r="H21459" s="1358"/>
      <c r="I21459" s="1358"/>
    </row>
    <row r="21460" spans="8:9">
      <c r="H21460" s="1358"/>
      <c r="I21460" s="1358"/>
    </row>
    <row r="21461" spans="8:9">
      <c r="H21461" s="1358"/>
      <c r="I21461" s="1358"/>
    </row>
    <row r="21462" spans="8:9">
      <c r="H21462" s="1358"/>
      <c r="I21462" s="1358"/>
    </row>
    <row r="21463" spans="8:9">
      <c r="H21463" s="1358"/>
      <c r="I21463" s="1358"/>
    </row>
    <row r="21464" spans="8:9">
      <c r="H21464" s="1358"/>
      <c r="I21464" s="1358"/>
    </row>
    <row r="21465" spans="8:9">
      <c r="H21465" s="1358"/>
      <c r="I21465" s="1358"/>
    </row>
    <row r="21466" spans="8:9">
      <c r="H21466" s="1358"/>
      <c r="I21466" s="1358"/>
    </row>
    <row r="21467" spans="8:9">
      <c r="H21467" s="1358"/>
      <c r="I21467" s="1358"/>
    </row>
    <row r="21468" spans="8:9">
      <c r="H21468" s="1358"/>
      <c r="I21468" s="1358"/>
    </row>
    <row r="21469" spans="8:9">
      <c r="H21469" s="1358"/>
      <c r="I21469" s="1358"/>
    </row>
    <row r="21470" spans="8:9">
      <c r="H21470" s="1358"/>
      <c r="I21470" s="1358"/>
    </row>
    <row r="21471" spans="8:9">
      <c r="H21471" s="1358"/>
      <c r="I21471" s="1358"/>
    </row>
    <row r="21472" spans="8:9">
      <c r="H21472" s="1358"/>
      <c r="I21472" s="1358"/>
    </row>
    <row r="21473" spans="8:9">
      <c r="H21473" s="1358"/>
      <c r="I21473" s="1358"/>
    </row>
    <row r="21474" spans="8:9">
      <c r="H21474" s="1358"/>
      <c r="I21474" s="1358"/>
    </row>
    <row r="21475" spans="8:9">
      <c r="H21475" s="1358"/>
      <c r="I21475" s="1358"/>
    </row>
    <row r="21476" spans="8:9">
      <c r="H21476" s="1358"/>
      <c r="I21476" s="1358"/>
    </row>
    <row r="21477" spans="8:9">
      <c r="H21477" s="1358"/>
      <c r="I21477" s="1358"/>
    </row>
    <row r="21478" spans="8:9">
      <c r="H21478" s="1358"/>
      <c r="I21478" s="1358"/>
    </row>
    <row r="21479" spans="8:9">
      <c r="H21479" s="1358"/>
      <c r="I21479" s="1358"/>
    </row>
    <row r="21480" spans="8:9">
      <c r="H21480" s="1358"/>
      <c r="I21480" s="1358"/>
    </row>
    <row r="21481" spans="8:9">
      <c r="H21481" s="1358"/>
      <c r="I21481" s="1358"/>
    </row>
    <row r="21482" spans="8:9">
      <c r="H21482" s="1358"/>
      <c r="I21482" s="1358"/>
    </row>
    <row r="21483" spans="8:9">
      <c r="H21483" s="1358"/>
      <c r="I21483" s="1358"/>
    </row>
    <row r="21484" spans="8:9">
      <c r="H21484" s="1358"/>
      <c r="I21484" s="1358"/>
    </row>
    <row r="21485" spans="8:9">
      <c r="H21485" s="1358"/>
      <c r="I21485" s="1358"/>
    </row>
    <row r="21486" spans="8:9">
      <c r="H21486" s="1358"/>
      <c r="I21486" s="1358"/>
    </row>
    <row r="21487" spans="8:9">
      <c r="H21487" s="1358"/>
      <c r="I21487" s="1358"/>
    </row>
    <row r="21488" spans="8:9">
      <c r="H21488" s="1358"/>
      <c r="I21488" s="1358"/>
    </row>
    <row r="21489" spans="8:9">
      <c r="H21489" s="1358"/>
      <c r="I21489" s="1358"/>
    </row>
    <row r="21490" spans="8:9">
      <c r="H21490" s="1358"/>
      <c r="I21490" s="1358"/>
    </row>
    <row r="21491" spans="8:9">
      <c r="H21491" s="1358"/>
      <c r="I21491" s="1358"/>
    </row>
    <row r="21492" spans="8:9">
      <c r="H21492" s="1358"/>
      <c r="I21492" s="1358"/>
    </row>
    <row r="21493" spans="8:9">
      <c r="H21493" s="1358"/>
      <c r="I21493" s="1358"/>
    </row>
    <row r="21494" spans="8:9">
      <c r="H21494" s="1358"/>
      <c r="I21494" s="1358"/>
    </row>
    <row r="21495" spans="8:9">
      <c r="H21495" s="1358"/>
      <c r="I21495" s="1358"/>
    </row>
    <row r="21496" spans="8:9">
      <c r="H21496" s="1358"/>
      <c r="I21496" s="1358"/>
    </row>
    <row r="21497" spans="8:9">
      <c r="H21497" s="1358"/>
      <c r="I21497" s="1358"/>
    </row>
    <row r="21498" spans="8:9">
      <c r="H21498" s="1358"/>
      <c r="I21498" s="1358"/>
    </row>
    <row r="21499" spans="8:9">
      <c r="H21499" s="1358"/>
      <c r="I21499" s="1358"/>
    </row>
    <row r="21500" spans="8:9">
      <c r="H21500" s="1358"/>
      <c r="I21500" s="1358"/>
    </row>
    <row r="21501" spans="8:9">
      <c r="H21501" s="1358"/>
      <c r="I21501" s="1358"/>
    </row>
    <row r="21502" spans="8:9">
      <c r="H21502" s="1358"/>
      <c r="I21502" s="1358"/>
    </row>
    <row r="21503" spans="8:9">
      <c r="H21503" s="1358"/>
      <c r="I21503" s="1358"/>
    </row>
    <row r="21504" spans="8:9">
      <c r="H21504" s="1358"/>
      <c r="I21504" s="1358"/>
    </row>
    <row r="21505" spans="8:9">
      <c r="H21505" s="1358"/>
      <c r="I21505" s="1358"/>
    </row>
    <row r="21506" spans="8:9">
      <c r="H21506" s="1358"/>
      <c r="I21506" s="1358"/>
    </row>
    <row r="21507" spans="8:9">
      <c r="H21507" s="1358"/>
      <c r="I21507" s="1358"/>
    </row>
    <row r="21508" spans="8:9">
      <c r="H21508" s="1358"/>
      <c r="I21508" s="1358"/>
    </row>
    <row r="21509" spans="8:9">
      <c r="H21509" s="1358"/>
      <c r="I21509" s="1358"/>
    </row>
    <row r="21510" spans="8:9">
      <c r="H21510" s="1358"/>
      <c r="I21510" s="1358"/>
    </row>
    <row r="21511" spans="8:9">
      <c r="H21511" s="1358"/>
      <c r="I21511" s="1358"/>
    </row>
    <row r="21512" spans="8:9">
      <c r="H21512" s="1358"/>
      <c r="I21512" s="1358"/>
    </row>
    <row r="21513" spans="8:9">
      <c r="H21513" s="1358"/>
      <c r="I21513" s="1358"/>
    </row>
    <row r="21514" spans="8:9">
      <c r="H21514" s="1358"/>
      <c r="I21514" s="1358"/>
    </row>
    <row r="21515" spans="8:9">
      <c r="H21515" s="1358"/>
      <c r="I21515" s="1358"/>
    </row>
    <row r="21516" spans="8:9">
      <c r="H21516" s="1358"/>
      <c r="I21516" s="1358"/>
    </row>
    <row r="21517" spans="8:9">
      <c r="H21517" s="1358"/>
      <c r="I21517" s="1358"/>
    </row>
    <row r="21518" spans="8:9">
      <c r="H21518" s="1358"/>
      <c r="I21518" s="1358"/>
    </row>
    <row r="21519" spans="8:9">
      <c r="H21519" s="1358"/>
      <c r="I21519" s="1358"/>
    </row>
    <row r="21520" spans="8:9">
      <c r="H21520" s="1358"/>
      <c r="I21520" s="1358"/>
    </row>
    <row r="21521" spans="8:9">
      <c r="H21521" s="1358"/>
      <c r="I21521" s="1358"/>
    </row>
    <row r="21522" spans="8:9">
      <c r="H21522" s="1358"/>
      <c r="I21522" s="1358"/>
    </row>
    <row r="21523" spans="8:9">
      <c r="H21523" s="1358"/>
      <c r="I21523" s="1358"/>
    </row>
    <row r="21524" spans="8:9">
      <c r="H21524" s="1358"/>
      <c r="I21524" s="1358"/>
    </row>
    <row r="21525" spans="8:9">
      <c r="H21525" s="1358"/>
      <c r="I21525" s="1358"/>
    </row>
    <row r="21526" spans="8:9">
      <c r="H21526" s="1358"/>
      <c r="I21526" s="1358"/>
    </row>
    <row r="21527" spans="8:9">
      <c r="H21527" s="1358"/>
      <c r="I21527" s="1358"/>
    </row>
    <row r="21528" spans="8:9">
      <c r="H21528" s="1358"/>
      <c r="I21528" s="1358"/>
    </row>
    <row r="21529" spans="8:9">
      <c r="H21529" s="1358"/>
      <c r="I21529" s="1358"/>
    </row>
    <row r="21530" spans="8:9">
      <c r="H21530" s="1358"/>
      <c r="I21530" s="1358"/>
    </row>
    <row r="21531" spans="8:9">
      <c r="H21531" s="1358"/>
      <c r="I21531" s="1358"/>
    </row>
    <row r="21532" spans="8:9">
      <c r="H21532" s="1358"/>
      <c r="I21532" s="1358"/>
    </row>
    <row r="21533" spans="8:9">
      <c r="H21533" s="1358"/>
      <c r="I21533" s="1358"/>
    </row>
    <row r="21534" spans="8:9">
      <c r="H21534" s="1358"/>
      <c r="I21534" s="1358"/>
    </row>
    <row r="21535" spans="8:9">
      <c r="H21535" s="1358"/>
      <c r="I21535" s="1358"/>
    </row>
    <row r="21536" spans="8:9">
      <c r="H21536" s="1358"/>
      <c r="I21536" s="1358"/>
    </row>
    <row r="21537" spans="8:9">
      <c r="H21537" s="1358"/>
      <c r="I21537" s="1358"/>
    </row>
    <row r="21538" spans="8:9">
      <c r="H21538" s="1358"/>
      <c r="I21538" s="1358"/>
    </row>
    <row r="21539" spans="8:9">
      <c r="H21539" s="1358"/>
      <c r="I21539" s="1358"/>
    </row>
    <row r="21540" spans="8:9">
      <c r="H21540" s="1358"/>
      <c r="I21540" s="1358"/>
    </row>
    <row r="21541" spans="8:9">
      <c r="H21541" s="1358"/>
      <c r="I21541" s="1358"/>
    </row>
    <row r="21542" spans="8:9">
      <c r="H21542" s="1358"/>
      <c r="I21542" s="1358"/>
    </row>
    <row r="21543" spans="8:9">
      <c r="H21543" s="1358"/>
      <c r="I21543" s="1358"/>
    </row>
    <row r="21544" spans="8:9">
      <c r="H21544" s="1358"/>
      <c r="I21544" s="1358"/>
    </row>
    <row r="21545" spans="8:9">
      <c r="H21545" s="1358"/>
      <c r="I21545" s="1358"/>
    </row>
    <row r="21546" spans="8:9">
      <c r="H21546" s="1358"/>
      <c r="I21546" s="1358"/>
    </row>
    <row r="21547" spans="8:9">
      <c r="H21547" s="1358"/>
      <c r="I21547" s="1358"/>
    </row>
    <row r="21548" spans="8:9">
      <c r="H21548" s="1358"/>
      <c r="I21548" s="1358"/>
    </row>
    <row r="21549" spans="8:9">
      <c r="H21549" s="1358"/>
      <c r="I21549" s="1358"/>
    </row>
    <row r="21550" spans="8:9">
      <c r="H21550" s="1358"/>
      <c r="I21550" s="1358"/>
    </row>
    <row r="21551" spans="8:9">
      <c r="H21551" s="1358"/>
      <c r="I21551" s="1358"/>
    </row>
    <row r="21552" spans="8:9">
      <c r="H21552" s="1358"/>
      <c r="I21552" s="1358"/>
    </row>
    <row r="21553" spans="8:9">
      <c r="H21553" s="1358"/>
      <c r="I21553" s="1358"/>
    </row>
    <row r="21554" spans="8:9">
      <c r="H21554" s="1358"/>
      <c r="I21554" s="1358"/>
    </row>
    <row r="21555" spans="8:9">
      <c r="H21555" s="1358"/>
      <c r="I21555" s="1358"/>
    </row>
    <row r="21556" spans="8:9">
      <c r="H21556" s="1358"/>
      <c r="I21556" s="1358"/>
    </row>
    <row r="21557" spans="8:9">
      <c r="H21557" s="1358"/>
      <c r="I21557" s="1358"/>
    </row>
    <row r="21558" spans="8:9">
      <c r="H21558" s="1358"/>
      <c r="I21558" s="1358"/>
    </row>
    <row r="21559" spans="8:9">
      <c r="H21559" s="1358"/>
      <c r="I21559" s="1358"/>
    </row>
    <row r="21560" spans="8:9">
      <c r="H21560" s="1358"/>
      <c r="I21560" s="1358"/>
    </row>
    <row r="21561" spans="8:9">
      <c r="H21561" s="1358"/>
      <c r="I21561" s="1358"/>
    </row>
    <row r="21562" spans="8:9">
      <c r="H21562" s="1358"/>
      <c r="I21562" s="1358"/>
    </row>
    <row r="21563" spans="8:9">
      <c r="H21563" s="1358"/>
      <c r="I21563" s="1358"/>
    </row>
    <row r="21564" spans="8:9">
      <c r="H21564" s="1358"/>
      <c r="I21564" s="1358"/>
    </row>
    <row r="21565" spans="8:9">
      <c r="H21565" s="1358"/>
      <c r="I21565" s="1358"/>
    </row>
    <row r="21566" spans="8:9">
      <c r="H21566" s="1358"/>
      <c r="I21566" s="1358"/>
    </row>
    <row r="21567" spans="8:9">
      <c r="H21567" s="1358"/>
      <c r="I21567" s="1358"/>
    </row>
    <row r="21568" spans="8:9">
      <c r="H21568" s="1358"/>
      <c r="I21568" s="1358"/>
    </row>
    <row r="21569" spans="8:9">
      <c r="H21569" s="1358"/>
      <c r="I21569" s="1358"/>
    </row>
    <row r="21570" spans="8:9">
      <c r="H21570" s="1358"/>
      <c r="I21570" s="1358"/>
    </row>
    <row r="21571" spans="8:9">
      <c r="H21571" s="1358"/>
      <c r="I21571" s="1358"/>
    </row>
    <row r="21572" spans="8:9">
      <c r="H21572" s="1358"/>
      <c r="I21572" s="1358"/>
    </row>
    <row r="21573" spans="8:9">
      <c r="H21573" s="1358"/>
      <c r="I21573" s="1358"/>
    </row>
    <row r="21574" spans="8:9">
      <c r="H21574" s="1358"/>
      <c r="I21574" s="1358"/>
    </row>
    <row r="21575" spans="8:9">
      <c r="H21575" s="1358"/>
      <c r="I21575" s="1358"/>
    </row>
    <row r="21576" spans="8:9">
      <c r="H21576" s="1358"/>
      <c r="I21576" s="1358"/>
    </row>
    <row r="21577" spans="8:9">
      <c r="H21577" s="1358"/>
      <c r="I21577" s="1358"/>
    </row>
    <row r="21578" spans="8:9">
      <c r="H21578" s="1358"/>
      <c r="I21578" s="1358"/>
    </row>
    <row r="21579" spans="8:9">
      <c r="H21579" s="1358"/>
      <c r="I21579" s="1358"/>
    </row>
    <row r="21580" spans="8:9">
      <c r="H21580" s="1358"/>
      <c r="I21580" s="1358"/>
    </row>
    <row r="21581" spans="8:9">
      <c r="H21581" s="1358"/>
      <c r="I21581" s="1358"/>
    </row>
    <row r="21582" spans="8:9">
      <c r="H21582" s="1358"/>
      <c r="I21582" s="1358"/>
    </row>
    <row r="21583" spans="8:9">
      <c r="H21583" s="1358"/>
      <c r="I21583" s="1358"/>
    </row>
    <row r="21584" spans="8:9">
      <c r="H21584" s="1358"/>
      <c r="I21584" s="1358"/>
    </row>
    <row r="21585" spans="8:9">
      <c r="H21585" s="1358"/>
      <c r="I21585" s="1358"/>
    </row>
    <row r="21586" spans="8:9">
      <c r="H21586" s="1358"/>
      <c r="I21586" s="1358"/>
    </row>
    <row r="21587" spans="8:9">
      <c r="H21587" s="1358"/>
      <c r="I21587" s="1358"/>
    </row>
    <row r="21588" spans="8:9">
      <c r="H21588" s="1358"/>
      <c r="I21588" s="1358"/>
    </row>
    <row r="21589" spans="8:9">
      <c r="H21589" s="1358"/>
      <c r="I21589" s="1358"/>
    </row>
    <row r="21590" spans="8:9">
      <c r="H21590" s="1358"/>
      <c r="I21590" s="1358"/>
    </row>
    <row r="21591" spans="8:9">
      <c r="H21591" s="1358"/>
      <c r="I21591" s="1358"/>
    </row>
    <row r="21592" spans="8:9">
      <c r="H21592" s="1358"/>
      <c r="I21592" s="1358"/>
    </row>
    <row r="21593" spans="8:9">
      <c r="H21593" s="1358"/>
      <c r="I21593" s="1358"/>
    </row>
    <row r="21594" spans="8:9">
      <c r="H21594" s="1358"/>
      <c r="I21594" s="1358"/>
    </row>
    <row r="21595" spans="8:9">
      <c r="H21595" s="1358"/>
      <c r="I21595" s="1358"/>
    </row>
    <row r="21596" spans="8:9">
      <c r="H21596" s="1358"/>
      <c r="I21596" s="1358"/>
    </row>
    <row r="21597" spans="8:9">
      <c r="H21597" s="1358"/>
      <c r="I21597" s="1358"/>
    </row>
    <row r="21598" spans="8:9">
      <c r="H21598" s="1358"/>
      <c r="I21598" s="1358"/>
    </row>
    <row r="21599" spans="8:9">
      <c r="H21599" s="1358"/>
      <c r="I21599" s="1358"/>
    </row>
    <row r="21600" spans="8:9">
      <c r="H21600" s="1358"/>
      <c r="I21600" s="1358"/>
    </row>
    <row r="21601" spans="8:9">
      <c r="H21601" s="1358"/>
      <c r="I21601" s="1358"/>
    </row>
    <row r="21602" spans="8:9">
      <c r="H21602" s="1358"/>
      <c r="I21602" s="1358"/>
    </row>
    <row r="21603" spans="8:9">
      <c r="H21603" s="1358"/>
      <c r="I21603" s="1358"/>
    </row>
    <row r="21604" spans="8:9">
      <c r="H21604" s="1358"/>
      <c r="I21604" s="1358"/>
    </row>
    <row r="21605" spans="8:9">
      <c r="H21605" s="1358"/>
      <c r="I21605" s="1358"/>
    </row>
    <row r="21606" spans="8:9">
      <c r="H21606" s="1358"/>
      <c r="I21606" s="1358"/>
    </row>
    <row r="21607" spans="8:9">
      <c r="H21607" s="1358"/>
      <c r="I21607" s="1358"/>
    </row>
    <row r="21608" spans="8:9">
      <c r="H21608" s="1358"/>
      <c r="I21608" s="1358"/>
    </row>
    <row r="21609" spans="8:9">
      <c r="H21609" s="1358"/>
      <c r="I21609" s="1358"/>
    </row>
    <row r="21610" spans="8:9">
      <c r="H21610" s="1358"/>
      <c r="I21610" s="1358"/>
    </row>
    <row r="21611" spans="8:9">
      <c r="H21611" s="1358"/>
      <c r="I21611" s="1358"/>
    </row>
    <row r="21612" spans="8:9">
      <c r="H21612" s="1358"/>
      <c r="I21612" s="1358"/>
    </row>
    <row r="21613" spans="8:9">
      <c r="H21613" s="1358"/>
      <c r="I21613" s="1358"/>
    </row>
    <row r="21614" spans="8:9">
      <c r="H21614" s="1358"/>
      <c r="I21614" s="1358"/>
    </row>
    <row r="21615" spans="8:9">
      <c r="H21615" s="1358"/>
      <c r="I21615" s="1358"/>
    </row>
    <row r="21616" spans="8:9">
      <c r="H21616" s="1358"/>
      <c r="I21616" s="1358"/>
    </row>
    <row r="21617" spans="8:9">
      <c r="H21617" s="1358"/>
      <c r="I21617" s="1358"/>
    </row>
    <row r="21618" spans="8:9">
      <c r="H21618" s="1358"/>
      <c r="I21618" s="1358"/>
    </row>
    <row r="21619" spans="8:9">
      <c r="H21619" s="1358"/>
      <c r="I21619" s="1358"/>
    </row>
    <row r="21620" spans="8:9">
      <c r="H21620" s="1358"/>
      <c r="I21620" s="1358"/>
    </row>
    <row r="21621" spans="8:9">
      <c r="H21621" s="1358"/>
      <c r="I21621" s="1358"/>
    </row>
    <row r="21622" spans="8:9">
      <c r="H21622" s="1358"/>
      <c r="I21622" s="1358"/>
    </row>
    <row r="21623" spans="8:9">
      <c r="H21623" s="1358"/>
      <c r="I21623" s="1358"/>
    </row>
    <row r="21624" spans="8:9">
      <c r="H21624" s="1358"/>
      <c r="I21624" s="1358"/>
    </row>
    <row r="21625" spans="8:9">
      <c r="H21625" s="1358"/>
      <c r="I21625" s="1358"/>
    </row>
    <row r="21626" spans="8:9">
      <c r="H21626" s="1358"/>
      <c r="I21626" s="1358"/>
    </row>
    <row r="21627" spans="8:9">
      <c r="H21627" s="1358"/>
      <c r="I21627" s="1358"/>
    </row>
    <row r="21628" spans="8:9">
      <c r="H21628" s="1358"/>
      <c r="I21628" s="1358"/>
    </row>
    <row r="21629" spans="8:9">
      <c r="H21629" s="1358"/>
      <c r="I21629" s="1358"/>
    </row>
    <row r="21630" spans="8:9">
      <c r="H21630" s="1358"/>
      <c r="I21630" s="1358"/>
    </row>
    <row r="21631" spans="8:9">
      <c r="H21631" s="1358"/>
      <c r="I21631" s="1358"/>
    </row>
    <row r="21632" spans="8:9">
      <c r="H21632" s="1358"/>
      <c r="I21632" s="1358"/>
    </row>
    <row r="21633" spans="8:9">
      <c r="H21633" s="1358"/>
      <c r="I21633" s="1358"/>
    </row>
    <row r="21634" spans="8:9">
      <c r="H21634" s="1358"/>
      <c r="I21634" s="1358"/>
    </row>
    <row r="21635" spans="8:9">
      <c r="H21635" s="1358"/>
      <c r="I21635" s="1358"/>
    </row>
    <row r="21636" spans="8:9">
      <c r="H21636" s="1358"/>
      <c r="I21636" s="1358"/>
    </row>
    <row r="21637" spans="8:9">
      <c r="H21637" s="1358"/>
      <c r="I21637" s="1358"/>
    </row>
    <row r="21638" spans="8:9">
      <c r="H21638" s="1358"/>
      <c r="I21638" s="1358"/>
    </row>
    <row r="21639" spans="8:9">
      <c r="H21639" s="1358"/>
      <c r="I21639" s="1358"/>
    </row>
    <row r="21640" spans="8:9">
      <c r="H21640" s="1358"/>
      <c r="I21640" s="1358"/>
    </row>
    <row r="21641" spans="8:9">
      <c r="H21641" s="1358"/>
      <c r="I21641" s="1358"/>
    </row>
    <row r="21642" spans="8:9">
      <c r="H21642" s="1358"/>
      <c r="I21642" s="1358"/>
    </row>
    <row r="21643" spans="8:9">
      <c r="H21643" s="1358"/>
      <c r="I21643" s="1358"/>
    </row>
    <row r="21644" spans="8:9">
      <c r="H21644" s="1358"/>
      <c r="I21644" s="1358"/>
    </row>
    <row r="21645" spans="8:9">
      <c r="H21645" s="1358"/>
      <c r="I21645" s="1358"/>
    </row>
    <row r="21646" spans="8:9">
      <c r="H21646" s="1358"/>
      <c r="I21646" s="1358"/>
    </row>
    <row r="21647" spans="8:9">
      <c r="H21647" s="1358"/>
      <c r="I21647" s="1358"/>
    </row>
    <row r="21648" spans="8:9">
      <c r="H21648" s="1358"/>
      <c r="I21648" s="1358"/>
    </row>
    <row r="21649" spans="8:9">
      <c r="H21649" s="1358"/>
      <c r="I21649" s="1358"/>
    </row>
    <row r="21650" spans="8:9">
      <c r="H21650" s="1358"/>
      <c r="I21650" s="1358"/>
    </row>
    <row r="21651" spans="8:9">
      <c r="H21651" s="1358"/>
      <c r="I21651" s="1358"/>
    </row>
    <row r="21652" spans="8:9">
      <c r="H21652" s="1358"/>
      <c r="I21652" s="1358"/>
    </row>
    <row r="21653" spans="8:9">
      <c r="H21653" s="1358"/>
      <c r="I21653" s="1358"/>
    </row>
    <row r="21654" spans="8:9">
      <c r="H21654" s="1358"/>
      <c r="I21654" s="1358"/>
    </row>
    <row r="21655" spans="8:9">
      <c r="H21655" s="1358"/>
      <c r="I21655" s="1358"/>
    </row>
    <row r="21656" spans="8:9">
      <c r="H21656" s="1358"/>
      <c r="I21656" s="1358"/>
    </row>
    <row r="21657" spans="8:9">
      <c r="H21657" s="1358"/>
      <c r="I21657" s="1358"/>
    </row>
    <row r="21658" spans="8:9">
      <c r="H21658" s="1358"/>
      <c r="I21658" s="1358"/>
    </row>
    <row r="21659" spans="8:9">
      <c r="H21659" s="1358"/>
      <c r="I21659" s="1358"/>
    </row>
    <row r="21660" spans="8:9">
      <c r="H21660" s="1358"/>
      <c r="I21660" s="1358"/>
    </row>
    <row r="21661" spans="8:9">
      <c r="H21661" s="1358"/>
      <c r="I21661" s="1358"/>
    </row>
    <row r="21662" spans="8:9">
      <c r="H21662" s="1358"/>
      <c r="I21662" s="1358"/>
    </row>
    <row r="21663" spans="8:9">
      <c r="H21663" s="1358"/>
      <c r="I21663" s="1358"/>
    </row>
    <row r="21664" spans="8:9">
      <c r="H21664" s="1358"/>
      <c r="I21664" s="1358"/>
    </row>
    <row r="21665" spans="8:9">
      <c r="H21665" s="1358"/>
      <c r="I21665" s="1358"/>
    </row>
    <row r="21666" spans="8:9">
      <c r="H21666" s="1358"/>
      <c r="I21666" s="1358"/>
    </row>
    <row r="21667" spans="8:9">
      <c r="H21667" s="1358"/>
      <c r="I21667" s="1358"/>
    </row>
    <row r="21668" spans="8:9">
      <c r="H21668" s="1358"/>
      <c r="I21668" s="1358"/>
    </row>
    <row r="21669" spans="8:9">
      <c r="H21669" s="1358"/>
      <c r="I21669" s="1358"/>
    </row>
    <row r="21670" spans="8:9">
      <c r="H21670" s="1358"/>
      <c r="I21670" s="1358"/>
    </row>
    <row r="21671" spans="8:9">
      <c r="H21671" s="1358"/>
      <c r="I21671" s="1358"/>
    </row>
    <row r="21672" spans="8:9">
      <c r="H21672" s="1358"/>
      <c r="I21672" s="1358"/>
    </row>
    <row r="21673" spans="8:9">
      <c r="H21673" s="1358"/>
      <c r="I21673" s="1358"/>
    </row>
    <row r="21674" spans="8:9">
      <c r="H21674" s="1358"/>
      <c r="I21674" s="1358"/>
    </row>
    <row r="21675" spans="8:9">
      <c r="H21675" s="1358"/>
      <c r="I21675" s="1358"/>
    </row>
    <row r="21676" spans="8:9">
      <c r="H21676" s="1358"/>
      <c r="I21676" s="1358"/>
    </row>
    <row r="21677" spans="8:9">
      <c r="H21677" s="1358"/>
      <c r="I21677" s="1358"/>
    </row>
    <row r="21678" spans="8:9">
      <c r="H21678" s="1358"/>
      <c r="I21678" s="1358"/>
    </row>
    <row r="21679" spans="8:9">
      <c r="H21679" s="1358"/>
      <c r="I21679" s="1358"/>
    </row>
    <row r="21680" spans="8:9">
      <c r="H21680" s="1358"/>
      <c r="I21680" s="1358"/>
    </row>
    <row r="21681" spans="8:9">
      <c r="H21681" s="1358"/>
      <c r="I21681" s="1358"/>
    </row>
    <row r="21682" spans="8:9">
      <c r="H21682" s="1358"/>
      <c r="I21682" s="1358"/>
    </row>
    <row r="21683" spans="8:9">
      <c r="H21683" s="1358"/>
      <c r="I21683" s="1358"/>
    </row>
    <row r="21684" spans="8:9">
      <c r="H21684" s="1358"/>
      <c r="I21684" s="1358"/>
    </row>
    <row r="21685" spans="8:9">
      <c r="H21685" s="1358"/>
      <c r="I21685" s="1358"/>
    </row>
    <row r="21686" spans="8:9">
      <c r="H21686" s="1358"/>
      <c r="I21686" s="1358"/>
    </row>
    <row r="21687" spans="8:9">
      <c r="H21687" s="1358"/>
      <c r="I21687" s="1358"/>
    </row>
    <row r="21688" spans="8:9">
      <c r="H21688" s="1358"/>
      <c r="I21688" s="1358"/>
    </row>
    <row r="21689" spans="8:9">
      <c r="H21689" s="1358"/>
      <c r="I21689" s="1358"/>
    </row>
    <row r="21690" spans="8:9">
      <c r="H21690" s="1358"/>
      <c r="I21690" s="1358"/>
    </row>
    <row r="21691" spans="8:9">
      <c r="H21691" s="1358"/>
      <c r="I21691" s="1358"/>
    </row>
    <row r="21692" spans="8:9">
      <c r="H21692" s="1358"/>
      <c r="I21692" s="1358"/>
    </row>
    <row r="21693" spans="8:9">
      <c r="H21693" s="1358"/>
      <c r="I21693" s="1358"/>
    </row>
    <row r="21694" spans="8:9">
      <c r="H21694" s="1358"/>
      <c r="I21694" s="1358"/>
    </row>
    <row r="21695" spans="8:9">
      <c r="H21695" s="1358"/>
      <c r="I21695" s="1358"/>
    </row>
    <row r="21696" spans="8:9">
      <c r="H21696" s="1358"/>
      <c r="I21696" s="1358"/>
    </row>
    <row r="21697" spans="8:9">
      <c r="H21697" s="1358"/>
      <c r="I21697" s="1358"/>
    </row>
    <row r="21698" spans="8:9">
      <c r="H21698" s="1358"/>
      <c r="I21698" s="1358"/>
    </row>
    <row r="21699" spans="8:9">
      <c r="H21699" s="1358"/>
      <c r="I21699" s="1358"/>
    </row>
    <row r="21700" spans="8:9">
      <c r="H21700" s="1358"/>
      <c r="I21700" s="1358"/>
    </row>
    <row r="21701" spans="8:9">
      <c r="H21701" s="1358"/>
      <c r="I21701" s="1358"/>
    </row>
    <row r="21702" spans="8:9">
      <c r="H21702" s="1358"/>
      <c r="I21702" s="1358"/>
    </row>
    <row r="21703" spans="8:9">
      <c r="H21703" s="1358"/>
      <c r="I21703" s="1358"/>
    </row>
    <row r="21704" spans="8:9">
      <c r="H21704" s="1358"/>
      <c r="I21704" s="1358"/>
    </row>
    <row r="21705" spans="8:9">
      <c r="H21705" s="1358"/>
      <c r="I21705" s="1358"/>
    </row>
    <row r="21706" spans="8:9">
      <c r="H21706" s="1358"/>
      <c r="I21706" s="1358"/>
    </row>
    <row r="21707" spans="8:9">
      <c r="H21707" s="1358"/>
      <c r="I21707" s="1358"/>
    </row>
    <row r="21708" spans="8:9">
      <c r="H21708" s="1358"/>
      <c r="I21708" s="1358"/>
    </row>
    <row r="21709" spans="8:9">
      <c r="H21709" s="1358"/>
      <c r="I21709" s="1358"/>
    </row>
    <row r="21710" spans="8:9">
      <c r="H21710" s="1358"/>
      <c r="I21710" s="1358"/>
    </row>
    <row r="21711" spans="8:9">
      <c r="H21711" s="1358"/>
      <c r="I21711" s="1358"/>
    </row>
    <row r="21712" spans="8:9">
      <c r="H21712" s="1358"/>
      <c r="I21712" s="1358"/>
    </row>
    <row r="21713" spans="8:9">
      <c r="H21713" s="1358"/>
      <c r="I21713" s="1358"/>
    </row>
    <row r="21714" spans="8:9">
      <c r="H21714" s="1358"/>
      <c r="I21714" s="1358"/>
    </row>
    <row r="21715" spans="8:9">
      <c r="H21715" s="1358"/>
      <c r="I21715" s="1358"/>
    </row>
    <row r="21716" spans="8:9">
      <c r="H21716" s="1358"/>
      <c r="I21716" s="1358"/>
    </row>
    <row r="21717" spans="8:9">
      <c r="H21717" s="1358"/>
      <c r="I21717" s="1358"/>
    </row>
    <row r="21718" spans="8:9">
      <c r="H21718" s="1358"/>
      <c r="I21718" s="1358"/>
    </row>
    <row r="21719" spans="8:9">
      <c r="H21719" s="1358"/>
      <c r="I21719" s="1358"/>
    </row>
    <row r="21720" spans="8:9">
      <c r="H21720" s="1358"/>
      <c r="I21720" s="1358"/>
    </row>
    <row r="21721" spans="8:9">
      <c r="H21721" s="1358"/>
      <c r="I21721" s="1358"/>
    </row>
    <row r="21722" spans="8:9">
      <c r="H21722" s="1358"/>
      <c r="I21722" s="1358"/>
    </row>
    <row r="21723" spans="8:9">
      <c r="H21723" s="1358"/>
      <c r="I21723" s="1358"/>
    </row>
    <row r="21724" spans="8:9">
      <c r="H21724" s="1358"/>
      <c r="I21724" s="1358"/>
    </row>
    <row r="21725" spans="8:9">
      <c r="H21725" s="1358"/>
      <c r="I21725" s="1358"/>
    </row>
    <row r="21726" spans="8:9">
      <c r="H21726" s="1358"/>
      <c r="I21726" s="1358"/>
    </row>
    <row r="21727" spans="8:9">
      <c r="H21727" s="1358"/>
      <c r="I21727" s="1358"/>
    </row>
    <row r="21728" spans="8:9">
      <c r="H21728" s="1358"/>
      <c r="I21728" s="1358"/>
    </row>
    <row r="21729" spans="8:9">
      <c r="H21729" s="1358"/>
      <c r="I21729" s="1358"/>
    </row>
    <row r="21730" spans="8:9">
      <c r="H21730" s="1358"/>
      <c r="I21730" s="1358"/>
    </row>
    <row r="21731" spans="8:9">
      <c r="H21731" s="1358"/>
      <c r="I21731" s="1358"/>
    </row>
    <row r="21732" spans="8:9">
      <c r="H21732" s="1358"/>
      <c r="I21732" s="1358"/>
    </row>
    <row r="21733" spans="8:9">
      <c r="H21733" s="1358"/>
      <c r="I21733" s="1358"/>
    </row>
    <row r="21734" spans="8:9">
      <c r="H21734" s="1358"/>
      <c r="I21734" s="1358"/>
    </row>
    <row r="21735" spans="8:9">
      <c r="H21735" s="1358"/>
      <c r="I21735" s="1358"/>
    </row>
    <row r="21736" spans="8:9">
      <c r="H21736" s="1358"/>
      <c r="I21736" s="1358"/>
    </row>
    <row r="21737" spans="8:9">
      <c r="H21737" s="1358"/>
      <c r="I21737" s="1358"/>
    </row>
    <row r="21738" spans="8:9">
      <c r="H21738" s="1358"/>
      <c r="I21738" s="1358"/>
    </row>
    <row r="21739" spans="8:9">
      <c r="H21739" s="1358"/>
      <c r="I21739" s="1358"/>
    </row>
    <row r="21740" spans="8:9">
      <c r="H21740" s="1358"/>
      <c r="I21740" s="1358"/>
    </row>
    <row r="21741" spans="8:9">
      <c r="H21741" s="1358"/>
      <c r="I21741" s="1358"/>
    </row>
    <row r="21742" spans="8:9">
      <c r="H21742" s="1358"/>
      <c r="I21742" s="1358"/>
    </row>
    <row r="21743" spans="8:9">
      <c r="H21743" s="1358"/>
      <c r="I21743" s="1358"/>
    </row>
    <row r="21744" spans="8:9">
      <c r="H21744" s="1358"/>
      <c r="I21744" s="1358"/>
    </row>
    <row r="21745" spans="8:9">
      <c r="H21745" s="1358"/>
      <c r="I21745" s="1358"/>
    </row>
    <row r="21746" spans="8:9">
      <c r="H21746" s="1358"/>
      <c r="I21746" s="1358"/>
    </row>
    <row r="21747" spans="8:9">
      <c r="H21747" s="1358"/>
      <c r="I21747" s="1358"/>
    </row>
    <row r="21748" spans="8:9">
      <c r="H21748" s="1358"/>
      <c r="I21748" s="1358"/>
    </row>
    <row r="21749" spans="8:9">
      <c r="H21749" s="1358"/>
      <c r="I21749" s="1358"/>
    </row>
    <row r="21750" spans="8:9">
      <c r="H21750" s="1358"/>
      <c r="I21750" s="1358"/>
    </row>
    <row r="21751" spans="8:9">
      <c r="H21751" s="1358"/>
      <c r="I21751" s="1358"/>
    </row>
    <row r="21752" spans="8:9">
      <c r="H21752" s="1358"/>
      <c r="I21752" s="1358"/>
    </row>
    <row r="21753" spans="8:9">
      <c r="H21753" s="1358"/>
      <c r="I21753" s="1358"/>
    </row>
    <row r="21754" spans="8:9">
      <c r="H21754" s="1358"/>
      <c r="I21754" s="1358"/>
    </row>
    <row r="21755" spans="8:9">
      <c r="H21755" s="1358"/>
      <c r="I21755" s="1358"/>
    </row>
    <row r="21756" spans="8:9">
      <c r="H21756" s="1358"/>
      <c r="I21756" s="1358"/>
    </row>
    <row r="21757" spans="8:9">
      <c r="H21757" s="1358"/>
      <c r="I21757" s="1358"/>
    </row>
    <row r="21758" spans="8:9">
      <c r="H21758" s="1358"/>
      <c r="I21758" s="1358"/>
    </row>
    <row r="21759" spans="8:9">
      <c r="H21759" s="1358"/>
      <c r="I21759" s="1358"/>
    </row>
    <row r="21760" spans="8:9">
      <c r="H21760" s="1358"/>
      <c r="I21760" s="1358"/>
    </row>
    <row r="21761" spans="8:9">
      <c r="H21761" s="1358"/>
      <c r="I21761" s="1358"/>
    </row>
    <row r="21762" spans="8:9">
      <c r="H21762" s="1358"/>
      <c r="I21762" s="1358"/>
    </row>
    <row r="21763" spans="8:9">
      <c r="H21763" s="1358"/>
      <c r="I21763" s="1358"/>
    </row>
    <row r="21764" spans="8:9">
      <c r="H21764" s="1358"/>
      <c r="I21764" s="1358"/>
    </row>
    <row r="21765" spans="8:9">
      <c r="H21765" s="1358"/>
      <c r="I21765" s="1358"/>
    </row>
    <row r="21766" spans="8:9">
      <c r="H21766" s="1358"/>
      <c r="I21766" s="1358"/>
    </row>
    <row r="21767" spans="8:9">
      <c r="H21767" s="1358"/>
      <c r="I21767" s="1358"/>
    </row>
    <row r="21768" spans="8:9">
      <c r="H21768" s="1358"/>
      <c r="I21768" s="1358"/>
    </row>
    <row r="21769" spans="8:9">
      <c r="H21769" s="1358"/>
      <c r="I21769" s="1358"/>
    </row>
    <row r="21770" spans="8:9">
      <c r="H21770" s="1358"/>
      <c r="I21770" s="1358"/>
    </row>
    <row r="21771" spans="8:9">
      <c r="H21771" s="1358"/>
      <c r="I21771" s="1358"/>
    </row>
    <row r="21772" spans="8:9">
      <c r="H21772" s="1358"/>
      <c r="I21772" s="1358"/>
    </row>
    <row r="21773" spans="8:9">
      <c r="H21773" s="1358"/>
      <c r="I21773" s="1358"/>
    </row>
    <row r="21774" spans="8:9">
      <c r="H21774" s="1358"/>
      <c r="I21774" s="1358"/>
    </row>
    <row r="21775" spans="8:9">
      <c r="H21775" s="1358"/>
      <c r="I21775" s="1358"/>
    </row>
    <row r="21776" spans="8:9">
      <c r="H21776" s="1358"/>
      <c r="I21776" s="1358"/>
    </row>
    <row r="21777" spans="8:9">
      <c r="H21777" s="1358"/>
      <c r="I21777" s="1358"/>
    </row>
    <row r="21778" spans="8:9">
      <c r="H21778" s="1358"/>
      <c r="I21778" s="1358"/>
    </row>
    <row r="21779" spans="8:9">
      <c r="H21779" s="1358"/>
      <c r="I21779" s="1358"/>
    </row>
    <row r="21780" spans="8:9">
      <c r="H21780" s="1358"/>
      <c r="I21780" s="1358"/>
    </row>
    <row r="21781" spans="8:9">
      <c r="H21781" s="1358"/>
      <c r="I21781" s="1358"/>
    </row>
    <row r="21782" spans="8:9">
      <c r="H21782" s="1358"/>
      <c r="I21782" s="1358"/>
    </row>
    <row r="21783" spans="8:9">
      <c r="H21783" s="1358"/>
      <c r="I21783" s="1358"/>
    </row>
    <row r="21784" spans="8:9">
      <c r="H21784" s="1358"/>
      <c r="I21784" s="1358"/>
    </row>
    <row r="21785" spans="8:9">
      <c r="H21785" s="1358"/>
      <c r="I21785" s="1358"/>
    </row>
    <row r="21786" spans="8:9">
      <c r="H21786" s="1358"/>
      <c r="I21786" s="1358"/>
    </row>
    <row r="21787" spans="8:9">
      <c r="H21787" s="1358"/>
      <c r="I21787" s="1358"/>
    </row>
    <row r="21788" spans="8:9">
      <c r="H21788" s="1358"/>
      <c r="I21788" s="1358"/>
    </row>
    <row r="21789" spans="8:9">
      <c r="H21789" s="1358"/>
      <c r="I21789" s="1358"/>
    </row>
    <row r="21790" spans="8:9">
      <c r="H21790" s="1358"/>
      <c r="I21790" s="1358"/>
    </row>
    <row r="21791" spans="8:9">
      <c r="H21791" s="1358"/>
      <c r="I21791" s="1358"/>
    </row>
    <row r="21792" spans="8:9">
      <c r="H21792" s="1358"/>
      <c r="I21792" s="1358"/>
    </row>
    <row r="21793" spans="8:9">
      <c r="H21793" s="1358"/>
      <c r="I21793" s="1358"/>
    </row>
    <row r="21794" spans="8:9">
      <c r="H21794" s="1358"/>
      <c r="I21794" s="1358"/>
    </row>
    <row r="21795" spans="8:9">
      <c r="H21795" s="1358"/>
      <c r="I21795" s="1358"/>
    </row>
    <row r="21796" spans="8:9">
      <c r="H21796" s="1358"/>
      <c r="I21796" s="1358"/>
    </row>
    <row r="21797" spans="8:9">
      <c r="H21797" s="1358"/>
      <c r="I21797" s="1358"/>
    </row>
    <row r="21798" spans="8:9">
      <c r="H21798" s="1358"/>
      <c r="I21798" s="1358"/>
    </row>
    <row r="21799" spans="8:9">
      <c r="H21799" s="1358"/>
      <c r="I21799" s="1358"/>
    </row>
    <row r="21800" spans="8:9">
      <c r="H21800" s="1358"/>
      <c r="I21800" s="1358"/>
    </row>
    <row r="21801" spans="8:9">
      <c r="H21801" s="1358"/>
      <c r="I21801" s="1358"/>
    </row>
    <row r="21802" spans="8:9">
      <c r="H21802" s="1358"/>
      <c r="I21802" s="1358"/>
    </row>
    <row r="21803" spans="8:9">
      <c r="H21803" s="1358"/>
      <c r="I21803" s="1358"/>
    </row>
    <row r="21804" spans="8:9">
      <c r="H21804" s="1358"/>
      <c r="I21804" s="1358"/>
    </row>
    <row r="21805" spans="8:9">
      <c r="H21805" s="1358"/>
      <c r="I21805" s="1358"/>
    </row>
    <row r="21806" spans="8:9">
      <c r="H21806" s="1358"/>
      <c r="I21806" s="1358"/>
    </row>
    <row r="21807" spans="8:9">
      <c r="H21807" s="1358"/>
      <c r="I21807" s="1358"/>
    </row>
    <row r="21808" spans="8:9">
      <c r="H21808" s="1358"/>
      <c r="I21808" s="1358"/>
    </row>
    <row r="21809" spans="8:9">
      <c r="H21809" s="1358"/>
      <c r="I21809" s="1358"/>
    </row>
    <row r="21810" spans="8:9">
      <c r="H21810" s="1358"/>
      <c r="I21810" s="1358"/>
    </row>
    <row r="21811" spans="8:9">
      <c r="H21811" s="1358"/>
      <c r="I21811" s="1358"/>
    </row>
    <row r="21812" spans="8:9">
      <c r="H21812" s="1358"/>
      <c r="I21812" s="1358"/>
    </row>
    <row r="21813" spans="8:9">
      <c r="H21813" s="1358"/>
      <c r="I21813" s="1358"/>
    </row>
    <row r="21814" spans="8:9">
      <c r="H21814" s="1358"/>
      <c r="I21814" s="1358"/>
    </row>
    <row r="21815" spans="8:9">
      <c r="H21815" s="1358"/>
      <c r="I21815" s="1358"/>
    </row>
    <row r="21816" spans="8:9">
      <c r="H21816" s="1358"/>
      <c r="I21816" s="1358"/>
    </row>
    <row r="21817" spans="8:9">
      <c r="H21817" s="1358"/>
      <c r="I21817" s="1358"/>
    </row>
    <row r="21818" spans="8:9">
      <c r="H21818" s="1358"/>
      <c r="I21818" s="1358"/>
    </row>
    <row r="21819" spans="8:9">
      <c r="H21819" s="1358"/>
      <c r="I21819" s="1358"/>
    </row>
    <row r="21820" spans="8:9">
      <c r="H21820" s="1358"/>
      <c r="I21820" s="1358"/>
    </row>
    <row r="21821" spans="8:9">
      <c r="H21821" s="1358"/>
      <c r="I21821" s="1358"/>
    </row>
    <row r="21822" spans="8:9">
      <c r="H21822" s="1358"/>
      <c r="I21822" s="1358"/>
    </row>
    <row r="21823" spans="8:9">
      <c r="H21823" s="1358"/>
      <c r="I21823" s="1358"/>
    </row>
    <row r="21824" spans="8:9">
      <c r="H21824" s="1358"/>
      <c r="I21824" s="1358"/>
    </row>
    <row r="21825" spans="8:9">
      <c r="H21825" s="1358"/>
      <c r="I21825" s="1358"/>
    </row>
    <row r="21826" spans="8:9">
      <c r="H21826" s="1358"/>
      <c r="I21826" s="1358"/>
    </row>
    <row r="21827" spans="8:9">
      <c r="H21827" s="1358"/>
      <c r="I21827" s="1358"/>
    </row>
    <row r="21828" spans="8:9">
      <c r="H21828" s="1358"/>
      <c r="I21828" s="1358"/>
    </row>
    <row r="21829" spans="8:9">
      <c r="H21829" s="1358"/>
      <c r="I21829" s="1358"/>
    </row>
    <row r="21830" spans="8:9">
      <c r="H21830" s="1358"/>
      <c r="I21830" s="1358"/>
    </row>
    <row r="21831" spans="8:9">
      <c r="H21831" s="1358"/>
      <c r="I21831" s="1358"/>
    </row>
    <row r="21832" spans="8:9">
      <c r="H21832" s="1358"/>
      <c r="I21832" s="1358"/>
    </row>
    <row r="21833" spans="8:9">
      <c r="H21833" s="1358"/>
      <c r="I21833" s="1358"/>
    </row>
    <row r="21834" spans="8:9">
      <c r="H21834" s="1358"/>
      <c r="I21834" s="1358"/>
    </row>
    <row r="21835" spans="8:9">
      <c r="H21835" s="1358"/>
      <c r="I21835" s="1358"/>
    </row>
    <row r="21836" spans="8:9">
      <c r="H21836" s="1358"/>
      <c r="I21836" s="1358"/>
    </row>
    <row r="21837" spans="8:9">
      <c r="H21837" s="1358"/>
      <c r="I21837" s="1358"/>
    </row>
    <row r="21838" spans="8:9">
      <c r="H21838" s="1358"/>
      <c r="I21838" s="1358"/>
    </row>
    <row r="21839" spans="8:9">
      <c r="H21839" s="1358"/>
      <c r="I21839" s="1358"/>
    </row>
    <row r="21840" spans="8:9">
      <c r="H21840" s="1358"/>
      <c r="I21840" s="1358"/>
    </row>
    <row r="21841" spans="8:9">
      <c r="H21841" s="1358"/>
      <c r="I21841" s="1358"/>
    </row>
    <row r="21842" spans="8:9">
      <c r="H21842" s="1358"/>
      <c r="I21842" s="1358"/>
    </row>
    <row r="21843" spans="8:9">
      <c r="H21843" s="1358"/>
      <c r="I21843" s="1358"/>
    </row>
    <row r="21844" spans="8:9">
      <c r="H21844" s="1358"/>
      <c r="I21844" s="1358"/>
    </row>
    <row r="21845" spans="8:9">
      <c r="H21845" s="1358"/>
      <c r="I21845" s="1358"/>
    </row>
    <row r="21846" spans="8:9">
      <c r="H21846" s="1358"/>
      <c r="I21846" s="1358"/>
    </row>
    <row r="21847" spans="8:9">
      <c r="H21847" s="1358"/>
      <c r="I21847" s="1358"/>
    </row>
    <row r="21848" spans="8:9">
      <c r="H21848" s="1358"/>
      <c r="I21848" s="1358"/>
    </row>
    <row r="21849" spans="8:9">
      <c r="H21849" s="1358"/>
      <c r="I21849" s="1358"/>
    </row>
    <row r="21850" spans="8:9">
      <c r="H21850" s="1358"/>
      <c r="I21850" s="1358"/>
    </row>
    <row r="21851" spans="8:9">
      <c r="H21851" s="1358"/>
      <c r="I21851" s="1358"/>
    </row>
    <row r="21852" spans="8:9">
      <c r="H21852" s="1358"/>
      <c r="I21852" s="1358"/>
    </row>
    <row r="21853" spans="8:9">
      <c r="H21853" s="1358"/>
      <c r="I21853" s="1358"/>
    </row>
    <row r="21854" spans="8:9">
      <c r="H21854" s="1358"/>
      <c r="I21854" s="1358"/>
    </row>
    <row r="21855" spans="8:9">
      <c r="H21855" s="1358"/>
      <c r="I21855" s="1358"/>
    </row>
    <row r="21856" spans="8:9">
      <c r="H21856" s="1358"/>
      <c r="I21856" s="1358"/>
    </row>
    <row r="21857" spans="8:9">
      <c r="H21857" s="1358"/>
      <c r="I21857" s="1358"/>
    </row>
    <row r="21858" spans="8:9">
      <c r="H21858" s="1358"/>
      <c r="I21858" s="1358"/>
    </row>
    <row r="21859" spans="8:9">
      <c r="H21859" s="1358"/>
      <c r="I21859" s="1358"/>
    </row>
    <row r="21860" spans="8:9">
      <c r="H21860" s="1358"/>
      <c r="I21860" s="1358"/>
    </row>
    <row r="21861" spans="8:9">
      <c r="H21861" s="1358"/>
      <c r="I21861" s="1358"/>
    </row>
    <row r="21862" spans="8:9">
      <c r="H21862" s="1358"/>
      <c r="I21862" s="1358"/>
    </row>
    <row r="21863" spans="8:9">
      <c r="H21863" s="1358"/>
      <c r="I21863" s="1358"/>
    </row>
    <row r="21864" spans="8:9">
      <c r="H21864" s="1358"/>
      <c r="I21864" s="1358"/>
    </row>
    <row r="21865" spans="8:9">
      <c r="H21865" s="1358"/>
      <c r="I21865" s="1358"/>
    </row>
    <row r="21866" spans="8:9">
      <c r="H21866" s="1358"/>
      <c r="I21866" s="1358"/>
    </row>
    <row r="21867" spans="8:9">
      <c r="H21867" s="1358"/>
      <c r="I21867" s="1358"/>
    </row>
    <row r="21868" spans="8:9">
      <c r="H21868" s="1358"/>
      <c r="I21868" s="1358"/>
    </row>
    <row r="21869" spans="8:9">
      <c r="H21869" s="1358"/>
      <c r="I21869" s="1358"/>
    </row>
    <row r="21870" spans="8:9">
      <c r="H21870" s="1358"/>
      <c r="I21870" s="1358"/>
    </row>
    <row r="21871" spans="8:9">
      <c r="H21871" s="1358"/>
      <c r="I21871" s="1358"/>
    </row>
    <row r="21872" spans="8:9">
      <c r="H21872" s="1358"/>
      <c r="I21872" s="1358"/>
    </row>
    <row r="21873" spans="8:9">
      <c r="H21873" s="1358"/>
      <c r="I21873" s="1358"/>
    </row>
    <row r="21874" spans="8:9">
      <c r="H21874" s="1358"/>
      <c r="I21874" s="1358"/>
    </row>
    <row r="21875" spans="8:9">
      <c r="H21875" s="1358"/>
      <c r="I21875" s="1358"/>
    </row>
    <row r="21876" spans="8:9">
      <c r="H21876" s="1358"/>
      <c r="I21876" s="1358"/>
    </row>
    <row r="21877" spans="8:9">
      <c r="H21877" s="1358"/>
      <c r="I21877" s="1358"/>
    </row>
    <row r="21878" spans="8:9">
      <c r="H21878" s="1358"/>
      <c r="I21878" s="1358"/>
    </row>
    <row r="21879" spans="8:9">
      <c r="H21879" s="1358"/>
      <c r="I21879" s="1358"/>
    </row>
    <row r="21880" spans="8:9">
      <c r="H21880" s="1358"/>
      <c r="I21880" s="1358"/>
    </row>
    <row r="21881" spans="8:9">
      <c r="H21881" s="1358"/>
      <c r="I21881" s="1358"/>
    </row>
    <row r="21882" spans="8:9">
      <c r="H21882" s="1358"/>
      <c r="I21882" s="1358"/>
    </row>
    <row r="21883" spans="8:9">
      <c r="H21883" s="1358"/>
      <c r="I21883" s="1358"/>
    </row>
    <row r="21884" spans="8:9">
      <c r="H21884" s="1358"/>
      <c r="I21884" s="1358"/>
    </row>
    <row r="21885" spans="8:9">
      <c r="H21885" s="1358"/>
      <c r="I21885" s="1358"/>
    </row>
    <row r="21886" spans="8:9">
      <c r="H21886" s="1358"/>
      <c r="I21886" s="1358"/>
    </row>
    <row r="21887" spans="8:9">
      <c r="H21887" s="1358"/>
      <c r="I21887" s="1358"/>
    </row>
    <row r="21888" spans="8:9">
      <c r="H21888" s="1358"/>
      <c r="I21888" s="1358"/>
    </row>
    <row r="21889" spans="8:9">
      <c r="H21889" s="1358"/>
      <c r="I21889" s="1358"/>
    </row>
    <row r="21890" spans="8:9">
      <c r="H21890" s="1358"/>
      <c r="I21890" s="1358"/>
    </row>
    <row r="21891" spans="8:9">
      <c r="H21891" s="1358"/>
      <c r="I21891" s="1358"/>
    </row>
    <row r="21892" spans="8:9">
      <c r="H21892" s="1358"/>
      <c r="I21892" s="1358"/>
    </row>
    <row r="21893" spans="8:9">
      <c r="H21893" s="1358"/>
      <c r="I21893" s="1358"/>
    </row>
    <row r="21894" spans="8:9">
      <c r="H21894" s="1358"/>
      <c r="I21894" s="1358"/>
    </row>
    <row r="21895" spans="8:9">
      <c r="H21895" s="1358"/>
      <c r="I21895" s="1358"/>
    </row>
    <row r="21896" spans="8:9">
      <c r="H21896" s="1358"/>
      <c r="I21896" s="1358"/>
    </row>
    <row r="21897" spans="8:9">
      <c r="H21897" s="1358"/>
      <c r="I21897" s="1358"/>
    </row>
    <row r="21898" spans="8:9">
      <c r="H21898" s="1358"/>
      <c r="I21898" s="1358"/>
    </row>
    <row r="21899" spans="8:9">
      <c r="H21899" s="1358"/>
      <c r="I21899" s="1358"/>
    </row>
    <row r="21900" spans="8:9">
      <c r="H21900" s="1358"/>
      <c r="I21900" s="1358"/>
    </row>
    <row r="21901" spans="8:9">
      <c r="H21901" s="1358"/>
      <c r="I21901" s="1358"/>
    </row>
    <row r="21902" spans="8:9">
      <c r="H21902" s="1358"/>
      <c r="I21902" s="1358"/>
    </row>
    <row r="21903" spans="8:9">
      <c r="H21903" s="1358"/>
      <c r="I21903" s="1358"/>
    </row>
    <row r="21904" spans="8:9">
      <c r="H21904" s="1358"/>
      <c r="I21904" s="1358"/>
    </row>
    <row r="21905" spans="8:9">
      <c r="H21905" s="1358"/>
      <c r="I21905" s="1358"/>
    </row>
    <row r="21906" spans="8:9">
      <c r="H21906" s="1358"/>
      <c r="I21906" s="1358"/>
    </row>
    <row r="21907" spans="8:9">
      <c r="H21907" s="1358"/>
      <c r="I21907" s="1358"/>
    </row>
    <row r="21908" spans="8:9">
      <c r="H21908" s="1358"/>
      <c r="I21908" s="1358"/>
    </row>
    <row r="21909" spans="8:9">
      <c r="H21909" s="1358"/>
      <c r="I21909" s="1358"/>
    </row>
    <row r="21910" spans="8:9">
      <c r="H21910" s="1358"/>
      <c r="I21910" s="1358"/>
    </row>
    <row r="21911" spans="8:9">
      <c r="H21911" s="1358"/>
      <c r="I21911" s="1358"/>
    </row>
    <row r="21912" spans="8:9">
      <c r="H21912" s="1358"/>
      <c r="I21912" s="1358"/>
    </row>
    <row r="21913" spans="8:9">
      <c r="H21913" s="1358"/>
      <c r="I21913" s="1358"/>
    </row>
    <row r="21914" spans="8:9">
      <c r="H21914" s="1358"/>
      <c r="I21914" s="1358"/>
    </row>
    <row r="21915" spans="8:9">
      <c r="H21915" s="1358"/>
      <c r="I21915" s="1358"/>
    </row>
    <row r="21916" spans="8:9">
      <c r="H21916" s="1358"/>
      <c r="I21916" s="1358"/>
    </row>
    <row r="21917" spans="8:9">
      <c r="H21917" s="1358"/>
      <c r="I21917" s="1358"/>
    </row>
    <row r="21918" spans="8:9">
      <c r="H21918" s="1358"/>
      <c r="I21918" s="1358"/>
    </row>
    <row r="21919" spans="8:9">
      <c r="H21919" s="1358"/>
      <c r="I21919" s="1358"/>
    </row>
    <row r="21920" spans="8:9">
      <c r="H21920" s="1358"/>
      <c r="I21920" s="1358"/>
    </row>
    <row r="21921" spans="8:9">
      <c r="H21921" s="1358"/>
      <c r="I21921" s="1358"/>
    </row>
    <row r="21922" spans="8:9">
      <c r="H21922" s="1358"/>
      <c r="I21922" s="1358"/>
    </row>
    <row r="21923" spans="8:9">
      <c r="H21923" s="1358"/>
      <c r="I21923" s="1358"/>
    </row>
    <row r="21924" spans="8:9">
      <c r="H21924" s="1358"/>
      <c r="I21924" s="1358"/>
    </row>
    <row r="21925" spans="8:9">
      <c r="H21925" s="1358"/>
      <c r="I21925" s="1358"/>
    </row>
    <row r="21926" spans="8:9">
      <c r="H21926" s="1358"/>
      <c r="I21926" s="1358"/>
    </row>
    <row r="21927" spans="8:9">
      <c r="H21927" s="1358"/>
      <c r="I21927" s="1358"/>
    </row>
    <row r="21928" spans="8:9">
      <c r="H21928" s="1358"/>
      <c r="I21928" s="1358"/>
    </row>
    <row r="21929" spans="8:9">
      <c r="H21929" s="1358"/>
      <c r="I21929" s="1358"/>
    </row>
    <row r="21930" spans="8:9">
      <c r="H21930" s="1358"/>
      <c r="I21930" s="1358"/>
    </row>
    <row r="21931" spans="8:9">
      <c r="H21931" s="1358"/>
      <c r="I21931" s="1358"/>
    </row>
    <row r="21932" spans="8:9">
      <c r="H21932" s="1358"/>
      <c r="I21932" s="1358"/>
    </row>
    <row r="21933" spans="8:9">
      <c r="H21933" s="1358"/>
      <c r="I21933" s="1358"/>
    </row>
    <row r="21934" spans="8:9">
      <c r="H21934" s="1358"/>
      <c r="I21934" s="1358"/>
    </row>
    <row r="21935" spans="8:9">
      <c r="H21935" s="1358"/>
      <c r="I21935" s="1358"/>
    </row>
    <row r="21936" spans="8:9">
      <c r="H21936" s="1358"/>
      <c r="I21936" s="1358"/>
    </row>
    <row r="21937" spans="8:9">
      <c r="H21937" s="1358"/>
      <c r="I21937" s="1358"/>
    </row>
    <row r="21938" spans="8:9">
      <c r="H21938" s="1358"/>
      <c r="I21938" s="1358"/>
    </row>
    <row r="21939" spans="8:9">
      <c r="H21939" s="1358"/>
      <c r="I21939" s="1358"/>
    </row>
    <row r="21940" spans="8:9">
      <c r="H21940" s="1358"/>
      <c r="I21940" s="1358"/>
    </row>
    <row r="21941" spans="8:9">
      <c r="H21941" s="1358"/>
      <c r="I21941" s="1358"/>
    </row>
    <row r="21942" spans="8:9">
      <c r="H21942" s="1358"/>
      <c r="I21942" s="1358"/>
    </row>
    <row r="21943" spans="8:9">
      <c r="H21943" s="1358"/>
      <c r="I21943" s="1358"/>
    </row>
    <row r="21944" spans="8:9">
      <c r="H21944" s="1358"/>
      <c r="I21944" s="1358"/>
    </row>
    <row r="21945" spans="8:9">
      <c r="H21945" s="1358"/>
      <c r="I21945" s="1358"/>
    </row>
    <row r="21946" spans="8:9">
      <c r="H21946" s="1358"/>
      <c r="I21946" s="1358"/>
    </row>
    <row r="21947" spans="8:9">
      <c r="H21947" s="1358"/>
      <c r="I21947" s="1358"/>
    </row>
    <row r="21948" spans="8:9">
      <c r="H21948" s="1358"/>
      <c r="I21948" s="1358"/>
    </row>
    <row r="21949" spans="8:9">
      <c r="H21949" s="1358"/>
      <c r="I21949" s="1358"/>
    </row>
    <row r="21950" spans="8:9">
      <c r="H21950" s="1358"/>
      <c r="I21950" s="1358"/>
    </row>
    <row r="21951" spans="8:9">
      <c r="H21951" s="1358"/>
      <c r="I21951" s="1358"/>
    </row>
    <row r="21952" spans="8:9">
      <c r="H21952" s="1358"/>
      <c r="I21952" s="1358"/>
    </row>
    <row r="21953" spans="8:9">
      <c r="H21953" s="1358"/>
      <c r="I21953" s="1358"/>
    </row>
    <row r="21954" spans="8:9">
      <c r="H21954" s="1358"/>
      <c r="I21954" s="1358"/>
    </row>
    <row r="21955" spans="8:9">
      <c r="H21955" s="1358"/>
      <c r="I21955" s="1358"/>
    </row>
    <row r="21956" spans="8:9">
      <c r="H21956" s="1358"/>
      <c r="I21956" s="1358"/>
    </row>
    <row r="21957" spans="8:9">
      <c r="H21957" s="1358"/>
      <c r="I21957" s="1358"/>
    </row>
    <row r="21958" spans="8:9">
      <c r="H21958" s="1358"/>
      <c r="I21958" s="1358"/>
    </row>
    <row r="21959" spans="8:9">
      <c r="H21959" s="1358"/>
      <c r="I21959" s="1358"/>
    </row>
    <row r="21960" spans="8:9">
      <c r="H21960" s="1358"/>
      <c r="I21960" s="1358"/>
    </row>
    <row r="21961" spans="8:9">
      <c r="H21961" s="1358"/>
      <c r="I21961" s="1358"/>
    </row>
    <row r="21962" spans="8:9">
      <c r="H21962" s="1358"/>
      <c r="I21962" s="1358"/>
    </row>
    <row r="21963" spans="8:9">
      <c r="H21963" s="1358"/>
      <c r="I21963" s="1358"/>
    </row>
    <row r="21964" spans="8:9">
      <c r="H21964" s="1358"/>
      <c r="I21964" s="1358"/>
    </row>
    <row r="21965" spans="8:9">
      <c r="H21965" s="1358"/>
      <c r="I21965" s="1358"/>
    </row>
    <row r="21966" spans="8:9">
      <c r="H21966" s="1358"/>
      <c r="I21966" s="1358"/>
    </row>
    <row r="21967" spans="8:9">
      <c r="H21967" s="1358"/>
      <c r="I21967" s="1358"/>
    </row>
    <row r="21968" spans="8:9">
      <c r="H21968" s="1358"/>
      <c r="I21968" s="1358"/>
    </row>
    <row r="21969" spans="8:9">
      <c r="H21969" s="1358"/>
      <c r="I21969" s="1358"/>
    </row>
    <row r="21970" spans="8:9">
      <c r="H21970" s="1358"/>
      <c r="I21970" s="1358"/>
    </row>
    <row r="21971" spans="8:9">
      <c r="H21971" s="1358"/>
      <c r="I21971" s="1358"/>
    </row>
    <row r="21972" spans="8:9">
      <c r="H21972" s="1358"/>
      <c r="I21972" s="1358"/>
    </row>
    <row r="21973" spans="8:9">
      <c r="H21973" s="1358"/>
      <c r="I21973" s="1358"/>
    </row>
    <row r="21974" spans="8:9">
      <c r="H21974" s="1358"/>
      <c r="I21974" s="1358"/>
    </row>
    <row r="21975" spans="8:9">
      <c r="H21975" s="1358"/>
      <c r="I21975" s="1358"/>
    </row>
    <row r="21976" spans="8:9">
      <c r="H21976" s="1358"/>
      <c r="I21976" s="1358"/>
    </row>
    <row r="21977" spans="8:9">
      <c r="H21977" s="1358"/>
      <c r="I21977" s="1358"/>
    </row>
    <row r="21978" spans="8:9">
      <c r="H21978" s="1358"/>
      <c r="I21978" s="1358"/>
    </row>
    <row r="21979" spans="8:9">
      <c r="H21979" s="1358"/>
      <c r="I21979" s="1358"/>
    </row>
    <row r="21980" spans="8:9">
      <c r="H21980" s="1358"/>
      <c r="I21980" s="1358"/>
    </row>
    <row r="21981" spans="8:9">
      <c r="H21981" s="1358"/>
      <c r="I21981" s="1358"/>
    </row>
    <row r="21982" spans="8:9">
      <c r="H21982" s="1358"/>
      <c r="I21982" s="1358"/>
    </row>
    <row r="21983" spans="8:9">
      <c r="H21983" s="1358"/>
      <c r="I21983" s="1358"/>
    </row>
    <row r="21984" spans="8:9">
      <c r="H21984" s="1358"/>
      <c r="I21984" s="1358"/>
    </row>
    <row r="21985" spans="8:9">
      <c r="H21985" s="1358"/>
      <c r="I21985" s="1358"/>
    </row>
    <row r="21986" spans="8:9">
      <c r="H21986" s="1358"/>
      <c r="I21986" s="1358"/>
    </row>
    <row r="21987" spans="8:9">
      <c r="H21987" s="1358"/>
      <c r="I21987" s="1358"/>
    </row>
    <row r="21988" spans="8:9">
      <c r="H21988" s="1358"/>
      <c r="I21988" s="1358"/>
    </row>
    <row r="21989" spans="8:9">
      <c r="H21989" s="1358"/>
      <c r="I21989" s="1358"/>
    </row>
    <row r="21990" spans="8:9">
      <c r="H21990" s="1358"/>
      <c r="I21990" s="1358"/>
    </row>
    <row r="21991" spans="8:9">
      <c r="H21991" s="1358"/>
      <c r="I21991" s="1358"/>
    </row>
    <row r="21992" spans="8:9">
      <c r="H21992" s="1358"/>
      <c r="I21992" s="1358"/>
    </row>
    <row r="21993" spans="8:9">
      <c r="H21993" s="1358"/>
      <c r="I21993" s="1358"/>
    </row>
    <row r="21994" spans="8:9">
      <c r="H21994" s="1358"/>
      <c r="I21994" s="1358"/>
    </row>
    <row r="21995" spans="8:9">
      <c r="H21995" s="1358"/>
      <c r="I21995" s="1358"/>
    </row>
    <row r="21996" spans="8:9">
      <c r="H21996" s="1358"/>
      <c r="I21996" s="1358"/>
    </row>
    <row r="21997" spans="8:9">
      <c r="H21997" s="1358"/>
      <c r="I21997" s="1358"/>
    </row>
    <row r="21998" spans="8:9">
      <c r="H21998" s="1358"/>
      <c r="I21998" s="1358"/>
    </row>
    <row r="21999" spans="8:9">
      <c r="H21999" s="1358"/>
      <c r="I21999" s="1358"/>
    </row>
    <row r="22000" spans="8:9">
      <c r="H22000" s="1358"/>
      <c r="I22000" s="1358"/>
    </row>
    <row r="22001" spans="8:9">
      <c r="H22001" s="1358"/>
      <c r="I22001" s="1358"/>
    </row>
    <row r="22002" spans="8:9">
      <c r="H22002" s="1358"/>
      <c r="I22002" s="1358"/>
    </row>
    <row r="22003" spans="8:9">
      <c r="H22003" s="1358"/>
      <c r="I22003" s="1358"/>
    </row>
    <row r="22004" spans="8:9">
      <c r="H22004" s="1358"/>
      <c r="I22004" s="1358"/>
    </row>
    <row r="22005" spans="8:9">
      <c r="H22005" s="1358"/>
      <c r="I22005" s="1358"/>
    </row>
    <row r="22006" spans="8:9">
      <c r="H22006" s="1358"/>
      <c r="I22006" s="1358"/>
    </row>
    <row r="22007" spans="8:9">
      <c r="H22007" s="1358"/>
      <c r="I22007" s="1358"/>
    </row>
    <row r="22008" spans="8:9">
      <c r="H22008" s="1358"/>
      <c r="I22008" s="1358"/>
    </row>
    <row r="22009" spans="8:9">
      <c r="H22009" s="1358"/>
      <c r="I22009" s="1358"/>
    </row>
    <row r="22010" spans="8:9">
      <c r="H22010" s="1358"/>
      <c r="I22010" s="1358"/>
    </row>
    <row r="22011" spans="8:9">
      <c r="H22011" s="1358"/>
      <c r="I22011" s="1358"/>
    </row>
    <row r="22012" spans="8:9">
      <c r="H22012" s="1358"/>
      <c r="I22012" s="1358"/>
    </row>
    <row r="22013" spans="8:9">
      <c r="H22013" s="1358"/>
      <c r="I22013" s="1358"/>
    </row>
    <row r="22014" spans="8:9">
      <c r="H22014" s="1358"/>
      <c r="I22014" s="1358"/>
    </row>
    <row r="22015" spans="8:9">
      <c r="H22015" s="1358"/>
      <c r="I22015" s="1358"/>
    </row>
    <row r="22016" spans="8:9">
      <c r="H22016" s="1358"/>
      <c r="I22016" s="1358"/>
    </row>
    <row r="22017" spans="8:9">
      <c r="H22017" s="1358"/>
      <c r="I22017" s="1358"/>
    </row>
    <row r="22018" spans="8:9">
      <c r="H22018" s="1358"/>
      <c r="I22018" s="1358"/>
    </row>
    <row r="22019" spans="8:9">
      <c r="H22019" s="1358"/>
      <c r="I22019" s="1358"/>
    </row>
    <row r="22020" spans="8:9">
      <c r="H22020" s="1358"/>
      <c r="I22020" s="1358"/>
    </row>
    <row r="22021" spans="8:9">
      <c r="H22021" s="1358"/>
      <c r="I22021" s="1358"/>
    </row>
    <row r="22022" spans="8:9">
      <c r="H22022" s="1358"/>
      <c r="I22022" s="1358"/>
    </row>
    <row r="22023" spans="8:9">
      <c r="H22023" s="1358"/>
      <c r="I22023" s="1358"/>
    </row>
    <row r="22024" spans="8:9">
      <c r="H22024" s="1358"/>
      <c r="I22024" s="1358"/>
    </row>
    <row r="22025" spans="8:9">
      <c r="H22025" s="1358"/>
      <c r="I22025" s="1358"/>
    </row>
    <row r="22026" spans="8:9">
      <c r="H22026" s="1358"/>
      <c r="I22026" s="1358"/>
    </row>
    <row r="22027" spans="8:9">
      <c r="H22027" s="1358"/>
      <c r="I22027" s="1358"/>
    </row>
    <row r="22028" spans="8:9">
      <c r="H22028" s="1358"/>
      <c r="I22028" s="1358"/>
    </row>
    <row r="22029" spans="8:9">
      <c r="H22029" s="1358"/>
      <c r="I22029" s="1358"/>
    </row>
    <row r="22030" spans="8:9">
      <c r="H22030" s="1358"/>
      <c r="I22030" s="1358"/>
    </row>
    <row r="22031" spans="8:9">
      <c r="H22031" s="1358"/>
      <c r="I22031" s="1358"/>
    </row>
    <row r="22032" spans="8:9">
      <c r="H22032" s="1358"/>
      <c r="I22032" s="1358"/>
    </row>
    <row r="22033" spans="8:9">
      <c r="H22033" s="1358"/>
      <c r="I22033" s="1358"/>
    </row>
    <row r="22034" spans="8:9">
      <c r="H22034" s="1358"/>
      <c r="I22034" s="1358"/>
    </row>
    <row r="22035" spans="8:9">
      <c r="H22035" s="1358"/>
      <c r="I22035" s="1358"/>
    </row>
    <row r="22036" spans="8:9">
      <c r="H22036" s="1358"/>
      <c r="I22036" s="1358"/>
    </row>
    <row r="22037" spans="8:9">
      <c r="H22037" s="1358"/>
      <c r="I22037" s="1358"/>
    </row>
    <row r="22038" spans="8:9">
      <c r="H22038" s="1358"/>
      <c r="I22038" s="1358"/>
    </row>
    <row r="22039" spans="8:9">
      <c r="H22039" s="1358"/>
      <c r="I22039" s="1358"/>
    </row>
    <row r="22040" spans="8:9">
      <c r="H22040" s="1358"/>
      <c r="I22040" s="1358"/>
    </row>
    <row r="22041" spans="8:9">
      <c r="H22041" s="1358"/>
      <c r="I22041" s="1358"/>
    </row>
    <row r="22042" spans="8:9">
      <c r="H22042" s="1358"/>
      <c r="I22042" s="1358"/>
    </row>
    <row r="22043" spans="8:9">
      <c r="H22043" s="1358"/>
      <c r="I22043" s="1358"/>
    </row>
    <row r="22044" spans="8:9">
      <c r="H22044" s="1358"/>
      <c r="I22044" s="1358"/>
    </row>
    <row r="22045" spans="8:9">
      <c r="H22045" s="1358"/>
      <c r="I22045" s="1358"/>
    </row>
    <row r="22046" spans="8:9">
      <c r="H22046" s="1358"/>
      <c r="I22046" s="1358"/>
    </row>
    <row r="22047" spans="8:9">
      <c r="H22047" s="1358"/>
      <c r="I22047" s="1358"/>
    </row>
    <row r="22048" spans="8:9">
      <c r="H22048" s="1358"/>
      <c r="I22048" s="1358"/>
    </row>
    <row r="22049" spans="8:9">
      <c r="H22049" s="1358"/>
      <c r="I22049" s="1358"/>
    </row>
    <row r="22050" spans="8:9">
      <c r="H22050" s="1358"/>
      <c r="I22050" s="1358"/>
    </row>
    <row r="22051" spans="8:9">
      <c r="H22051" s="1358"/>
      <c r="I22051" s="1358"/>
    </row>
    <row r="22052" spans="8:9">
      <c r="H22052" s="1358"/>
      <c r="I22052" s="1358"/>
    </row>
    <row r="22053" spans="8:9">
      <c r="H22053" s="1358"/>
      <c r="I22053" s="1358"/>
    </row>
    <row r="22054" spans="8:9">
      <c r="H22054" s="1358"/>
      <c r="I22054" s="1358"/>
    </row>
    <row r="22055" spans="8:9">
      <c r="H22055" s="1358"/>
      <c r="I22055" s="1358"/>
    </row>
    <row r="22056" spans="8:9">
      <c r="H22056" s="1358"/>
      <c r="I22056" s="1358"/>
    </row>
    <row r="22057" spans="8:9">
      <c r="H22057" s="1358"/>
      <c r="I22057" s="1358"/>
    </row>
    <row r="22058" spans="8:9">
      <c r="H22058" s="1358"/>
      <c r="I22058" s="1358"/>
    </row>
    <row r="22059" spans="8:9">
      <c r="H22059" s="1358"/>
      <c r="I22059" s="1358"/>
    </row>
    <row r="22060" spans="8:9">
      <c r="H22060" s="1358"/>
      <c r="I22060" s="1358"/>
    </row>
    <row r="22061" spans="8:9">
      <c r="H22061" s="1358"/>
      <c r="I22061" s="1358"/>
    </row>
    <row r="22062" spans="8:9">
      <c r="H22062" s="1358"/>
      <c r="I22062" s="1358"/>
    </row>
    <row r="22063" spans="8:9">
      <c r="H22063" s="1358"/>
      <c r="I22063" s="1358"/>
    </row>
    <row r="22064" spans="8:9">
      <c r="H22064" s="1358"/>
      <c r="I22064" s="1358"/>
    </row>
    <row r="22065" spans="8:9">
      <c r="H22065" s="1358"/>
      <c r="I22065" s="1358"/>
    </row>
    <row r="22066" spans="8:9">
      <c r="H22066" s="1358"/>
      <c r="I22066" s="1358"/>
    </row>
    <row r="22067" spans="8:9">
      <c r="H22067" s="1358"/>
      <c r="I22067" s="1358"/>
    </row>
    <row r="22068" spans="8:9">
      <c r="H22068" s="1358"/>
      <c r="I22068" s="1358"/>
    </row>
    <row r="22069" spans="8:9">
      <c r="H22069" s="1358"/>
      <c r="I22069" s="1358"/>
    </row>
    <row r="22070" spans="8:9">
      <c r="H22070" s="1358"/>
      <c r="I22070" s="1358"/>
    </row>
    <row r="22071" spans="8:9">
      <c r="H22071" s="1358"/>
      <c r="I22071" s="1358"/>
    </row>
    <row r="22072" spans="8:9">
      <c r="H22072" s="1358"/>
      <c r="I22072" s="1358"/>
    </row>
    <row r="22073" spans="8:9">
      <c r="H22073" s="1358"/>
      <c r="I22073" s="1358"/>
    </row>
    <row r="22074" spans="8:9">
      <c r="H22074" s="1358"/>
      <c r="I22074" s="1358"/>
    </row>
    <row r="22075" spans="8:9">
      <c r="H22075" s="1358"/>
      <c r="I22075" s="1358"/>
    </row>
    <row r="22076" spans="8:9">
      <c r="H22076" s="1358"/>
      <c r="I22076" s="1358"/>
    </row>
    <row r="22077" spans="8:9">
      <c r="H22077" s="1358"/>
      <c r="I22077" s="1358"/>
    </row>
    <row r="22078" spans="8:9">
      <c r="H22078" s="1358"/>
      <c r="I22078" s="1358"/>
    </row>
    <row r="22079" spans="8:9">
      <c r="H22079" s="1358"/>
      <c r="I22079" s="1358"/>
    </row>
    <row r="22080" spans="8:9">
      <c r="H22080" s="1358"/>
      <c r="I22080" s="1358"/>
    </row>
    <row r="22081" spans="8:9">
      <c r="H22081" s="1358"/>
      <c r="I22081" s="1358"/>
    </row>
    <row r="22082" spans="8:9">
      <c r="H22082" s="1358"/>
      <c r="I22082" s="1358"/>
    </row>
    <row r="22083" spans="8:9">
      <c r="H22083" s="1358"/>
      <c r="I22083" s="1358"/>
    </row>
    <row r="22084" spans="8:9">
      <c r="H22084" s="1358"/>
      <c r="I22084" s="1358"/>
    </row>
    <row r="22085" spans="8:9">
      <c r="H22085" s="1358"/>
      <c r="I22085" s="1358"/>
    </row>
    <row r="22086" spans="8:9">
      <c r="H22086" s="1358"/>
      <c r="I22086" s="1358"/>
    </row>
    <row r="22087" spans="8:9">
      <c r="H22087" s="1358"/>
      <c r="I22087" s="1358"/>
    </row>
    <row r="22088" spans="8:9">
      <c r="H22088" s="1358"/>
      <c r="I22088" s="1358"/>
    </row>
    <row r="22089" spans="8:9">
      <c r="H22089" s="1358"/>
      <c r="I22089" s="1358"/>
    </row>
    <row r="22090" spans="8:9">
      <c r="H22090" s="1358"/>
      <c r="I22090" s="1358"/>
    </row>
    <row r="22091" spans="8:9">
      <c r="H22091" s="1358"/>
      <c r="I22091" s="1358"/>
    </row>
    <row r="22092" spans="8:9">
      <c r="H22092" s="1358"/>
      <c r="I22092" s="1358"/>
    </row>
    <row r="22093" spans="8:9">
      <c r="H22093" s="1358"/>
      <c r="I22093" s="1358"/>
    </row>
    <row r="22094" spans="8:9">
      <c r="H22094" s="1358"/>
      <c r="I22094" s="1358"/>
    </row>
    <row r="22095" spans="8:9">
      <c r="H22095" s="1358"/>
      <c r="I22095" s="1358"/>
    </row>
    <row r="22096" spans="8:9">
      <c r="H22096" s="1358"/>
      <c r="I22096" s="1358"/>
    </row>
    <row r="22097" spans="8:9">
      <c r="H22097" s="1358"/>
      <c r="I22097" s="1358"/>
    </row>
    <row r="22098" spans="8:9">
      <c r="H22098" s="1358"/>
      <c r="I22098" s="1358"/>
    </row>
    <row r="22099" spans="8:9">
      <c r="H22099" s="1358"/>
      <c r="I22099" s="1358"/>
    </row>
    <row r="22100" spans="8:9">
      <c r="H22100" s="1358"/>
      <c r="I22100" s="1358"/>
    </row>
    <row r="22101" spans="8:9">
      <c r="H22101" s="1358"/>
      <c r="I22101" s="1358"/>
    </row>
    <row r="22102" spans="8:9">
      <c r="H22102" s="1358"/>
      <c r="I22102" s="1358"/>
    </row>
    <row r="22103" spans="8:9">
      <c r="H22103" s="1358"/>
      <c r="I22103" s="1358"/>
    </row>
    <row r="22104" spans="8:9">
      <c r="H22104" s="1358"/>
      <c r="I22104" s="1358"/>
    </row>
    <row r="22105" spans="8:9">
      <c r="H22105" s="1358"/>
      <c r="I22105" s="1358"/>
    </row>
    <row r="22106" spans="8:9">
      <c r="H22106" s="1358"/>
      <c r="I22106" s="1358"/>
    </row>
    <row r="22107" spans="8:9">
      <c r="H22107" s="1358"/>
      <c r="I22107" s="1358"/>
    </row>
    <row r="22108" spans="8:9">
      <c r="H22108" s="1358"/>
      <c r="I22108" s="1358"/>
    </row>
    <row r="22109" spans="8:9">
      <c r="H22109" s="1358"/>
      <c r="I22109" s="1358"/>
    </row>
    <row r="22110" spans="8:9">
      <c r="H22110" s="1358"/>
      <c r="I22110" s="1358"/>
    </row>
    <row r="22111" spans="8:9">
      <c r="H22111" s="1358"/>
      <c r="I22111" s="1358"/>
    </row>
    <row r="22112" spans="8:9">
      <c r="H22112" s="1358"/>
      <c r="I22112" s="1358"/>
    </row>
    <row r="22113" spans="8:9">
      <c r="H22113" s="1358"/>
      <c r="I22113" s="1358"/>
    </row>
    <row r="22114" spans="8:9">
      <c r="H22114" s="1358"/>
      <c r="I22114" s="1358"/>
    </row>
    <row r="22115" spans="8:9">
      <c r="H22115" s="1358"/>
      <c r="I22115" s="1358"/>
    </row>
    <row r="22116" spans="8:9">
      <c r="H22116" s="1358"/>
      <c r="I22116" s="1358"/>
    </row>
    <row r="22117" spans="8:9">
      <c r="H22117" s="1358"/>
      <c r="I22117" s="1358"/>
    </row>
    <row r="22118" spans="8:9">
      <c r="H22118" s="1358"/>
      <c r="I22118" s="1358"/>
    </row>
    <row r="22119" spans="8:9">
      <c r="H22119" s="1358"/>
      <c r="I22119" s="1358"/>
    </row>
    <row r="22120" spans="8:9">
      <c r="H22120" s="1358"/>
      <c r="I22120" s="1358"/>
    </row>
    <row r="22121" spans="8:9">
      <c r="H22121" s="1358"/>
      <c r="I22121" s="1358"/>
    </row>
    <row r="22122" spans="8:9">
      <c r="H22122" s="1358"/>
      <c r="I22122" s="1358"/>
    </row>
    <row r="22123" spans="8:9">
      <c r="H22123" s="1358"/>
      <c r="I22123" s="1358"/>
    </row>
    <row r="22124" spans="8:9">
      <c r="H22124" s="1358"/>
      <c r="I22124" s="1358"/>
    </row>
    <row r="22125" spans="8:9">
      <c r="H22125" s="1358"/>
      <c r="I22125" s="1358"/>
    </row>
    <row r="22126" spans="8:9">
      <c r="H22126" s="1358"/>
      <c r="I22126" s="1358"/>
    </row>
    <row r="22127" spans="8:9">
      <c r="H22127" s="1358"/>
      <c r="I22127" s="1358"/>
    </row>
    <row r="22128" spans="8:9">
      <c r="H22128" s="1358"/>
      <c r="I22128" s="1358"/>
    </row>
    <row r="22129" spans="8:9">
      <c r="H22129" s="1358"/>
      <c r="I22129" s="1358"/>
    </row>
    <row r="22130" spans="8:9">
      <c r="H22130" s="1358"/>
      <c r="I22130" s="1358"/>
    </row>
    <row r="22131" spans="8:9">
      <c r="H22131" s="1358"/>
      <c r="I22131" s="1358"/>
    </row>
    <row r="22132" spans="8:9">
      <c r="H22132" s="1358"/>
      <c r="I22132" s="1358"/>
    </row>
    <row r="22133" spans="8:9">
      <c r="H22133" s="1358"/>
      <c r="I22133" s="1358"/>
    </row>
    <row r="22134" spans="8:9">
      <c r="H22134" s="1358"/>
      <c r="I22134" s="1358"/>
    </row>
    <row r="22135" spans="8:9">
      <c r="H22135" s="1358"/>
      <c r="I22135" s="1358"/>
    </row>
    <row r="22136" spans="8:9">
      <c r="H22136" s="1358"/>
      <c r="I22136" s="1358"/>
    </row>
    <row r="22137" spans="8:9">
      <c r="H22137" s="1358"/>
      <c r="I22137" s="1358"/>
    </row>
    <row r="22138" spans="8:9">
      <c r="H22138" s="1358"/>
      <c r="I22138" s="1358"/>
    </row>
    <row r="22139" spans="8:9">
      <c r="H22139" s="1358"/>
      <c r="I22139" s="1358"/>
    </row>
    <row r="22140" spans="8:9">
      <c r="H22140" s="1358"/>
      <c r="I22140" s="1358"/>
    </row>
    <row r="22141" spans="8:9">
      <c r="H22141" s="1358"/>
      <c r="I22141" s="1358"/>
    </row>
    <row r="22142" spans="8:9">
      <c r="H22142" s="1358"/>
      <c r="I22142" s="1358"/>
    </row>
    <row r="22143" spans="8:9">
      <c r="H22143" s="1358"/>
      <c r="I22143" s="1358"/>
    </row>
    <row r="22144" spans="8:9">
      <c r="H22144" s="1358"/>
      <c r="I22144" s="1358"/>
    </row>
    <row r="22145" spans="8:9">
      <c r="H22145" s="1358"/>
      <c r="I22145" s="1358"/>
    </row>
    <row r="22146" spans="8:9">
      <c r="H22146" s="1358"/>
      <c r="I22146" s="1358"/>
    </row>
    <row r="22147" spans="8:9">
      <c r="H22147" s="1358"/>
      <c r="I22147" s="1358"/>
    </row>
    <row r="22148" spans="8:9">
      <c r="H22148" s="1358"/>
      <c r="I22148" s="1358"/>
    </row>
    <row r="22149" spans="8:9">
      <c r="H22149" s="1358"/>
      <c r="I22149" s="1358"/>
    </row>
    <row r="22150" spans="8:9">
      <c r="H22150" s="1358"/>
      <c r="I22150" s="1358"/>
    </row>
    <row r="22151" spans="8:9">
      <c r="H22151" s="1358"/>
      <c r="I22151" s="1358"/>
    </row>
    <row r="22152" spans="8:9">
      <c r="H22152" s="1358"/>
      <c r="I22152" s="1358"/>
    </row>
    <row r="22153" spans="8:9">
      <c r="H22153" s="1358"/>
      <c r="I22153" s="1358"/>
    </row>
    <row r="22154" spans="8:9">
      <c r="H22154" s="1358"/>
      <c r="I22154" s="1358"/>
    </row>
    <row r="22155" spans="8:9">
      <c r="H22155" s="1358"/>
      <c r="I22155" s="1358"/>
    </row>
    <row r="22156" spans="8:9">
      <c r="H22156" s="1358"/>
      <c r="I22156" s="1358"/>
    </row>
    <row r="22157" spans="8:9">
      <c r="H22157" s="1358"/>
      <c r="I22157" s="1358"/>
    </row>
    <row r="22158" spans="8:9">
      <c r="H22158" s="1358"/>
      <c r="I22158" s="1358"/>
    </row>
    <row r="22159" spans="8:9">
      <c r="H22159" s="1358"/>
      <c r="I22159" s="1358"/>
    </row>
    <row r="22160" spans="8:9">
      <c r="H22160" s="1358"/>
      <c r="I22160" s="1358"/>
    </row>
    <row r="22161" spans="8:9">
      <c r="H22161" s="1358"/>
      <c r="I22161" s="1358"/>
    </row>
    <row r="22162" spans="8:9">
      <c r="H22162" s="1358"/>
      <c r="I22162" s="1358"/>
    </row>
    <row r="22163" spans="8:9">
      <c r="H22163" s="1358"/>
      <c r="I22163" s="1358"/>
    </row>
    <row r="22164" spans="8:9">
      <c r="H22164" s="1358"/>
      <c r="I22164" s="1358"/>
    </row>
    <row r="22165" spans="8:9">
      <c r="H22165" s="1358"/>
      <c r="I22165" s="1358"/>
    </row>
    <row r="22166" spans="8:9">
      <c r="H22166" s="1358"/>
      <c r="I22166" s="1358"/>
    </row>
    <row r="22167" spans="8:9">
      <c r="H22167" s="1358"/>
      <c r="I22167" s="1358"/>
    </row>
    <row r="22168" spans="8:9">
      <c r="H22168" s="1358"/>
      <c r="I22168" s="1358"/>
    </row>
    <row r="22169" spans="8:9">
      <c r="H22169" s="1358"/>
      <c r="I22169" s="1358"/>
    </row>
    <row r="22170" spans="8:9">
      <c r="H22170" s="1358"/>
      <c r="I22170" s="1358"/>
    </row>
    <row r="22171" spans="8:9">
      <c r="H22171" s="1358"/>
      <c r="I22171" s="1358"/>
    </row>
    <row r="22172" spans="8:9">
      <c r="H22172" s="1358"/>
      <c r="I22172" s="1358"/>
    </row>
    <row r="22173" spans="8:9">
      <c r="H22173" s="1358"/>
      <c r="I22173" s="1358"/>
    </row>
    <row r="22174" spans="8:9">
      <c r="H22174" s="1358"/>
      <c r="I22174" s="1358"/>
    </row>
    <row r="22175" spans="8:9">
      <c r="H22175" s="1358"/>
      <c r="I22175" s="1358"/>
    </row>
    <row r="22176" spans="8:9">
      <c r="H22176" s="1358"/>
      <c r="I22176" s="1358"/>
    </row>
    <row r="22177" spans="8:9">
      <c r="H22177" s="1358"/>
      <c r="I22177" s="1358"/>
    </row>
    <row r="22178" spans="8:9">
      <c r="H22178" s="1358"/>
      <c r="I22178" s="1358"/>
    </row>
    <row r="22179" spans="8:9">
      <c r="H22179" s="1358"/>
      <c r="I22179" s="1358"/>
    </row>
    <row r="22180" spans="8:9">
      <c r="H22180" s="1358"/>
      <c r="I22180" s="1358"/>
    </row>
    <row r="22181" spans="8:9">
      <c r="H22181" s="1358"/>
      <c r="I22181" s="1358"/>
    </row>
    <row r="22182" spans="8:9">
      <c r="H22182" s="1358"/>
      <c r="I22182" s="1358"/>
    </row>
    <row r="22183" spans="8:9">
      <c r="H22183" s="1358"/>
      <c r="I22183" s="1358"/>
    </row>
    <row r="22184" spans="8:9">
      <c r="H22184" s="1358"/>
      <c r="I22184" s="1358"/>
    </row>
    <row r="22185" spans="8:9">
      <c r="H22185" s="1358"/>
      <c r="I22185" s="1358"/>
    </row>
    <row r="22186" spans="8:9">
      <c r="H22186" s="1358"/>
      <c r="I22186" s="1358"/>
    </row>
    <row r="22187" spans="8:9">
      <c r="H22187" s="1358"/>
      <c r="I22187" s="1358"/>
    </row>
    <row r="22188" spans="8:9">
      <c r="H22188" s="1358"/>
      <c r="I22188" s="1358"/>
    </row>
    <row r="22189" spans="8:9">
      <c r="H22189" s="1358"/>
      <c r="I22189" s="1358"/>
    </row>
    <row r="22190" spans="8:9">
      <c r="H22190" s="1358"/>
      <c r="I22190" s="1358"/>
    </row>
    <row r="22191" spans="8:9">
      <c r="H22191" s="1358"/>
      <c r="I22191" s="1358"/>
    </row>
    <row r="22192" spans="8:9">
      <c r="H22192" s="1358"/>
      <c r="I22192" s="1358"/>
    </row>
    <row r="22193" spans="8:9">
      <c r="H22193" s="1358"/>
      <c r="I22193" s="1358"/>
    </row>
    <row r="22194" spans="8:9">
      <c r="H22194" s="1358"/>
      <c r="I22194" s="1358"/>
    </row>
    <row r="22195" spans="8:9">
      <c r="H22195" s="1358"/>
      <c r="I22195" s="1358"/>
    </row>
    <row r="22196" spans="8:9">
      <c r="H22196" s="1358"/>
      <c r="I22196" s="1358"/>
    </row>
    <row r="22197" spans="8:9">
      <c r="H22197" s="1358"/>
      <c r="I22197" s="1358"/>
    </row>
    <row r="22198" spans="8:9">
      <c r="H22198" s="1358"/>
      <c r="I22198" s="1358"/>
    </row>
    <row r="22199" spans="8:9">
      <c r="H22199" s="1358"/>
      <c r="I22199" s="1358"/>
    </row>
    <row r="22200" spans="8:9">
      <c r="H22200" s="1358"/>
      <c r="I22200" s="1358"/>
    </row>
    <row r="22201" spans="8:9">
      <c r="H22201" s="1358"/>
      <c r="I22201" s="1358"/>
    </row>
    <row r="22202" spans="8:9">
      <c r="H22202" s="1358"/>
      <c r="I22202" s="1358"/>
    </row>
    <row r="22203" spans="8:9">
      <c r="H22203" s="1358"/>
      <c r="I22203" s="1358"/>
    </row>
    <row r="22204" spans="8:9">
      <c r="H22204" s="1358"/>
      <c r="I22204" s="1358"/>
    </row>
    <row r="22205" spans="8:9">
      <c r="H22205" s="1358"/>
      <c r="I22205" s="1358"/>
    </row>
    <row r="22206" spans="8:9">
      <c r="H22206" s="1358"/>
      <c r="I22206" s="1358"/>
    </row>
    <row r="22207" spans="8:9">
      <c r="H22207" s="1358"/>
      <c r="I22207" s="1358"/>
    </row>
    <row r="22208" spans="8:9">
      <c r="H22208" s="1358"/>
      <c r="I22208" s="1358"/>
    </row>
    <row r="22209" spans="8:9">
      <c r="H22209" s="1358"/>
      <c r="I22209" s="1358"/>
    </row>
    <row r="22210" spans="8:9">
      <c r="H22210" s="1358"/>
      <c r="I22210" s="1358"/>
    </row>
    <row r="22211" spans="8:9">
      <c r="H22211" s="1358"/>
      <c r="I22211" s="1358"/>
    </row>
    <row r="22212" spans="8:9">
      <c r="H22212" s="1358"/>
      <c r="I22212" s="1358"/>
    </row>
    <row r="22213" spans="8:9">
      <c r="H22213" s="1358"/>
      <c r="I22213" s="1358"/>
    </row>
    <row r="22214" spans="8:9">
      <c r="H22214" s="1358"/>
      <c r="I22214" s="1358"/>
    </row>
    <row r="22215" spans="8:9">
      <c r="H22215" s="1358"/>
      <c r="I22215" s="1358"/>
    </row>
    <row r="22216" spans="8:9">
      <c r="H22216" s="1358"/>
      <c r="I22216" s="1358"/>
    </row>
    <row r="22217" spans="8:9">
      <c r="H22217" s="1358"/>
      <c r="I22217" s="1358"/>
    </row>
    <row r="22218" spans="8:9">
      <c r="H22218" s="1358"/>
      <c r="I22218" s="1358"/>
    </row>
    <row r="22219" spans="8:9">
      <c r="H22219" s="1358"/>
      <c r="I22219" s="1358"/>
    </row>
    <row r="22220" spans="8:9">
      <c r="H22220" s="1358"/>
      <c r="I22220" s="1358"/>
    </row>
    <row r="22221" spans="8:9">
      <c r="H22221" s="1358"/>
      <c r="I22221" s="1358"/>
    </row>
    <row r="22222" spans="8:9">
      <c r="H22222" s="1358"/>
      <c r="I22222" s="1358"/>
    </row>
    <row r="22223" spans="8:9">
      <c r="H22223" s="1358"/>
      <c r="I22223" s="1358"/>
    </row>
    <row r="22224" spans="8:9">
      <c r="H22224" s="1358"/>
      <c r="I22224" s="1358"/>
    </row>
    <row r="22225" spans="8:9">
      <c r="H22225" s="1358"/>
      <c r="I22225" s="1358"/>
    </row>
    <row r="22226" spans="8:9">
      <c r="H22226" s="1358"/>
      <c r="I22226" s="1358"/>
    </row>
    <row r="22227" spans="8:9">
      <c r="H22227" s="1358"/>
      <c r="I22227" s="1358"/>
    </row>
    <row r="22228" spans="8:9">
      <c r="H22228" s="1358"/>
      <c r="I22228" s="1358"/>
    </row>
    <row r="22229" spans="8:9">
      <c r="H22229" s="1358"/>
      <c r="I22229" s="1358"/>
    </row>
    <row r="22230" spans="8:9">
      <c r="H22230" s="1358"/>
      <c r="I22230" s="1358"/>
    </row>
    <row r="22231" spans="8:9">
      <c r="H22231" s="1358"/>
      <c r="I22231" s="1358"/>
    </row>
    <row r="22232" spans="8:9">
      <c r="H22232" s="1358"/>
      <c r="I22232" s="1358"/>
    </row>
    <row r="22233" spans="8:9">
      <c r="H22233" s="1358"/>
      <c r="I22233" s="1358"/>
    </row>
    <row r="22234" spans="8:9">
      <c r="H22234" s="1358"/>
      <c r="I22234" s="1358"/>
    </row>
    <row r="22235" spans="8:9">
      <c r="H22235" s="1358"/>
      <c r="I22235" s="1358"/>
    </row>
    <row r="22236" spans="8:9">
      <c r="H22236" s="1358"/>
      <c r="I22236" s="1358"/>
    </row>
    <row r="22237" spans="8:9">
      <c r="H22237" s="1358"/>
      <c r="I22237" s="1358"/>
    </row>
    <row r="22238" spans="8:9">
      <c r="H22238" s="1358"/>
      <c r="I22238" s="1358"/>
    </row>
    <row r="22239" spans="8:9">
      <c r="H22239" s="1358"/>
      <c r="I22239" s="1358"/>
    </row>
    <row r="22240" spans="8:9">
      <c r="H22240" s="1358"/>
      <c r="I22240" s="1358"/>
    </row>
    <row r="22241" spans="8:9">
      <c r="H22241" s="1358"/>
      <c r="I22241" s="1358"/>
    </row>
    <row r="22242" spans="8:9">
      <c r="H22242" s="1358"/>
      <c r="I22242" s="1358"/>
    </row>
    <row r="22243" spans="8:9">
      <c r="H22243" s="1358"/>
      <c r="I22243" s="1358"/>
    </row>
    <row r="22244" spans="8:9">
      <c r="H22244" s="1358"/>
      <c r="I22244" s="1358"/>
    </row>
    <row r="22245" spans="8:9">
      <c r="H22245" s="1358"/>
      <c r="I22245" s="1358"/>
    </row>
    <row r="22246" spans="8:9">
      <c r="H22246" s="1358"/>
      <c r="I22246" s="1358"/>
    </row>
    <row r="22247" spans="8:9">
      <c r="H22247" s="1358"/>
      <c r="I22247" s="1358"/>
    </row>
    <row r="22248" spans="8:9">
      <c r="H22248" s="1358"/>
      <c r="I22248" s="1358"/>
    </row>
    <row r="22249" spans="8:9">
      <c r="H22249" s="1358"/>
      <c r="I22249" s="1358"/>
    </row>
    <row r="22250" spans="8:9">
      <c r="H22250" s="1358"/>
      <c r="I22250" s="1358"/>
    </row>
    <row r="22251" spans="8:9">
      <c r="H22251" s="1358"/>
      <c r="I22251" s="1358"/>
    </row>
    <row r="22252" spans="8:9">
      <c r="H22252" s="1358"/>
      <c r="I22252" s="1358"/>
    </row>
    <row r="22253" spans="8:9">
      <c r="H22253" s="1358"/>
      <c r="I22253" s="1358"/>
    </row>
    <row r="22254" spans="8:9">
      <c r="H22254" s="1358"/>
      <c r="I22254" s="1358"/>
    </row>
    <row r="22255" spans="8:9">
      <c r="H22255" s="1358"/>
      <c r="I22255" s="1358"/>
    </row>
    <row r="22256" spans="8:9">
      <c r="H22256" s="1358"/>
      <c r="I22256" s="1358"/>
    </row>
    <row r="22257" spans="8:9">
      <c r="H22257" s="1358"/>
      <c r="I22257" s="1358"/>
    </row>
    <row r="22258" spans="8:9">
      <c r="H22258" s="1358"/>
      <c r="I22258" s="1358"/>
    </row>
    <row r="22259" spans="8:9">
      <c r="H22259" s="1358"/>
      <c r="I22259" s="1358"/>
    </row>
    <row r="22260" spans="8:9">
      <c r="H22260" s="1358"/>
      <c r="I22260" s="1358"/>
    </row>
    <row r="22261" spans="8:9">
      <c r="H22261" s="1358"/>
      <c r="I22261" s="1358"/>
    </row>
    <row r="22262" spans="8:9">
      <c r="H22262" s="1358"/>
      <c r="I22262" s="1358"/>
    </row>
    <row r="22263" spans="8:9">
      <c r="H22263" s="1358"/>
      <c r="I22263" s="1358"/>
    </row>
    <row r="22264" spans="8:9">
      <c r="H22264" s="1358"/>
      <c r="I22264" s="1358"/>
    </row>
    <row r="22265" spans="8:9">
      <c r="H22265" s="1358"/>
      <c r="I22265" s="1358"/>
    </row>
    <row r="22266" spans="8:9">
      <c r="H22266" s="1358"/>
      <c r="I22266" s="1358"/>
    </row>
    <row r="22267" spans="8:9">
      <c r="H22267" s="1358"/>
      <c r="I22267" s="1358"/>
    </row>
    <row r="22268" spans="8:9">
      <c r="H22268" s="1358"/>
      <c r="I22268" s="1358"/>
    </row>
    <row r="22269" spans="8:9">
      <c r="H22269" s="1358"/>
      <c r="I22269" s="1358"/>
    </row>
    <row r="22270" spans="8:9">
      <c r="H22270" s="1358"/>
      <c r="I22270" s="1358"/>
    </row>
    <row r="22271" spans="8:9">
      <c r="H22271" s="1358"/>
      <c r="I22271" s="1358"/>
    </row>
    <row r="22272" spans="8:9">
      <c r="H22272" s="1358"/>
      <c r="I22272" s="1358"/>
    </row>
    <row r="22273" spans="8:9">
      <c r="H22273" s="1358"/>
      <c r="I22273" s="1358"/>
    </row>
    <row r="22274" spans="8:9">
      <c r="H22274" s="1358"/>
      <c r="I22274" s="1358"/>
    </row>
    <row r="22275" spans="8:9">
      <c r="H22275" s="1358"/>
      <c r="I22275" s="1358"/>
    </row>
    <row r="22276" spans="8:9">
      <c r="H22276" s="1358"/>
      <c r="I22276" s="1358"/>
    </row>
    <row r="22277" spans="8:9">
      <c r="H22277" s="1358"/>
      <c r="I22277" s="1358"/>
    </row>
    <row r="22278" spans="8:9">
      <c r="H22278" s="1358"/>
      <c r="I22278" s="1358"/>
    </row>
    <row r="22279" spans="8:9">
      <c r="H22279" s="1358"/>
      <c r="I22279" s="1358"/>
    </row>
    <row r="22280" spans="8:9">
      <c r="H22280" s="1358"/>
      <c r="I22280" s="1358"/>
    </row>
    <row r="22281" spans="8:9">
      <c r="H22281" s="1358"/>
      <c r="I22281" s="1358"/>
    </row>
    <row r="22282" spans="8:9">
      <c r="H22282" s="1358"/>
      <c r="I22282" s="1358"/>
    </row>
    <row r="22283" spans="8:9">
      <c r="H22283" s="1358"/>
      <c r="I22283" s="1358"/>
    </row>
    <row r="22284" spans="8:9">
      <c r="H22284" s="1358"/>
      <c r="I22284" s="1358"/>
    </row>
    <row r="22285" spans="8:9">
      <c r="H22285" s="1358"/>
      <c r="I22285" s="1358"/>
    </row>
    <row r="22286" spans="8:9">
      <c r="H22286" s="1358"/>
      <c r="I22286" s="1358"/>
    </row>
    <row r="22287" spans="8:9">
      <c r="H22287" s="1358"/>
      <c r="I22287" s="1358"/>
    </row>
    <row r="22288" spans="8:9">
      <c r="H22288" s="1358"/>
      <c r="I22288" s="1358"/>
    </row>
    <row r="22289" spans="8:9">
      <c r="H22289" s="1358"/>
      <c r="I22289" s="1358"/>
    </row>
    <row r="22290" spans="8:9">
      <c r="H22290" s="1358"/>
      <c r="I22290" s="1358"/>
    </row>
    <row r="22291" spans="8:9">
      <c r="H22291" s="1358"/>
      <c r="I22291" s="1358"/>
    </row>
    <row r="22292" spans="8:9">
      <c r="H22292" s="1358"/>
      <c r="I22292" s="1358"/>
    </row>
    <row r="22293" spans="8:9">
      <c r="H22293" s="1358"/>
      <c r="I22293" s="1358"/>
    </row>
    <row r="22294" spans="8:9">
      <c r="H22294" s="1358"/>
      <c r="I22294" s="1358"/>
    </row>
    <row r="22295" spans="8:9">
      <c r="H22295" s="1358"/>
      <c r="I22295" s="1358"/>
    </row>
    <row r="22296" spans="8:9">
      <c r="H22296" s="1358"/>
      <c r="I22296" s="1358"/>
    </row>
    <row r="22297" spans="8:9">
      <c r="H22297" s="1358"/>
      <c r="I22297" s="1358"/>
    </row>
    <row r="22298" spans="8:9">
      <c r="H22298" s="1358"/>
      <c r="I22298" s="1358"/>
    </row>
    <row r="22299" spans="8:9">
      <c r="H22299" s="1358"/>
      <c r="I22299" s="1358"/>
    </row>
    <row r="22300" spans="8:9">
      <c r="H22300" s="1358"/>
      <c r="I22300" s="1358"/>
    </row>
    <row r="22301" spans="8:9">
      <c r="H22301" s="1358"/>
      <c r="I22301" s="1358"/>
    </row>
    <row r="22302" spans="8:9">
      <c r="H22302" s="1358"/>
      <c r="I22302" s="1358"/>
    </row>
    <row r="22303" spans="8:9">
      <c r="H22303" s="1358"/>
      <c r="I22303" s="1358"/>
    </row>
    <row r="22304" spans="8:9">
      <c r="H22304" s="1358"/>
      <c r="I22304" s="1358"/>
    </row>
    <row r="22305" spans="8:9">
      <c r="H22305" s="1358"/>
      <c r="I22305" s="1358"/>
    </row>
    <row r="22306" spans="8:9">
      <c r="H22306" s="1358"/>
      <c r="I22306" s="1358"/>
    </row>
    <row r="22307" spans="8:9">
      <c r="H22307" s="1358"/>
      <c r="I22307" s="1358"/>
    </row>
    <row r="22308" spans="8:9">
      <c r="H22308" s="1358"/>
      <c r="I22308" s="1358"/>
    </row>
    <row r="22309" spans="8:9">
      <c r="H22309" s="1358"/>
      <c r="I22309" s="1358"/>
    </row>
    <row r="22310" spans="8:9">
      <c r="H22310" s="1358"/>
      <c r="I22310" s="1358"/>
    </row>
    <row r="22311" spans="8:9">
      <c r="H22311" s="1358"/>
      <c r="I22311" s="1358"/>
    </row>
    <row r="22312" spans="8:9">
      <c r="H22312" s="1358"/>
      <c r="I22312" s="1358"/>
    </row>
    <row r="22313" spans="8:9">
      <c r="H22313" s="1358"/>
      <c r="I22313" s="1358"/>
    </row>
    <row r="22314" spans="8:9">
      <c r="H22314" s="1358"/>
      <c r="I22314" s="1358"/>
    </row>
    <row r="22315" spans="8:9">
      <c r="H22315" s="1358"/>
      <c r="I22315" s="1358"/>
    </row>
    <row r="22316" spans="8:9">
      <c r="H22316" s="1358"/>
      <c r="I22316" s="1358"/>
    </row>
    <row r="22317" spans="8:9">
      <c r="H22317" s="1358"/>
      <c r="I22317" s="1358"/>
    </row>
    <row r="22318" spans="8:9">
      <c r="H22318" s="1358"/>
      <c r="I22318" s="1358"/>
    </row>
    <row r="22319" spans="8:9">
      <c r="H22319" s="1358"/>
      <c r="I22319" s="1358"/>
    </row>
    <row r="22320" spans="8:9">
      <c r="H22320" s="1358"/>
      <c r="I22320" s="1358"/>
    </row>
    <row r="22321" spans="8:9">
      <c r="H22321" s="1358"/>
      <c r="I22321" s="1358"/>
    </row>
    <row r="22322" spans="8:9">
      <c r="H22322" s="1358"/>
      <c r="I22322" s="1358"/>
    </row>
    <row r="22323" spans="8:9">
      <c r="H22323" s="1358"/>
      <c r="I22323" s="1358"/>
    </row>
    <row r="22324" spans="8:9">
      <c r="H22324" s="1358"/>
      <c r="I22324" s="1358"/>
    </row>
    <row r="22325" spans="8:9">
      <c r="H22325" s="1358"/>
      <c r="I22325" s="1358"/>
    </row>
    <row r="22326" spans="8:9">
      <c r="H22326" s="1358"/>
      <c r="I22326" s="1358"/>
    </row>
    <row r="22327" spans="8:9">
      <c r="H22327" s="1358"/>
      <c r="I22327" s="1358"/>
    </row>
    <row r="22328" spans="8:9">
      <c r="H22328" s="1358"/>
      <c r="I22328" s="1358"/>
    </row>
    <row r="22329" spans="8:9">
      <c r="H22329" s="1358"/>
      <c r="I22329" s="1358"/>
    </row>
    <row r="22330" spans="8:9">
      <c r="H22330" s="1358"/>
      <c r="I22330" s="1358"/>
    </row>
    <row r="22331" spans="8:9">
      <c r="H22331" s="1358"/>
      <c r="I22331" s="1358"/>
    </row>
    <row r="22332" spans="8:9">
      <c r="H22332" s="1358"/>
      <c r="I22332" s="1358"/>
    </row>
    <row r="22333" spans="8:9">
      <c r="H22333" s="1358"/>
      <c r="I22333" s="1358"/>
    </row>
    <row r="22334" spans="8:9">
      <c r="H22334" s="1358"/>
      <c r="I22334" s="1358"/>
    </row>
    <row r="22335" spans="8:9">
      <c r="H22335" s="1358"/>
      <c r="I22335" s="1358"/>
    </row>
    <row r="22336" spans="8:9">
      <c r="H22336" s="1358"/>
      <c r="I22336" s="1358"/>
    </row>
    <row r="22337" spans="8:9">
      <c r="H22337" s="1358"/>
      <c r="I22337" s="1358"/>
    </row>
    <row r="22338" spans="8:9">
      <c r="H22338" s="1358"/>
      <c r="I22338" s="1358"/>
    </row>
    <row r="22339" spans="8:9">
      <c r="H22339" s="1358"/>
      <c r="I22339" s="1358"/>
    </row>
    <row r="22340" spans="8:9">
      <c r="H22340" s="1358"/>
      <c r="I22340" s="1358"/>
    </row>
    <row r="22341" spans="8:9">
      <c r="H22341" s="1358"/>
      <c r="I22341" s="1358"/>
    </row>
    <row r="22342" spans="8:9">
      <c r="H22342" s="1358"/>
      <c r="I22342" s="1358"/>
    </row>
    <row r="22343" spans="8:9">
      <c r="H22343" s="1358"/>
      <c r="I22343" s="1358"/>
    </row>
    <row r="22344" spans="8:9">
      <c r="H22344" s="1358"/>
      <c r="I22344" s="1358"/>
    </row>
    <row r="22345" spans="8:9">
      <c r="H22345" s="1358"/>
      <c r="I22345" s="1358"/>
    </row>
    <row r="22346" spans="8:9">
      <c r="H22346" s="1358"/>
      <c r="I22346" s="1358"/>
    </row>
    <row r="22347" spans="8:9">
      <c r="H22347" s="1358"/>
      <c r="I22347" s="1358"/>
    </row>
    <row r="22348" spans="8:9">
      <c r="H22348" s="1358"/>
      <c r="I22348" s="1358"/>
    </row>
    <row r="22349" spans="8:9">
      <c r="H22349" s="1358"/>
      <c r="I22349" s="1358"/>
    </row>
    <row r="22350" spans="8:9">
      <c r="H22350" s="1358"/>
      <c r="I22350" s="1358"/>
    </row>
    <row r="22351" spans="8:9">
      <c r="H22351" s="1358"/>
      <c r="I22351" s="1358"/>
    </row>
    <row r="22352" spans="8:9">
      <c r="H22352" s="1358"/>
      <c r="I22352" s="1358"/>
    </row>
    <row r="22353" spans="8:9">
      <c r="H22353" s="1358"/>
      <c r="I22353" s="1358"/>
    </row>
    <row r="22354" spans="8:9">
      <c r="H22354" s="1358"/>
      <c r="I22354" s="1358"/>
    </row>
    <row r="22355" spans="8:9">
      <c r="H22355" s="1358"/>
      <c r="I22355" s="1358"/>
    </row>
    <row r="22356" spans="8:9">
      <c r="H22356" s="1358"/>
      <c r="I22356" s="1358"/>
    </row>
    <row r="22357" spans="8:9">
      <c r="H22357" s="1358"/>
      <c r="I22357" s="1358"/>
    </row>
    <row r="22358" spans="8:9">
      <c r="H22358" s="1358"/>
      <c r="I22358" s="1358"/>
    </row>
    <row r="22359" spans="8:9">
      <c r="H22359" s="1358"/>
      <c r="I22359" s="1358"/>
    </row>
    <row r="22360" spans="8:9">
      <c r="H22360" s="1358"/>
      <c r="I22360" s="1358"/>
    </row>
    <row r="22361" spans="8:9">
      <c r="H22361" s="1358"/>
      <c r="I22361" s="1358"/>
    </row>
    <row r="22362" spans="8:9">
      <c r="H22362" s="1358"/>
      <c r="I22362" s="1358"/>
    </row>
    <row r="22363" spans="8:9">
      <c r="H22363" s="1358"/>
      <c r="I22363" s="1358"/>
    </row>
    <row r="22364" spans="8:9">
      <c r="H22364" s="1358"/>
      <c r="I22364" s="1358"/>
    </row>
    <row r="22365" spans="8:9">
      <c r="H22365" s="1358"/>
      <c r="I22365" s="1358"/>
    </row>
    <row r="22366" spans="8:9">
      <c r="H22366" s="1358"/>
      <c r="I22366" s="1358"/>
    </row>
    <row r="22367" spans="8:9">
      <c r="H22367" s="1358"/>
      <c r="I22367" s="1358"/>
    </row>
    <row r="22368" spans="8:9">
      <c r="H22368" s="1358"/>
      <c r="I22368" s="1358"/>
    </row>
    <row r="22369" spans="8:9">
      <c r="H22369" s="1358"/>
      <c r="I22369" s="1358"/>
    </row>
    <row r="22370" spans="8:9">
      <c r="H22370" s="1358"/>
      <c r="I22370" s="1358"/>
    </row>
    <row r="22371" spans="8:9">
      <c r="H22371" s="1358"/>
      <c r="I22371" s="1358"/>
    </row>
    <row r="22372" spans="8:9">
      <c r="H22372" s="1358"/>
      <c r="I22372" s="1358"/>
    </row>
    <row r="22373" spans="8:9">
      <c r="H22373" s="1358"/>
      <c r="I22373" s="1358"/>
    </row>
    <row r="22374" spans="8:9">
      <c r="H22374" s="1358"/>
      <c r="I22374" s="1358"/>
    </row>
    <row r="22375" spans="8:9">
      <c r="H22375" s="1358"/>
      <c r="I22375" s="1358"/>
    </row>
    <row r="22376" spans="8:9">
      <c r="H22376" s="1358"/>
      <c r="I22376" s="1358"/>
    </row>
    <row r="22377" spans="8:9">
      <c r="H22377" s="1358"/>
      <c r="I22377" s="1358"/>
    </row>
    <row r="22378" spans="8:9">
      <c r="H22378" s="1358"/>
      <c r="I22378" s="1358"/>
    </row>
    <row r="22379" spans="8:9">
      <c r="H22379" s="1358"/>
      <c r="I22379" s="1358"/>
    </row>
    <row r="22380" spans="8:9">
      <c r="H22380" s="1358"/>
      <c r="I22380" s="1358"/>
    </row>
    <row r="22381" spans="8:9">
      <c r="H22381" s="1358"/>
      <c r="I22381" s="1358"/>
    </row>
    <row r="22382" spans="8:9">
      <c r="H22382" s="1358"/>
      <c r="I22382" s="1358"/>
    </row>
    <row r="22383" spans="8:9">
      <c r="H22383" s="1358"/>
      <c r="I22383" s="1358"/>
    </row>
    <row r="22384" spans="8:9">
      <c r="H22384" s="1358"/>
      <c r="I22384" s="1358"/>
    </row>
    <row r="22385" spans="8:9">
      <c r="H22385" s="1358"/>
      <c r="I22385" s="1358"/>
    </row>
    <row r="22386" spans="8:9">
      <c r="H22386" s="1358"/>
      <c r="I22386" s="1358"/>
    </row>
    <row r="22387" spans="8:9">
      <c r="H22387" s="1358"/>
      <c r="I22387" s="1358"/>
    </row>
    <row r="22388" spans="8:9">
      <c r="H22388" s="1358"/>
      <c r="I22388" s="1358"/>
    </row>
    <row r="22389" spans="8:9">
      <c r="H22389" s="1358"/>
      <c r="I22389" s="1358"/>
    </row>
    <row r="22390" spans="8:9">
      <c r="H22390" s="1358"/>
      <c r="I22390" s="1358"/>
    </row>
    <row r="22391" spans="8:9">
      <c r="H22391" s="1358"/>
      <c r="I22391" s="1358"/>
    </row>
    <row r="22392" spans="8:9">
      <c r="H22392" s="1358"/>
      <c r="I22392" s="1358"/>
    </row>
    <row r="22393" spans="8:9">
      <c r="H22393" s="1358"/>
      <c r="I22393" s="1358"/>
    </row>
    <row r="22394" spans="8:9">
      <c r="H22394" s="1358"/>
      <c r="I22394" s="1358"/>
    </row>
    <row r="22395" spans="8:9">
      <c r="H22395" s="1358"/>
      <c r="I22395" s="1358"/>
    </row>
    <row r="22396" spans="8:9">
      <c r="H22396" s="1358"/>
      <c r="I22396" s="1358"/>
    </row>
    <row r="22397" spans="8:9">
      <c r="H22397" s="1358"/>
      <c r="I22397" s="1358"/>
    </row>
    <row r="22398" spans="8:9">
      <c r="H22398" s="1358"/>
      <c r="I22398" s="1358"/>
    </row>
    <row r="22399" spans="8:9">
      <c r="H22399" s="1358"/>
      <c r="I22399" s="1358"/>
    </row>
    <row r="22400" spans="8:9">
      <c r="H22400" s="1358"/>
      <c r="I22400" s="1358"/>
    </row>
    <row r="22401" spans="8:9">
      <c r="H22401" s="1358"/>
      <c r="I22401" s="1358"/>
    </row>
    <row r="22402" spans="8:9">
      <c r="H22402" s="1358"/>
      <c r="I22402" s="1358"/>
    </row>
    <row r="22403" spans="8:9">
      <c r="H22403" s="1358"/>
      <c r="I22403" s="1358"/>
    </row>
    <row r="22404" spans="8:9">
      <c r="H22404" s="1358"/>
      <c r="I22404" s="1358"/>
    </row>
    <row r="22405" spans="8:9">
      <c r="H22405" s="1358"/>
      <c r="I22405" s="1358"/>
    </row>
    <row r="22406" spans="8:9">
      <c r="H22406" s="1358"/>
      <c r="I22406" s="1358"/>
    </row>
    <row r="22407" spans="8:9">
      <c r="H22407" s="1358"/>
      <c r="I22407" s="1358"/>
    </row>
    <row r="22408" spans="8:9">
      <c r="H22408" s="1358"/>
      <c r="I22408" s="1358"/>
    </row>
    <row r="22409" spans="8:9">
      <c r="H22409" s="1358"/>
      <c r="I22409" s="1358"/>
    </row>
    <row r="22410" spans="8:9">
      <c r="H22410" s="1358"/>
      <c r="I22410" s="1358"/>
    </row>
    <row r="22411" spans="8:9">
      <c r="H22411" s="1358"/>
      <c r="I22411" s="1358"/>
    </row>
    <row r="22412" spans="8:9">
      <c r="H22412" s="1358"/>
      <c r="I22412" s="1358"/>
    </row>
    <row r="22413" spans="8:9">
      <c r="H22413" s="1358"/>
      <c r="I22413" s="1358"/>
    </row>
    <row r="22414" spans="8:9">
      <c r="H22414" s="1358"/>
      <c r="I22414" s="1358"/>
    </row>
    <row r="22415" spans="8:9">
      <c r="H22415" s="1358"/>
      <c r="I22415" s="1358"/>
    </row>
    <row r="22416" spans="8:9">
      <c r="H22416" s="1358"/>
      <c r="I22416" s="1358"/>
    </row>
    <row r="22417" spans="8:9">
      <c r="H22417" s="1358"/>
      <c r="I22417" s="1358"/>
    </row>
    <row r="22418" spans="8:9">
      <c r="H22418" s="1358"/>
      <c r="I22418" s="1358"/>
    </row>
    <row r="22419" spans="8:9">
      <c r="H22419" s="1358"/>
      <c r="I22419" s="1358"/>
    </row>
    <row r="22420" spans="8:9">
      <c r="H22420" s="1358"/>
      <c r="I22420" s="1358"/>
    </row>
    <row r="22421" spans="8:9">
      <c r="H22421" s="1358"/>
      <c r="I22421" s="1358"/>
    </row>
    <row r="22422" spans="8:9">
      <c r="H22422" s="1358"/>
      <c r="I22422" s="1358"/>
    </row>
    <row r="22423" spans="8:9">
      <c r="H22423" s="1358"/>
      <c r="I22423" s="1358"/>
    </row>
    <row r="22424" spans="8:9">
      <c r="H22424" s="1358"/>
      <c r="I22424" s="1358"/>
    </row>
    <row r="22425" spans="8:9">
      <c r="H22425" s="1358"/>
      <c r="I22425" s="1358"/>
    </row>
    <row r="22426" spans="8:9">
      <c r="H22426" s="1358"/>
      <c r="I22426" s="1358"/>
    </row>
    <row r="22427" spans="8:9">
      <c r="H22427" s="1358"/>
      <c r="I22427" s="1358"/>
    </row>
    <row r="22428" spans="8:9">
      <c r="H22428" s="1358"/>
      <c r="I22428" s="1358"/>
    </row>
    <row r="22429" spans="8:9">
      <c r="H22429" s="1358"/>
      <c r="I22429" s="1358"/>
    </row>
    <row r="22430" spans="8:9">
      <c r="H22430" s="1358"/>
      <c r="I22430" s="1358"/>
    </row>
    <row r="22431" spans="8:9">
      <c r="H22431" s="1358"/>
      <c r="I22431" s="1358"/>
    </row>
    <row r="22432" spans="8:9">
      <c r="H22432" s="1358"/>
      <c r="I22432" s="1358"/>
    </row>
    <row r="22433" spans="8:9">
      <c r="H22433" s="1358"/>
      <c r="I22433" s="1358"/>
    </row>
    <row r="22434" spans="8:9">
      <c r="H22434" s="1358"/>
      <c r="I22434" s="1358"/>
    </row>
    <row r="22435" spans="8:9">
      <c r="H22435" s="1358"/>
      <c r="I22435" s="1358"/>
    </row>
    <row r="22436" spans="8:9">
      <c r="H22436" s="1358"/>
      <c r="I22436" s="1358"/>
    </row>
    <row r="22437" spans="8:9">
      <c r="H22437" s="1358"/>
      <c r="I22437" s="1358"/>
    </row>
    <row r="22438" spans="8:9">
      <c r="H22438" s="1358"/>
      <c r="I22438" s="1358"/>
    </row>
    <row r="22439" spans="8:9">
      <c r="H22439" s="1358"/>
      <c r="I22439" s="1358"/>
    </row>
    <row r="22440" spans="8:9">
      <c r="H22440" s="1358"/>
      <c r="I22440" s="1358"/>
    </row>
    <row r="22441" spans="8:9">
      <c r="H22441" s="1358"/>
      <c r="I22441" s="1358"/>
    </row>
    <row r="22442" spans="8:9">
      <c r="H22442" s="1358"/>
      <c r="I22442" s="1358"/>
    </row>
    <row r="22443" spans="8:9">
      <c r="H22443" s="1358"/>
      <c r="I22443" s="1358"/>
    </row>
    <row r="22444" spans="8:9">
      <c r="H22444" s="1358"/>
      <c r="I22444" s="1358"/>
    </row>
    <row r="22445" spans="8:9">
      <c r="H22445" s="1358"/>
      <c r="I22445" s="1358"/>
    </row>
    <row r="22446" spans="8:9">
      <c r="H22446" s="1358"/>
      <c r="I22446" s="1358"/>
    </row>
    <row r="22447" spans="8:9">
      <c r="H22447" s="1358"/>
      <c r="I22447" s="1358"/>
    </row>
    <row r="22448" spans="8:9">
      <c r="H22448" s="1358"/>
      <c r="I22448" s="1358"/>
    </row>
    <row r="22449" spans="8:9">
      <c r="H22449" s="1358"/>
      <c r="I22449" s="1358"/>
    </row>
    <row r="22450" spans="8:9">
      <c r="H22450" s="1358"/>
      <c r="I22450" s="1358"/>
    </row>
    <row r="22451" spans="8:9">
      <c r="H22451" s="1358"/>
      <c r="I22451" s="1358"/>
    </row>
    <row r="22452" spans="8:9">
      <c r="H22452" s="1358"/>
      <c r="I22452" s="1358"/>
    </row>
    <row r="22453" spans="8:9">
      <c r="H22453" s="1358"/>
      <c r="I22453" s="1358"/>
    </row>
    <row r="22454" spans="8:9">
      <c r="H22454" s="1358"/>
      <c r="I22454" s="1358"/>
    </row>
    <row r="22455" spans="8:9">
      <c r="H22455" s="1358"/>
      <c r="I22455" s="1358"/>
    </row>
    <row r="22456" spans="8:9">
      <c r="H22456" s="1358"/>
      <c r="I22456" s="1358"/>
    </row>
    <row r="22457" spans="8:9">
      <c r="H22457" s="1358"/>
      <c r="I22457" s="1358"/>
    </row>
    <row r="22458" spans="8:9">
      <c r="H22458" s="1358"/>
      <c r="I22458" s="1358"/>
    </row>
    <row r="22459" spans="8:9">
      <c r="H22459" s="1358"/>
      <c r="I22459" s="1358"/>
    </row>
    <row r="22460" spans="8:9">
      <c r="H22460" s="1358"/>
      <c r="I22460" s="1358"/>
    </row>
    <row r="22461" spans="8:9">
      <c r="H22461" s="1358"/>
      <c r="I22461" s="1358"/>
    </row>
    <row r="22462" spans="8:9">
      <c r="H22462" s="1358"/>
      <c r="I22462" s="1358"/>
    </row>
    <row r="22463" spans="8:9">
      <c r="H22463" s="1358"/>
      <c r="I22463" s="1358"/>
    </row>
    <row r="22464" spans="8:9">
      <c r="H22464" s="1358"/>
      <c r="I22464" s="1358"/>
    </row>
    <row r="22465" spans="8:9">
      <c r="H22465" s="1358"/>
      <c r="I22465" s="1358"/>
    </row>
    <row r="22466" spans="8:9">
      <c r="H22466" s="1358"/>
      <c r="I22466" s="1358"/>
    </row>
    <row r="22467" spans="8:9">
      <c r="H22467" s="1358"/>
      <c r="I22467" s="1358"/>
    </row>
    <row r="22468" spans="8:9">
      <c r="H22468" s="1358"/>
      <c r="I22468" s="1358"/>
    </row>
    <row r="22469" spans="8:9">
      <c r="H22469" s="1358"/>
      <c r="I22469" s="1358"/>
    </row>
    <row r="22470" spans="8:9">
      <c r="H22470" s="1358"/>
      <c r="I22470" s="1358"/>
    </row>
    <row r="22471" spans="8:9">
      <c r="H22471" s="1358"/>
      <c r="I22471" s="1358"/>
    </row>
    <row r="22472" spans="8:9">
      <c r="H22472" s="1358"/>
      <c r="I22472" s="1358"/>
    </row>
    <row r="22473" spans="8:9">
      <c r="H22473" s="1358"/>
      <c r="I22473" s="1358"/>
    </row>
    <row r="22474" spans="8:9">
      <c r="H22474" s="1358"/>
      <c r="I22474" s="1358"/>
    </row>
    <row r="22475" spans="8:9">
      <c r="H22475" s="1358"/>
      <c r="I22475" s="1358"/>
    </row>
    <row r="22476" spans="8:9">
      <c r="H22476" s="1358"/>
      <c r="I22476" s="1358"/>
    </row>
    <row r="22477" spans="8:9">
      <c r="H22477" s="1358"/>
      <c r="I22477" s="1358"/>
    </row>
    <row r="22478" spans="8:9">
      <c r="H22478" s="1358"/>
      <c r="I22478" s="1358"/>
    </row>
    <row r="22479" spans="8:9">
      <c r="H22479" s="1358"/>
      <c r="I22479" s="1358"/>
    </row>
    <row r="22480" spans="8:9">
      <c r="H22480" s="1358"/>
      <c r="I22480" s="1358"/>
    </row>
    <row r="22481" spans="8:9">
      <c r="H22481" s="1358"/>
      <c r="I22481" s="1358"/>
    </row>
    <row r="22482" spans="8:9">
      <c r="H22482" s="1358"/>
      <c r="I22482" s="1358"/>
    </row>
    <row r="22483" spans="8:9">
      <c r="H22483" s="1358"/>
      <c r="I22483" s="1358"/>
    </row>
    <row r="22484" spans="8:9">
      <c r="H22484" s="1358"/>
      <c r="I22484" s="1358"/>
    </row>
    <row r="22485" spans="8:9">
      <c r="H22485" s="1358"/>
      <c r="I22485" s="1358"/>
    </row>
    <row r="22486" spans="8:9">
      <c r="H22486" s="1358"/>
      <c r="I22486" s="1358"/>
    </row>
    <row r="22487" spans="8:9">
      <c r="H22487" s="1358"/>
      <c r="I22487" s="1358"/>
    </row>
    <row r="22488" spans="8:9">
      <c r="H22488" s="1358"/>
      <c r="I22488" s="1358"/>
    </row>
    <row r="22489" spans="8:9">
      <c r="H22489" s="1358"/>
      <c r="I22489" s="1358"/>
    </row>
    <row r="22490" spans="8:9">
      <c r="H22490" s="1358"/>
      <c r="I22490" s="1358"/>
    </row>
    <row r="22491" spans="8:9">
      <c r="H22491" s="1358"/>
      <c r="I22491" s="1358"/>
    </row>
    <row r="22492" spans="8:9">
      <c r="H22492" s="1358"/>
      <c r="I22492" s="1358"/>
    </row>
    <row r="22493" spans="8:9">
      <c r="H22493" s="1358"/>
      <c r="I22493" s="1358"/>
    </row>
    <row r="22494" spans="8:9">
      <c r="H22494" s="1358"/>
      <c r="I22494" s="1358"/>
    </row>
    <row r="22495" spans="8:9">
      <c r="H22495" s="1358"/>
      <c r="I22495" s="1358"/>
    </row>
    <row r="22496" spans="8:9">
      <c r="H22496" s="1358"/>
      <c r="I22496" s="1358"/>
    </row>
    <row r="22497" spans="8:9">
      <c r="H22497" s="1358"/>
      <c r="I22497" s="1358"/>
    </row>
    <row r="22498" spans="8:9">
      <c r="H22498" s="1358"/>
      <c r="I22498" s="1358"/>
    </row>
    <row r="22499" spans="8:9">
      <c r="H22499" s="1358"/>
      <c r="I22499" s="1358"/>
    </row>
    <row r="22500" spans="8:9">
      <c r="H22500" s="1358"/>
      <c r="I22500" s="1358"/>
    </row>
    <row r="22501" spans="8:9">
      <c r="H22501" s="1358"/>
      <c r="I22501" s="1358"/>
    </row>
    <row r="22502" spans="8:9">
      <c r="H22502" s="1358"/>
      <c r="I22502" s="1358"/>
    </row>
    <row r="22503" spans="8:9">
      <c r="H22503" s="1358"/>
      <c r="I22503" s="1358"/>
    </row>
    <row r="22504" spans="8:9">
      <c r="H22504" s="1358"/>
      <c r="I22504" s="1358"/>
    </row>
    <row r="22505" spans="8:9">
      <c r="H22505" s="1358"/>
      <c r="I22505" s="1358"/>
    </row>
    <row r="22506" spans="8:9">
      <c r="H22506" s="1358"/>
      <c r="I22506" s="1358"/>
    </row>
    <row r="22507" spans="8:9">
      <c r="H22507" s="1358"/>
      <c r="I22507" s="1358"/>
    </row>
    <row r="22508" spans="8:9">
      <c r="H22508" s="1358"/>
      <c r="I22508" s="1358"/>
    </row>
    <row r="22509" spans="8:9">
      <c r="H22509" s="1358"/>
      <c r="I22509" s="1358"/>
    </row>
    <row r="22510" spans="8:9">
      <c r="H22510" s="1358"/>
      <c r="I22510" s="1358"/>
    </row>
    <row r="22511" spans="8:9">
      <c r="H22511" s="1358"/>
      <c r="I22511" s="1358"/>
    </row>
    <row r="22512" spans="8:9">
      <c r="H22512" s="1358"/>
      <c r="I22512" s="1358"/>
    </row>
    <row r="22513" spans="8:9">
      <c r="H22513" s="1358"/>
      <c r="I22513" s="1358"/>
    </row>
    <row r="22514" spans="8:9">
      <c r="H22514" s="1358"/>
      <c r="I22514" s="1358"/>
    </row>
    <row r="22515" spans="8:9">
      <c r="H22515" s="1358"/>
      <c r="I22515" s="1358"/>
    </row>
    <row r="22516" spans="8:9">
      <c r="H22516" s="1358"/>
      <c r="I22516" s="1358"/>
    </row>
    <row r="22517" spans="8:9">
      <c r="H22517" s="1358"/>
      <c r="I22517" s="1358"/>
    </row>
    <row r="22518" spans="8:9">
      <c r="H22518" s="1358"/>
      <c r="I22518" s="1358"/>
    </row>
    <row r="22519" spans="8:9">
      <c r="H22519" s="1358"/>
      <c r="I22519" s="1358"/>
    </row>
    <row r="22520" spans="8:9">
      <c r="H22520" s="1358"/>
      <c r="I22520" s="1358"/>
    </row>
    <row r="22521" spans="8:9">
      <c r="H22521" s="1358"/>
      <c r="I22521" s="1358"/>
    </row>
    <row r="22522" spans="8:9">
      <c r="H22522" s="1358"/>
      <c r="I22522" s="1358"/>
    </row>
    <row r="22523" spans="8:9">
      <c r="H22523" s="1358"/>
      <c r="I22523" s="1358"/>
    </row>
    <row r="22524" spans="8:9">
      <c r="H22524" s="1358"/>
      <c r="I22524" s="1358"/>
    </row>
    <row r="22525" spans="8:9">
      <c r="H22525" s="1358"/>
      <c r="I22525" s="1358"/>
    </row>
    <row r="22526" spans="8:9">
      <c r="H22526" s="1358"/>
      <c r="I22526" s="1358"/>
    </row>
    <row r="22527" spans="8:9">
      <c r="H22527" s="1358"/>
      <c r="I22527" s="1358"/>
    </row>
    <row r="22528" spans="8:9">
      <c r="H22528" s="1358"/>
      <c r="I22528" s="1358"/>
    </row>
    <row r="22529" spans="8:9">
      <c r="H22529" s="1358"/>
      <c r="I22529" s="1358"/>
    </row>
    <row r="22530" spans="8:9">
      <c r="H22530" s="1358"/>
      <c r="I22530" s="1358"/>
    </row>
    <row r="22531" spans="8:9">
      <c r="H22531" s="1358"/>
      <c r="I22531" s="1358"/>
    </row>
    <row r="22532" spans="8:9">
      <c r="H22532" s="1358"/>
      <c r="I22532" s="1358"/>
    </row>
    <row r="22533" spans="8:9">
      <c r="H22533" s="1358"/>
      <c r="I22533" s="1358"/>
    </row>
    <row r="22534" spans="8:9">
      <c r="H22534" s="1358"/>
      <c r="I22534" s="1358"/>
    </row>
    <row r="22535" spans="8:9">
      <c r="H22535" s="1358"/>
      <c r="I22535" s="1358"/>
    </row>
    <row r="22536" spans="8:9">
      <c r="H22536" s="1358"/>
      <c r="I22536" s="1358"/>
    </row>
    <row r="22537" spans="8:9">
      <c r="H22537" s="1358"/>
      <c r="I22537" s="1358"/>
    </row>
    <row r="22538" spans="8:9">
      <c r="H22538" s="1358"/>
      <c r="I22538" s="1358"/>
    </row>
    <row r="22539" spans="8:9">
      <c r="H22539" s="1358"/>
      <c r="I22539" s="1358"/>
    </row>
    <row r="22540" spans="8:9">
      <c r="H22540" s="1358"/>
      <c r="I22540" s="1358"/>
    </row>
    <row r="22541" spans="8:9">
      <c r="H22541" s="1358"/>
      <c r="I22541" s="1358"/>
    </row>
    <row r="22542" spans="8:9">
      <c r="H22542" s="1358"/>
      <c r="I22542" s="1358"/>
    </row>
    <row r="22543" spans="8:9">
      <c r="H22543" s="1358"/>
      <c r="I22543" s="1358"/>
    </row>
    <row r="22544" spans="8:9">
      <c r="H22544" s="1358"/>
      <c r="I22544" s="1358"/>
    </row>
    <row r="22545" spans="8:9">
      <c r="H22545" s="1358"/>
      <c r="I22545" s="1358"/>
    </row>
    <row r="22546" spans="8:9">
      <c r="H22546" s="1358"/>
      <c r="I22546" s="1358"/>
    </row>
    <row r="22547" spans="8:9">
      <c r="H22547" s="1358"/>
      <c r="I22547" s="1358"/>
    </row>
    <row r="22548" spans="8:9">
      <c r="H22548" s="1358"/>
      <c r="I22548" s="1358"/>
    </row>
    <row r="22549" spans="8:9">
      <c r="H22549" s="1358"/>
      <c r="I22549" s="1358"/>
    </row>
    <row r="22550" spans="8:9">
      <c r="H22550" s="1358"/>
      <c r="I22550" s="1358"/>
    </row>
    <row r="22551" spans="8:9">
      <c r="H22551" s="1358"/>
      <c r="I22551" s="1358"/>
    </row>
    <row r="22552" spans="8:9">
      <c r="H22552" s="1358"/>
      <c r="I22552" s="1358"/>
    </row>
    <row r="22553" spans="8:9">
      <c r="H22553" s="1358"/>
      <c r="I22553" s="1358"/>
    </row>
    <row r="22554" spans="8:9">
      <c r="H22554" s="1358"/>
      <c r="I22554" s="1358"/>
    </row>
    <row r="22555" spans="8:9">
      <c r="H22555" s="1358"/>
      <c r="I22555" s="1358"/>
    </row>
    <row r="22556" spans="8:9">
      <c r="H22556" s="1358"/>
      <c r="I22556" s="1358"/>
    </row>
    <row r="22557" spans="8:9">
      <c r="H22557" s="1358"/>
      <c r="I22557" s="1358"/>
    </row>
    <row r="22558" spans="8:9">
      <c r="H22558" s="1358"/>
      <c r="I22558" s="1358"/>
    </row>
    <row r="22559" spans="8:9">
      <c r="H22559" s="1358"/>
      <c r="I22559" s="1358"/>
    </row>
    <row r="22560" spans="8:9">
      <c r="H22560" s="1358"/>
      <c r="I22560" s="1358"/>
    </row>
    <row r="22561" spans="8:9">
      <c r="H22561" s="1358"/>
      <c r="I22561" s="1358"/>
    </row>
    <row r="22562" spans="8:9">
      <c r="H22562" s="1358"/>
      <c r="I22562" s="1358"/>
    </row>
    <row r="22563" spans="8:9">
      <c r="H22563" s="1358"/>
      <c r="I22563" s="1358"/>
    </row>
    <row r="22564" spans="8:9">
      <c r="H22564" s="1358"/>
      <c r="I22564" s="1358"/>
    </row>
    <row r="22565" spans="8:9">
      <c r="H22565" s="1358"/>
      <c r="I22565" s="1358"/>
    </row>
    <row r="22566" spans="8:9">
      <c r="H22566" s="1358"/>
      <c r="I22566" s="1358"/>
    </row>
    <row r="22567" spans="8:9">
      <c r="H22567" s="1358"/>
      <c r="I22567" s="1358"/>
    </row>
    <row r="22568" spans="8:9">
      <c r="H22568" s="1358"/>
      <c r="I22568" s="1358"/>
    </row>
    <row r="22569" spans="8:9">
      <c r="H22569" s="1358"/>
      <c r="I22569" s="1358"/>
    </row>
    <row r="22570" spans="8:9">
      <c r="H22570" s="1358"/>
      <c r="I22570" s="1358"/>
    </row>
    <row r="22571" spans="8:9">
      <c r="H22571" s="1358"/>
      <c r="I22571" s="1358"/>
    </row>
    <row r="22572" spans="8:9">
      <c r="H22572" s="1358"/>
      <c r="I22572" s="1358"/>
    </row>
    <row r="22573" spans="8:9">
      <c r="H22573" s="1358"/>
      <c r="I22573" s="1358"/>
    </row>
    <row r="22574" spans="8:9">
      <c r="H22574" s="1358"/>
      <c r="I22574" s="1358"/>
    </row>
    <row r="22575" spans="8:9">
      <c r="H22575" s="1358"/>
      <c r="I22575" s="1358"/>
    </row>
    <row r="22576" spans="8:9">
      <c r="H22576" s="1358"/>
      <c r="I22576" s="1358"/>
    </row>
    <row r="22577" spans="8:9">
      <c r="H22577" s="1358"/>
      <c r="I22577" s="1358"/>
    </row>
    <row r="22578" spans="8:9">
      <c r="H22578" s="1358"/>
      <c r="I22578" s="1358"/>
    </row>
    <row r="22579" spans="8:9">
      <c r="H22579" s="1358"/>
      <c r="I22579" s="1358"/>
    </row>
    <row r="22580" spans="8:9">
      <c r="H22580" s="1358"/>
      <c r="I22580" s="1358"/>
    </row>
    <row r="22581" spans="8:9">
      <c r="H22581" s="1358"/>
      <c r="I22581" s="1358"/>
    </row>
    <row r="22582" spans="8:9">
      <c r="H22582" s="1358"/>
      <c r="I22582" s="1358"/>
    </row>
    <row r="22583" spans="8:9">
      <c r="H22583" s="1358"/>
      <c r="I22583" s="1358"/>
    </row>
    <row r="22584" spans="8:9">
      <c r="H22584" s="1358"/>
      <c r="I22584" s="1358"/>
    </row>
    <row r="22585" spans="8:9">
      <c r="H22585" s="1358"/>
      <c r="I22585" s="1358"/>
    </row>
    <row r="22586" spans="8:9">
      <c r="H22586" s="1358"/>
      <c r="I22586" s="1358"/>
    </row>
    <row r="22587" spans="8:9">
      <c r="H22587" s="1358"/>
      <c r="I22587" s="1358"/>
    </row>
    <row r="22588" spans="8:9">
      <c r="H22588" s="1358"/>
      <c r="I22588" s="1358"/>
    </row>
    <row r="22589" spans="8:9">
      <c r="H22589" s="1358"/>
      <c r="I22589" s="1358"/>
    </row>
    <row r="22590" spans="8:9">
      <c r="H22590" s="1358"/>
      <c r="I22590" s="1358"/>
    </row>
    <row r="22591" spans="8:9">
      <c r="H22591" s="1358"/>
      <c r="I22591" s="1358"/>
    </row>
    <row r="22592" spans="8:9">
      <c r="H22592" s="1358"/>
      <c r="I22592" s="1358"/>
    </row>
    <row r="22593" spans="8:9">
      <c r="H22593" s="1358"/>
      <c r="I22593" s="1358"/>
    </row>
    <row r="22594" spans="8:9">
      <c r="H22594" s="1358"/>
      <c r="I22594" s="1358"/>
    </row>
    <row r="22595" spans="8:9">
      <c r="H22595" s="1358"/>
      <c r="I22595" s="1358"/>
    </row>
    <row r="22596" spans="8:9">
      <c r="H22596" s="1358"/>
      <c r="I22596" s="1358"/>
    </row>
    <row r="22597" spans="8:9">
      <c r="H22597" s="1358"/>
      <c r="I22597" s="1358"/>
    </row>
    <row r="22598" spans="8:9">
      <c r="H22598" s="1358"/>
      <c r="I22598" s="1358"/>
    </row>
    <row r="22599" spans="8:9">
      <c r="H22599" s="1358"/>
      <c r="I22599" s="1358"/>
    </row>
    <row r="22600" spans="8:9">
      <c r="H22600" s="1358"/>
      <c r="I22600" s="1358"/>
    </row>
    <row r="22601" spans="8:9">
      <c r="H22601" s="1358"/>
      <c r="I22601" s="1358"/>
    </row>
    <row r="22602" spans="8:9">
      <c r="H22602" s="1358"/>
      <c r="I22602" s="1358"/>
    </row>
    <row r="22603" spans="8:9">
      <c r="H22603" s="1358"/>
      <c r="I22603" s="1358"/>
    </row>
    <row r="22604" spans="8:9">
      <c r="H22604" s="1358"/>
      <c r="I22604" s="1358"/>
    </row>
    <row r="22605" spans="8:9">
      <c r="H22605" s="1358"/>
      <c r="I22605" s="1358"/>
    </row>
    <row r="22606" spans="8:9">
      <c r="H22606" s="1358"/>
      <c r="I22606" s="1358"/>
    </row>
    <row r="22607" spans="8:9">
      <c r="H22607" s="1358"/>
      <c r="I22607" s="1358"/>
    </row>
    <row r="22608" spans="8:9">
      <c r="H22608" s="1358"/>
      <c r="I22608" s="1358"/>
    </row>
    <row r="22609" spans="8:9">
      <c r="H22609" s="1358"/>
      <c r="I22609" s="1358"/>
    </row>
    <row r="22610" spans="8:9">
      <c r="H22610" s="1358"/>
      <c r="I22610" s="1358"/>
    </row>
    <row r="22611" spans="8:9">
      <c r="H22611" s="1358"/>
      <c r="I22611" s="1358"/>
    </row>
    <row r="22612" spans="8:9">
      <c r="H22612" s="1358"/>
      <c r="I22612" s="1358"/>
    </row>
    <row r="22613" spans="8:9">
      <c r="H22613" s="1358"/>
      <c r="I22613" s="1358"/>
    </row>
    <row r="22614" spans="8:9">
      <c r="H22614" s="1358"/>
      <c r="I22614" s="1358"/>
    </row>
    <row r="22615" spans="8:9">
      <c r="H22615" s="1358"/>
      <c r="I22615" s="1358"/>
    </row>
    <row r="22616" spans="8:9">
      <c r="H22616" s="1358"/>
      <c r="I22616" s="1358"/>
    </row>
    <row r="22617" spans="8:9">
      <c r="H22617" s="1358"/>
      <c r="I22617" s="1358"/>
    </row>
    <row r="22618" spans="8:9">
      <c r="H22618" s="1358"/>
      <c r="I22618" s="1358"/>
    </row>
    <row r="22619" spans="8:9">
      <c r="H22619" s="1358"/>
      <c r="I22619" s="1358"/>
    </row>
    <row r="22620" spans="8:9">
      <c r="H22620" s="1358"/>
      <c r="I22620" s="1358"/>
    </row>
    <row r="22621" spans="8:9">
      <c r="H22621" s="1358"/>
      <c r="I22621" s="1358"/>
    </row>
    <row r="22622" spans="8:9">
      <c r="H22622" s="1358"/>
      <c r="I22622" s="1358"/>
    </row>
    <row r="22623" spans="8:9">
      <c r="H22623" s="1358"/>
      <c r="I22623" s="1358"/>
    </row>
    <row r="22624" spans="8:9">
      <c r="H22624" s="1358"/>
      <c r="I22624" s="1358"/>
    </row>
    <row r="22625" spans="8:9">
      <c r="H22625" s="1358"/>
      <c r="I22625" s="1358"/>
    </row>
    <row r="22626" spans="8:9">
      <c r="H22626" s="1358"/>
      <c r="I22626" s="1358"/>
    </row>
    <row r="22627" spans="8:9">
      <c r="H22627" s="1358"/>
      <c r="I22627" s="1358"/>
    </row>
    <row r="22628" spans="8:9">
      <c r="H22628" s="1358"/>
      <c r="I22628" s="1358"/>
    </row>
    <row r="22629" spans="8:9">
      <c r="H22629" s="1358"/>
      <c r="I22629" s="1358"/>
    </row>
    <row r="22630" spans="8:9">
      <c r="H22630" s="1358"/>
      <c r="I22630" s="1358"/>
    </row>
    <row r="22631" spans="8:9">
      <c r="H22631" s="1358"/>
      <c r="I22631" s="1358"/>
    </row>
    <row r="22632" spans="8:9">
      <c r="H22632" s="1358"/>
      <c r="I22632" s="1358"/>
    </row>
    <row r="22633" spans="8:9">
      <c r="H22633" s="1358"/>
      <c r="I22633" s="1358"/>
    </row>
    <row r="22634" spans="8:9">
      <c r="H22634" s="1358"/>
      <c r="I22634" s="1358"/>
    </row>
    <row r="22635" spans="8:9">
      <c r="H22635" s="1358"/>
      <c r="I22635" s="1358"/>
    </row>
    <row r="22636" spans="8:9">
      <c r="H22636" s="1358"/>
      <c r="I22636" s="1358"/>
    </row>
    <row r="22637" spans="8:9">
      <c r="H22637" s="1358"/>
      <c r="I22637" s="1358"/>
    </row>
    <row r="22638" spans="8:9">
      <c r="H22638" s="1358"/>
      <c r="I22638" s="1358"/>
    </row>
    <row r="22639" spans="8:9">
      <c r="H22639" s="1358"/>
      <c r="I22639" s="1358"/>
    </row>
    <row r="22640" spans="8:9">
      <c r="H22640" s="1358"/>
      <c r="I22640" s="1358"/>
    </row>
    <row r="22641" spans="8:9">
      <c r="H22641" s="1358"/>
      <c r="I22641" s="1358"/>
    </row>
    <row r="22642" spans="8:9">
      <c r="H22642" s="1358"/>
      <c r="I22642" s="1358"/>
    </row>
    <row r="22643" spans="8:9">
      <c r="H22643" s="1358"/>
      <c r="I22643" s="1358"/>
    </row>
    <row r="22644" spans="8:9">
      <c r="H22644" s="1358"/>
      <c r="I22644" s="1358"/>
    </row>
    <row r="22645" spans="8:9">
      <c r="H22645" s="1358"/>
      <c r="I22645" s="1358"/>
    </row>
    <row r="22646" spans="8:9">
      <c r="H22646" s="1358"/>
      <c r="I22646" s="1358"/>
    </row>
    <row r="22647" spans="8:9">
      <c r="H22647" s="1358"/>
      <c r="I22647" s="1358"/>
    </row>
    <row r="22648" spans="8:9">
      <c r="H22648" s="1358"/>
      <c r="I22648" s="1358"/>
    </row>
    <row r="22649" spans="8:9">
      <c r="H22649" s="1358"/>
      <c r="I22649" s="1358"/>
    </row>
    <row r="22650" spans="8:9">
      <c r="H22650" s="1358"/>
      <c r="I22650" s="1358"/>
    </row>
    <row r="22651" spans="8:9">
      <c r="H22651" s="1358"/>
      <c r="I22651" s="1358"/>
    </row>
    <row r="22652" spans="8:9">
      <c r="H22652" s="1358"/>
      <c r="I22652" s="1358"/>
    </row>
    <row r="22653" spans="8:9">
      <c r="H22653" s="1358"/>
      <c r="I22653" s="1358"/>
    </row>
    <row r="22654" spans="8:9">
      <c r="H22654" s="1358"/>
      <c r="I22654" s="1358"/>
    </row>
    <row r="22655" spans="8:9">
      <c r="H22655" s="1358"/>
      <c r="I22655" s="1358"/>
    </row>
    <row r="22656" spans="8:9">
      <c r="H22656" s="1358"/>
      <c r="I22656" s="1358"/>
    </row>
    <row r="22657" spans="8:9">
      <c r="H22657" s="1358"/>
      <c r="I22657" s="1358"/>
    </row>
    <row r="22658" spans="8:9">
      <c r="H22658" s="1358"/>
      <c r="I22658" s="1358"/>
    </row>
    <row r="22659" spans="8:9">
      <c r="H22659" s="1358"/>
      <c r="I22659" s="1358"/>
    </row>
    <row r="22660" spans="8:9">
      <c r="H22660" s="1358"/>
      <c r="I22660" s="1358"/>
    </row>
    <row r="22661" spans="8:9">
      <c r="H22661" s="1358"/>
      <c r="I22661" s="1358"/>
    </row>
    <row r="22662" spans="8:9">
      <c r="H22662" s="1358"/>
      <c r="I22662" s="1358"/>
    </row>
    <row r="22663" spans="8:9">
      <c r="H22663" s="1358"/>
      <c r="I22663" s="1358"/>
    </row>
    <row r="22664" spans="8:9">
      <c r="H22664" s="1358"/>
      <c r="I22664" s="1358"/>
    </row>
    <row r="22665" spans="8:9">
      <c r="H22665" s="1358"/>
      <c r="I22665" s="1358"/>
    </row>
    <row r="22666" spans="8:9">
      <c r="H22666" s="1358"/>
      <c r="I22666" s="1358"/>
    </row>
    <row r="22667" spans="8:9">
      <c r="H22667" s="1358"/>
      <c r="I22667" s="1358"/>
    </row>
    <row r="22668" spans="8:9">
      <c r="H22668" s="1358"/>
      <c r="I22668" s="1358"/>
    </row>
    <row r="22669" spans="8:9">
      <c r="H22669" s="1358"/>
      <c r="I22669" s="1358"/>
    </row>
    <row r="22670" spans="8:9">
      <c r="H22670" s="1358"/>
      <c r="I22670" s="1358"/>
    </row>
    <row r="22671" spans="8:9">
      <c r="H22671" s="1358"/>
      <c r="I22671" s="1358"/>
    </row>
    <row r="22672" spans="8:9">
      <c r="H22672" s="1358"/>
      <c r="I22672" s="1358"/>
    </row>
    <row r="22673" spans="8:9">
      <c r="H22673" s="1358"/>
      <c r="I22673" s="1358"/>
    </row>
    <row r="22674" spans="8:9">
      <c r="H22674" s="1358"/>
      <c r="I22674" s="1358"/>
    </row>
    <row r="22675" spans="8:9">
      <c r="H22675" s="1358"/>
      <c r="I22675" s="1358"/>
    </row>
    <row r="22676" spans="8:9">
      <c r="H22676" s="1358"/>
      <c r="I22676" s="1358"/>
    </row>
    <row r="22677" spans="8:9">
      <c r="H22677" s="1358"/>
      <c r="I22677" s="1358"/>
    </row>
    <row r="22678" spans="8:9">
      <c r="H22678" s="1358"/>
      <c r="I22678" s="1358"/>
    </row>
    <row r="22679" spans="8:9">
      <c r="H22679" s="1358"/>
      <c r="I22679" s="1358"/>
    </row>
    <row r="22680" spans="8:9">
      <c r="H22680" s="1358"/>
      <c r="I22680" s="1358"/>
    </row>
    <row r="22681" spans="8:9">
      <c r="H22681" s="1358"/>
      <c r="I22681" s="1358"/>
    </row>
    <row r="22682" spans="8:9">
      <c r="H22682" s="1358"/>
      <c r="I22682" s="1358"/>
    </row>
    <row r="22683" spans="8:9">
      <c r="H22683" s="1358"/>
      <c r="I22683" s="1358"/>
    </row>
    <row r="22684" spans="8:9">
      <c r="H22684" s="1358"/>
      <c r="I22684" s="1358"/>
    </row>
    <row r="22685" spans="8:9">
      <c r="H22685" s="1358"/>
      <c r="I22685" s="1358"/>
    </row>
    <row r="22686" spans="8:9">
      <c r="H22686" s="1358"/>
      <c r="I22686" s="1358"/>
    </row>
    <row r="22687" spans="8:9">
      <c r="H22687" s="1358"/>
      <c r="I22687" s="1358"/>
    </row>
    <row r="22688" spans="8:9">
      <c r="H22688" s="1358"/>
      <c r="I22688" s="1358"/>
    </row>
    <row r="22689" spans="8:9">
      <c r="H22689" s="1358"/>
      <c r="I22689" s="1358"/>
    </row>
    <row r="22690" spans="8:9">
      <c r="H22690" s="1358"/>
      <c r="I22690" s="1358"/>
    </row>
    <row r="22691" spans="8:9">
      <c r="H22691" s="1358"/>
      <c r="I22691" s="1358"/>
    </row>
    <row r="22692" spans="8:9">
      <c r="H22692" s="1358"/>
      <c r="I22692" s="1358"/>
    </row>
    <row r="22693" spans="8:9">
      <c r="H22693" s="1358"/>
      <c r="I22693" s="1358"/>
    </row>
    <row r="22694" spans="8:9">
      <c r="H22694" s="1358"/>
      <c r="I22694" s="1358"/>
    </row>
    <row r="22695" spans="8:9">
      <c r="H22695" s="1358"/>
      <c r="I22695" s="1358"/>
    </row>
    <row r="22696" spans="8:9">
      <c r="H22696" s="1358"/>
      <c r="I22696" s="1358"/>
    </row>
    <row r="22697" spans="8:9">
      <c r="H22697" s="1358"/>
      <c r="I22697" s="1358"/>
    </row>
    <row r="22698" spans="8:9">
      <c r="H22698" s="1358"/>
      <c r="I22698" s="1358"/>
    </row>
    <row r="22699" spans="8:9">
      <c r="H22699" s="1358"/>
      <c r="I22699" s="1358"/>
    </row>
    <row r="22700" spans="8:9">
      <c r="H22700" s="1358"/>
      <c r="I22700" s="1358"/>
    </row>
    <row r="22701" spans="8:9">
      <c r="H22701" s="1358"/>
      <c r="I22701" s="1358"/>
    </row>
    <row r="22702" spans="8:9">
      <c r="H22702" s="1358"/>
      <c r="I22702" s="1358"/>
    </row>
    <row r="22703" spans="8:9">
      <c r="H22703" s="1358"/>
      <c r="I22703" s="1358"/>
    </row>
    <row r="22704" spans="8:9">
      <c r="H22704" s="1358"/>
      <c r="I22704" s="1358"/>
    </row>
    <row r="22705" spans="8:9">
      <c r="H22705" s="1358"/>
      <c r="I22705" s="1358"/>
    </row>
    <row r="22706" spans="8:9">
      <c r="H22706" s="1358"/>
      <c r="I22706" s="1358"/>
    </row>
    <row r="22707" spans="8:9">
      <c r="H22707" s="1358"/>
      <c r="I22707" s="1358"/>
    </row>
    <row r="22708" spans="8:9">
      <c r="H22708" s="1358"/>
      <c r="I22708" s="1358"/>
    </row>
    <row r="22709" spans="8:9">
      <c r="H22709" s="1358"/>
      <c r="I22709" s="1358"/>
    </row>
    <row r="22710" spans="8:9">
      <c r="H22710" s="1358"/>
      <c r="I22710" s="1358"/>
    </row>
    <row r="22711" spans="8:9">
      <c r="H22711" s="1358"/>
      <c r="I22711" s="1358"/>
    </row>
    <row r="22712" spans="8:9">
      <c r="H22712" s="1358"/>
      <c r="I22712" s="1358"/>
    </row>
    <row r="22713" spans="8:9">
      <c r="H22713" s="1358"/>
      <c r="I22713" s="1358"/>
    </row>
    <row r="22714" spans="8:9">
      <c r="H22714" s="1358"/>
      <c r="I22714" s="1358"/>
    </row>
    <row r="22715" spans="8:9">
      <c r="H22715" s="1358"/>
      <c r="I22715" s="1358"/>
    </row>
    <row r="22716" spans="8:9">
      <c r="H22716" s="1358"/>
      <c r="I22716" s="1358"/>
    </row>
    <row r="22717" spans="8:9">
      <c r="H22717" s="1358"/>
      <c r="I22717" s="1358"/>
    </row>
    <row r="22718" spans="8:9">
      <c r="H22718" s="1358"/>
      <c r="I22718" s="1358"/>
    </row>
    <row r="22719" spans="8:9">
      <c r="H22719" s="1358"/>
      <c r="I22719" s="1358"/>
    </row>
    <row r="22720" spans="8:9">
      <c r="H22720" s="1358"/>
      <c r="I22720" s="1358"/>
    </row>
    <row r="22721" spans="8:9">
      <c r="H22721" s="1358"/>
      <c r="I22721" s="1358"/>
    </row>
    <row r="22722" spans="8:9">
      <c r="H22722" s="1358"/>
      <c r="I22722" s="1358"/>
    </row>
    <row r="22723" spans="8:9">
      <c r="H22723" s="1358"/>
      <c r="I22723" s="1358"/>
    </row>
    <row r="22724" spans="8:9">
      <c r="H22724" s="1358"/>
      <c r="I22724" s="1358"/>
    </row>
    <row r="22725" spans="8:9">
      <c r="H22725" s="1358"/>
      <c r="I22725" s="1358"/>
    </row>
    <row r="22726" spans="8:9">
      <c r="H22726" s="1358"/>
      <c r="I22726" s="1358"/>
    </row>
    <row r="22727" spans="8:9">
      <c r="H22727" s="1358"/>
      <c r="I22727" s="1358"/>
    </row>
    <row r="22728" spans="8:9">
      <c r="H22728" s="1358"/>
      <c r="I22728" s="1358"/>
    </row>
    <row r="22729" spans="8:9">
      <c r="H22729" s="1358"/>
      <c r="I22729" s="1358"/>
    </row>
    <row r="22730" spans="8:9">
      <c r="H22730" s="1358"/>
      <c r="I22730" s="1358"/>
    </row>
    <row r="22731" spans="8:9">
      <c r="H22731" s="1358"/>
      <c r="I22731" s="1358"/>
    </row>
    <row r="22732" spans="8:9">
      <c r="H22732" s="1358"/>
      <c r="I22732" s="1358"/>
    </row>
    <row r="22733" spans="8:9">
      <c r="H22733" s="1358"/>
      <c r="I22733" s="1358"/>
    </row>
    <row r="22734" spans="8:9">
      <c r="H22734" s="1358"/>
      <c r="I22734" s="1358"/>
    </row>
    <row r="22735" spans="8:9">
      <c r="H22735" s="1358"/>
      <c r="I22735" s="1358"/>
    </row>
    <row r="22736" spans="8:9">
      <c r="H22736" s="1358"/>
      <c r="I22736" s="1358"/>
    </row>
    <row r="22737" spans="8:9">
      <c r="H22737" s="1358"/>
      <c r="I22737" s="1358"/>
    </row>
    <row r="22738" spans="8:9">
      <c r="H22738" s="1358"/>
      <c r="I22738" s="1358"/>
    </row>
    <row r="22739" spans="8:9">
      <c r="H22739" s="1358"/>
      <c r="I22739" s="1358"/>
    </row>
    <row r="22740" spans="8:9">
      <c r="H22740" s="1358"/>
      <c r="I22740" s="1358"/>
    </row>
    <row r="22741" spans="8:9">
      <c r="H22741" s="1358"/>
      <c r="I22741" s="1358"/>
    </row>
    <row r="22742" spans="8:9">
      <c r="H22742" s="1358"/>
      <c r="I22742" s="1358"/>
    </row>
    <row r="22743" spans="8:9">
      <c r="H22743" s="1358"/>
      <c r="I22743" s="1358"/>
    </row>
    <row r="22744" spans="8:9">
      <c r="H22744" s="1358"/>
      <c r="I22744" s="1358"/>
    </row>
    <row r="22745" spans="8:9">
      <c r="H22745" s="1358"/>
      <c r="I22745" s="1358"/>
    </row>
    <row r="22746" spans="8:9">
      <c r="H22746" s="1358"/>
      <c r="I22746" s="1358"/>
    </row>
    <row r="22747" spans="8:9">
      <c r="H22747" s="1358"/>
      <c r="I22747" s="1358"/>
    </row>
    <row r="22748" spans="8:9">
      <c r="H22748" s="1358"/>
      <c r="I22748" s="1358"/>
    </row>
    <row r="22749" spans="8:9">
      <c r="H22749" s="1358"/>
      <c r="I22749" s="1358"/>
    </row>
    <row r="22750" spans="8:9">
      <c r="H22750" s="1358"/>
      <c r="I22750" s="1358"/>
    </row>
    <row r="22751" spans="8:9">
      <c r="H22751" s="1358"/>
      <c r="I22751" s="1358"/>
    </row>
    <row r="22752" spans="8:9">
      <c r="H22752" s="1358"/>
      <c r="I22752" s="1358"/>
    </row>
    <row r="22753" spans="8:9">
      <c r="H22753" s="1358"/>
      <c r="I22753" s="1358"/>
    </row>
    <row r="22754" spans="8:9">
      <c r="H22754" s="1358"/>
      <c r="I22754" s="1358"/>
    </row>
    <row r="22755" spans="8:9">
      <c r="H22755" s="1358"/>
      <c r="I22755" s="1358"/>
    </row>
    <row r="22756" spans="8:9">
      <c r="H22756" s="1358"/>
      <c r="I22756" s="1358"/>
    </row>
    <row r="22757" spans="8:9">
      <c r="H22757" s="1358"/>
      <c r="I22757" s="1358"/>
    </row>
    <row r="22758" spans="8:9">
      <c r="H22758" s="1358"/>
      <c r="I22758" s="1358"/>
    </row>
    <row r="22759" spans="8:9">
      <c r="H22759" s="1358"/>
      <c r="I22759" s="1358"/>
    </row>
    <row r="22760" spans="8:9">
      <c r="H22760" s="1358"/>
      <c r="I22760" s="1358"/>
    </row>
    <row r="22761" spans="8:9">
      <c r="H22761" s="1358"/>
      <c r="I22761" s="1358"/>
    </row>
    <row r="22762" spans="8:9">
      <c r="H22762" s="1358"/>
      <c r="I22762" s="1358"/>
    </row>
    <row r="22763" spans="8:9">
      <c r="H22763" s="1358"/>
      <c r="I22763" s="1358"/>
    </row>
    <row r="22764" spans="8:9">
      <c r="H22764" s="1358"/>
      <c r="I22764" s="1358"/>
    </row>
    <row r="22765" spans="8:9">
      <c r="H22765" s="1358"/>
      <c r="I22765" s="1358"/>
    </row>
    <row r="22766" spans="8:9">
      <c r="H22766" s="1358"/>
      <c r="I22766" s="1358"/>
    </row>
    <row r="22767" spans="8:9">
      <c r="H22767" s="1358"/>
      <c r="I22767" s="1358"/>
    </row>
    <row r="22768" spans="8:9">
      <c r="H22768" s="1358"/>
      <c r="I22768" s="1358"/>
    </row>
    <row r="22769" spans="8:9">
      <c r="H22769" s="1358"/>
      <c r="I22769" s="1358"/>
    </row>
    <row r="22770" spans="8:9">
      <c r="H22770" s="1358"/>
      <c r="I22770" s="1358"/>
    </row>
    <row r="22771" spans="8:9">
      <c r="H22771" s="1358"/>
      <c r="I22771" s="1358"/>
    </row>
    <row r="22772" spans="8:9">
      <c r="H22772" s="1358"/>
      <c r="I22772" s="1358"/>
    </row>
    <row r="22773" spans="8:9">
      <c r="H22773" s="1358"/>
      <c r="I22773" s="1358"/>
    </row>
    <row r="22774" spans="8:9">
      <c r="H22774" s="1358"/>
      <c r="I22774" s="1358"/>
    </row>
    <row r="22775" spans="8:9">
      <c r="H22775" s="1358"/>
      <c r="I22775" s="1358"/>
    </row>
    <row r="22776" spans="8:9">
      <c r="H22776" s="1358"/>
      <c r="I22776" s="1358"/>
    </row>
    <row r="22777" spans="8:9">
      <c r="H22777" s="1358"/>
      <c r="I22777" s="1358"/>
    </row>
    <row r="22778" spans="8:9">
      <c r="H22778" s="1358"/>
      <c r="I22778" s="1358"/>
    </row>
    <row r="22779" spans="8:9">
      <c r="H22779" s="1358"/>
      <c r="I22779" s="1358"/>
    </row>
    <row r="22780" spans="8:9">
      <c r="H22780" s="1358"/>
      <c r="I22780" s="1358"/>
    </row>
    <row r="22781" spans="8:9">
      <c r="H22781" s="1358"/>
      <c r="I22781" s="1358"/>
    </row>
    <row r="22782" spans="8:9">
      <c r="H22782" s="1358"/>
      <c r="I22782" s="1358"/>
    </row>
    <row r="22783" spans="8:9">
      <c r="H22783" s="1358"/>
      <c r="I22783" s="1358"/>
    </row>
    <row r="22784" spans="8:9">
      <c r="H22784" s="1358"/>
      <c r="I22784" s="1358"/>
    </row>
    <row r="22785" spans="8:9">
      <c r="H22785" s="1358"/>
      <c r="I22785" s="1358"/>
    </row>
    <row r="22786" spans="8:9">
      <c r="H22786" s="1358"/>
      <c r="I22786" s="1358"/>
    </row>
    <row r="22787" spans="8:9">
      <c r="H22787" s="1358"/>
      <c r="I22787" s="1358"/>
    </row>
    <row r="22788" spans="8:9">
      <c r="H22788" s="1358"/>
      <c r="I22788" s="1358"/>
    </row>
    <row r="22789" spans="8:9">
      <c r="H22789" s="1358"/>
      <c r="I22789" s="1358"/>
    </row>
    <row r="22790" spans="8:9">
      <c r="H22790" s="1358"/>
      <c r="I22790" s="1358"/>
    </row>
    <row r="22791" spans="8:9">
      <c r="H22791" s="1358"/>
      <c r="I22791" s="1358"/>
    </row>
    <row r="22792" spans="8:9">
      <c r="H22792" s="1358"/>
      <c r="I22792" s="1358"/>
    </row>
    <row r="22793" spans="8:9">
      <c r="H22793" s="1358"/>
      <c r="I22793" s="1358"/>
    </row>
    <row r="22794" spans="8:9">
      <c r="H22794" s="1358"/>
      <c r="I22794" s="1358"/>
    </row>
    <row r="22795" spans="8:9">
      <c r="H22795" s="1358"/>
      <c r="I22795" s="1358"/>
    </row>
    <row r="22796" spans="8:9">
      <c r="H22796" s="1358"/>
      <c r="I22796" s="1358"/>
    </row>
    <row r="22797" spans="8:9">
      <c r="H22797" s="1358"/>
      <c r="I22797" s="1358"/>
    </row>
    <row r="22798" spans="8:9">
      <c r="H22798" s="1358"/>
      <c r="I22798" s="1358"/>
    </row>
    <row r="22799" spans="8:9">
      <c r="H22799" s="1358"/>
      <c r="I22799" s="1358"/>
    </row>
    <row r="22800" spans="8:9">
      <c r="H22800" s="1358"/>
      <c r="I22800" s="1358"/>
    </row>
    <row r="22801" spans="8:9">
      <c r="H22801" s="1358"/>
      <c r="I22801" s="1358"/>
    </row>
    <row r="22802" spans="8:9">
      <c r="H22802" s="1358"/>
      <c r="I22802" s="1358"/>
    </row>
    <row r="22803" spans="8:9">
      <c r="H22803" s="1358"/>
      <c r="I22803" s="1358"/>
    </row>
    <row r="22804" spans="8:9">
      <c r="H22804" s="1358"/>
      <c r="I22804" s="1358"/>
    </row>
    <row r="22805" spans="8:9">
      <c r="H22805" s="1358"/>
      <c r="I22805" s="1358"/>
    </row>
    <row r="22806" spans="8:9">
      <c r="H22806" s="1358"/>
      <c r="I22806" s="1358"/>
    </row>
    <row r="22807" spans="8:9">
      <c r="H22807" s="1358"/>
      <c r="I22807" s="1358"/>
    </row>
    <row r="22808" spans="8:9">
      <c r="H22808" s="1358"/>
      <c r="I22808" s="1358"/>
    </row>
    <row r="22809" spans="8:9">
      <c r="H22809" s="1358"/>
      <c r="I22809" s="1358"/>
    </row>
    <row r="22810" spans="8:9">
      <c r="H22810" s="1358"/>
      <c r="I22810" s="1358"/>
    </row>
    <row r="22811" spans="8:9">
      <c r="H22811" s="1358"/>
      <c r="I22811" s="1358"/>
    </row>
    <row r="22812" spans="8:9">
      <c r="H22812" s="1358"/>
      <c r="I22812" s="1358"/>
    </row>
    <row r="22813" spans="8:9">
      <c r="H22813" s="1358"/>
      <c r="I22813" s="1358"/>
    </row>
    <row r="22814" spans="8:9">
      <c r="H22814" s="1358"/>
      <c r="I22814" s="1358"/>
    </row>
    <row r="22815" spans="8:9">
      <c r="H22815" s="1358"/>
      <c r="I22815" s="1358"/>
    </row>
  </sheetData>
  <mergeCells count="26">
    <mergeCell ref="S3:S5"/>
    <mergeCell ref="R3:R4"/>
    <mergeCell ref="D1:J1"/>
    <mergeCell ref="K1:T1"/>
    <mergeCell ref="J2:K2"/>
    <mergeCell ref="Q2:S2"/>
    <mergeCell ref="A6:C6"/>
    <mergeCell ref="C3:G3"/>
    <mergeCell ref="A3:A5"/>
    <mergeCell ref="P3:P4"/>
    <mergeCell ref="Q3:Q4"/>
    <mergeCell ref="H3:N3"/>
    <mergeCell ref="O3:O4"/>
    <mergeCell ref="AC2:AD2"/>
    <mergeCell ref="AJ2:AL2"/>
    <mergeCell ref="X1:AC1"/>
    <mergeCell ref="AD1:AM1"/>
    <mergeCell ref="AA3:AG3"/>
    <mergeCell ref="AH3:AH4"/>
    <mergeCell ref="AI3:AI4"/>
    <mergeCell ref="AL3:AL5"/>
    <mergeCell ref="T6:V6"/>
    <mergeCell ref="V3:Z3"/>
    <mergeCell ref="AJ3:AJ4"/>
    <mergeCell ref="AK3:AK4"/>
    <mergeCell ref="T3:T5"/>
  </mergeCells>
  <pageMargins left="0.47199999999999998" right="0.47199999999999998" top="0.51200000000000001" bottom="0.25" header="0" footer="0"/>
  <pageSetup paperSize="448" scale="99" firstPageNumber="50" orientation="portrait" useFirstPageNumber="1" r:id="rId1"/>
  <headerFooter>
    <oddFooter xml:space="preserve">&amp;C&amp;8&amp;P
</oddFooter>
    <firstFooter>&amp;C53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2"/>
  <dimension ref="A1:X74"/>
  <sheetViews>
    <sheetView zoomScale="150" zoomScaleNormal="150" workbookViewId="0">
      <pane xSplit="1" ySplit="5" topLeftCell="E50" activePane="bottomRight" state="frozen"/>
      <selection activeCell="F85" sqref="F85"/>
      <selection pane="topRight" activeCell="F85" sqref="F85"/>
      <selection pane="bottomLeft" activeCell="F85" sqref="F85"/>
      <selection pane="bottomRight" activeCell="U67" sqref="U67"/>
    </sheetView>
  </sheetViews>
  <sheetFormatPr defaultColWidth="9.140625" defaultRowHeight="11.25"/>
  <cols>
    <col min="1" max="1" width="8.5703125" style="8" customWidth="1"/>
    <col min="2" max="2" width="7" style="8" customWidth="1"/>
    <col min="3" max="3" width="7.28515625" style="8" customWidth="1"/>
    <col min="4" max="4" width="7.42578125" style="8" customWidth="1"/>
    <col min="5" max="5" width="7.7109375" style="8" customWidth="1"/>
    <col min="6" max="6" width="7" style="8" customWidth="1"/>
    <col min="7" max="7" width="6.5703125" style="8" customWidth="1"/>
    <col min="8" max="9" width="7.28515625" style="8" customWidth="1"/>
    <col min="10" max="10" width="7.42578125" style="8" customWidth="1"/>
    <col min="11" max="11" width="7.5703125" style="8" customWidth="1"/>
    <col min="12" max="12" width="7.7109375" style="8" customWidth="1"/>
    <col min="13" max="13" width="7" style="8" customWidth="1"/>
    <col min="14" max="14" width="7.28515625" style="8" customWidth="1"/>
    <col min="15" max="16" width="7.140625" style="8" customWidth="1"/>
    <col min="17" max="17" width="7" style="8" customWidth="1"/>
    <col min="18" max="18" width="7.28515625" style="8" customWidth="1"/>
    <col min="19" max="19" width="7.85546875" style="8" customWidth="1"/>
    <col min="20" max="20" width="4.5703125" style="8" hidden="1" customWidth="1"/>
    <col min="21" max="21" width="7.42578125" style="8" customWidth="1"/>
    <col min="22" max="22" width="7" style="8" customWidth="1"/>
    <col min="23" max="23" width="6.85546875" style="8" customWidth="1"/>
    <col min="24" max="16384" width="9.140625" style="8"/>
  </cols>
  <sheetData>
    <row r="1" spans="1:24" s="33" customFormat="1" ht="14.25" customHeight="1">
      <c r="B1" s="1896" t="s">
        <v>248</v>
      </c>
      <c r="C1" s="1896"/>
      <c r="D1" s="1896"/>
      <c r="E1" s="1896"/>
      <c r="F1" s="1896"/>
      <c r="G1" s="1896"/>
      <c r="H1" s="1896"/>
      <c r="I1" s="1896"/>
      <c r="J1" s="1896"/>
      <c r="K1" s="1896"/>
      <c r="L1" s="2338" t="s">
        <v>249</v>
      </c>
      <c r="M1" s="2338"/>
      <c r="N1" s="2338"/>
      <c r="O1" s="2338"/>
      <c r="P1" s="34"/>
      <c r="Q1" s="34"/>
      <c r="R1" s="34"/>
      <c r="U1" s="1896" t="s">
        <v>2372</v>
      </c>
      <c r="V1" s="1896"/>
      <c r="W1" s="1896"/>
    </row>
    <row r="2" spans="1:24" ht="12" customHeight="1">
      <c r="B2" s="1493"/>
      <c r="C2" s="1493"/>
      <c r="D2" s="2335"/>
      <c r="E2" s="2335"/>
      <c r="F2" s="94"/>
      <c r="G2" s="94"/>
      <c r="H2" s="94"/>
      <c r="I2" s="94"/>
      <c r="J2" s="2336" t="s">
        <v>2034</v>
      </c>
      <c r="K2" s="2336"/>
      <c r="L2" s="2339" t="s">
        <v>2035</v>
      </c>
      <c r="M2" s="2339"/>
      <c r="N2" s="2339"/>
      <c r="O2" s="2339"/>
      <c r="P2" s="2339"/>
      <c r="S2" s="1493"/>
      <c r="T2" s="1493"/>
      <c r="V2" s="2337" t="s">
        <v>1579</v>
      </c>
      <c r="W2" s="2337"/>
    </row>
    <row r="3" spans="1:24" ht="13.5" customHeight="1">
      <c r="A3" s="2325" t="s">
        <v>487</v>
      </c>
      <c r="B3" s="2334" t="s">
        <v>250</v>
      </c>
      <c r="C3" s="2334" t="s">
        <v>251</v>
      </c>
      <c r="D3" s="2334" t="s">
        <v>252</v>
      </c>
      <c r="E3" s="2334" t="s">
        <v>274</v>
      </c>
      <c r="F3" s="2334" t="s">
        <v>275</v>
      </c>
      <c r="G3" s="2334" t="s">
        <v>283</v>
      </c>
      <c r="H3" s="2334" t="s">
        <v>253</v>
      </c>
      <c r="I3" s="2334" t="s">
        <v>254</v>
      </c>
      <c r="J3" s="2334" t="s">
        <v>255</v>
      </c>
      <c r="K3" s="2334" t="s">
        <v>1413</v>
      </c>
      <c r="L3" s="2334" t="s">
        <v>282</v>
      </c>
      <c r="M3" s="2334" t="s">
        <v>256</v>
      </c>
      <c r="N3" s="2334" t="s">
        <v>257</v>
      </c>
      <c r="O3" s="2334" t="s">
        <v>837</v>
      </c>
      <c r="P3" s="2334" t="s">
        <v>277</v>
      </c>
      <c r="Q3" s="2334" t="s">
        <v>838</v>
      </c>
      <c r="R3" s="2334" t="s">
        <v>1414</v>
      </c>
      <c r="S3" s="2328" t="s">
        <v>258</v>
      </c>
      <c r="T3" s="2329"/>
      <c r="U3" s="2329"/>
      <c r="V3" s="2329"/>
      <c r="W3" s="2330"/>
    </row>
    <row r="4" spans="1:24" s="95" customFormat="1" ht="74.25" customHeight="1">
      <c r="A4" s="2326"/>
      <c r="B4" s="2334"/>
      <c r="C4" s="2334"/>
      <c r="D4" s="2334"/>
      <c r="E4" s="2334"/>
      <c r="F4" s="2334"/>
      <c r="G4" s="2334"/>
      <c r="H4" s="2334"/>
      <c r="I4" s="2334"/>
      <c r="J4" s="2334"/>
      <c r="K4" s="2334"/>
      <c r="L4" s="2334"/>
      <c r="M4" s="2334"/>
      <c r="N4" s="2334"/>
      <c r="O4" s="2334"/>
      <c r="P4" s="2334"/>
      <c r="Q4" s="2334"/>
      <c r="R4" s="2334"/>
      <c r="S4" s="2331" t="s">
        <v>250</v>
      </c>
      <c r="T4" s="2332"/>
      <c r="U4" s="1495" t="s">
        <v>256</v>
      </c>
      <c r="V4" s="1349" t="s">
        <v>259</v>
      </c>
      <c r="W4" s="1349" t="s">
        <v>276</v>
      </c>
    </row>
    <row r="5" spans="1:24" s="98" customFormat="1" ht="9.75" customHeight="1">
      <c r="A5" s="2327"/>
      <c r="B5" s="1496">
        <v>1</v>
      </c>
      <c r="C5" s="1496">
        <v>2</v>
      </c>
      <c r="D5" s="1496">
        <v>3</v>
      </c>
      <c r="E5" s="1496">
        <v>4</v>
      </c>
      <c r="F5" s="1496">
        <v>5</v>
      </c>
      <c r="G5" s="1496">
        <v>6</v>
      </c>
      <c r="H5" s="1496">
        <v>7</v>
      </c>
      <c r="I5" s="1496">
        <v>8</v>
      </c>
      <c r="J5" s="1496">
        <v>9</v>
      </c>
      <c r="K5" s="1496">
        <v>10</v>
      </c>
      <c r="L5" s="1496">
        <v>11</v>
      </c>
      <c r="M5" s="1496">
        <v>12</v>
      </c>
      <c r="N5" s="1496">
        <v>13</v>
      </c>
      <c r="O5" s="1496">
        <v>14</v>
      </c>
      <c r="P5" s="1496">
        <v>15</v>
      </c>
      <c r="Q5" s="1496">
        <v>16</v>
      </c>
      <c r="R5" s="1496">
        <v>17</v>
      </c>
      <c r="S5" s="2333">
        <v>18</v>
      </c>
      <c r="T5" s="2333"/>
      <c r="U5" s="1496">
        <v>19</v>
      </c>
      <c r="V5" s="1496">
        <v>20</v>
      </c>
      <c r="W5" s="1496">
        <v>21</v>
      </c>
    </row>
    <row r="6" spans="1:24" s="98" customFormat="1" ht="9.9499999999999993" customHeight="1">
      <c r="A6" s="2317" t="s">
        <v>2036</v>
      </c>
      <c r="B6" s="2318"/>
      <c r="C6" s="2318"/>
      <c r="D6" s="1066"/>
      <c r="E6" s="1066"/>
      <c r="F6" s="1066"/>
      <c r="G6" s="1066"/>
      <c r="H6" s="1066"/>
      <c r="I6" s="1066"/>
      <c r="J6" s="1066"/>
      <c r="K6" s="1066"/>
      <c r="L6" s="1066"/>
      <c r="M6" s="1066"/>
      <c r="N6" s="1066"/>
      <c r="O6" s="1066"/>
      <c r="P6" s="1066"/>
      <c r="Q6" s="1066"/>
      <c r="R6" s="1066"/>
      <c r="S6" s="1066"/>
      <c r="T6" s="1066"/>
      <c r="U6" s="1066"/>
      <c r="V6" s="1066"/>
      <c r="W6" s="1066"/>
    </row>
    <row r="7" spans="1:24" s="95" customFormat="1" ht="9.9499999999999993" customHeight="1">
      <c r="A7" s="326" t="s">
        <v>564</v>
      </c>
      <c r="B7" s="296">
        <v>482337</v>
      </c>
      <c r="C7" s="598">
        <v>509545</v>
      </c>
      <c r="D7" s="598">
        <v>3653</v>
      </c>
      <c r="E7" s="598">
        <v>513197</v>
      </c>
      <c r="F7" s="598">
        <v>378940</v>
      </c>
      <c r="G7" s="295">
        <f>(F7/B7)*100</f>
        <v>78.563328129502821</v>
      </c>
      <c r="H7" s="598">
        <v>103397</v>
      </c>
      <c r="I7" s="598">
        <v>134257</v>
      </c>
      <c r="J7" s="295">
        <f>(I7/B7)*100</f>
        <v>27.834688195183038</v>
      </c>
      <c r="K7" s="598">
        <v>126103</v>
      </c>
      <c r="L7" s="295">
        <f>(K7/B7)*100</f>
        <v>26.144168910948157</v>
      </c>
      <c r="M7" s="597" t="s">
        <v>1157</v>
      </c>
      <c r="N7" s="597" t="s">
        <v>1162</v>
      </c>
      <c r="O7" s="597" t="s">
        <v>661</v>
      </c>
      <c r="P7" s="597" t="s">
        <v>1171</v>
      </c>
      <c r="Q7" s="1064">
        <f>(B7/M7)*100</f>
        <v>100</v>
      </c>
      <c r="R7" s="597" t="s">
        <v>1175</v>
      </c>
      <c r="S7" s="598">
        <v>34502</v>
      </c>
      <c r="T7" s="597"/>
      <c r="U7" s="597" t="s">
        <v>1181</v>
      </c>
      <c r="V7" s="598">
        <v>36448</v>
      </c>
      <c r="W7" s="597" t="s">
        <v>1180</v>
      </c>
      <c r="X7" s="867"/>
    </row>
    <row r="8" spans="1:24" s="250" customFormat="1" ht="9.9499999999999993" customHeight="1">
      <c r="A8" s="253"/>
      <c r="B8" s="1067">
        <f>(B7/67.08)*10</f>
        <v>71904.740608228982</v>
      </c>
      <c r="C8" s="1067">
        <f>(C7/67.08)*10</f>
        <v>75960.793082886114</v>
      </c>
      <c r="D8" s="1067">
        <f>(D7/67.08)*10</f>
        <v>544.5736434108527</v>
      </c>
      <c r="E8" s="1067">
        <f>(E7/67.08)*10</f>
        <v>76505.217650566497</v>
      </c>
      <c r="F8" s="1067">
        <f>(F7/67.08)*10</f>
        <v>56490.757304710794</v>
      </c>
      <c r="G8" s="1067"/>
      <c r="H8" s="1067">
        <f>(H7/67.08)*10</f>
        <v>15413.983303518187</v>
      </c>
      <c r="I8" s="1067">
        <f>(I7/67.08)*10</f>
        <v>20014.460345855696</v>
      </c>
      <c r="J8" s="1067"/>
      <c r="K8" s="1067">
        <f>(K7/67.08)*10</f>
        <v>18798.896839594516</v>
      </c>
      <c r="L8" s="1068"/>
      <c r="M8" s="1068"/>
      <c r="N8" s="1068"/>
      <c r="O8" s="1068"/>
      <c r="P8" s="1068"/>
      <c r="Q8" s="1068"/>
      <c r="R8" s="1068"/>
      <c r="S8" s="1067">
        <f>S7/67.08</f>
        <v>514.34108527131787</v>
      </c>
      <c r="T8" s="1068"/>
      <c r="U8" s="1068"/>
      <c r="V8" s="1067">
        <f>V7/67.08</f>
        <v>543.35122242098987</v>
      </c>
      <c r="W8" s="1068"/>
      <c r="X8" s="1069"/>
    </row>
    <row r="9" spans="1:24" s="95" customFormat="1" ht="9.9499999999999993" customHeight="1">
      <c r="A9" s="326" t="s">
        <v>573</v>
      </c>
      <c r="B9" s="296">
        <v>549800</v>
      </c>
      <c r="C9" s="598">
        <v>585075</v>
      </c>
      <c r="D9" s="598">
        <v>3989</v>
      </c>
      <c r="E9" s="598">
        <v>589064</v>
      </c>
      <c r="F9" s="598">
        <v>435731</v>
      </c>
      <c r="G9" s="295">
        <f>(F9/B9)*100</f>
        <v>79.252637322662792</v>
      </c>
      <c r="H9" s="598">
        <v>114069</v>
      </c>
      <c r="I9" s="598">
        <v>153333</v>
      </c>
      <c r="J9" s="295">
        <f>(I9/B9)*100</f>
        <v>27.888868679519824</v>
      </c>
      <c r="K9" s="598">
        <v>143929</v>
      </c>
      <c r="L9" s="295">
        <f>(K9/B9)*100</f>
        <v>26.178428519461622</v>
      </c>
      <c r="M9" s="597" t="s">
        <v>1158</v>
      </c>
      <c r="N9" s="597" t="s">
        <v>1163</v>
      </c>
      <c r="O9" s="597" t="s">
        <v>1167</v>
      </c>
      <c r="P9" s="597" t="s">
        <v>1172</v>
      </c>
      <c r="Q9" s="1064">
        <f>(B9/M9)*100</f>
        <v>106.47135943669718</v>
      </c>
      <c r="R9" s="597" t="s">
        <v>1176</v>
      </c>
      <c r="S9" s="598">
        <v>38773</v>
      </c>
      <c r="T9" s="597"/>
      <c r="U9" s="597" t="s">
        <v>1182</v>
      </c>
      <c r="V9" s="598">
        <v>41261</v>
      </c>
      <c r="W9" s="597" t="s">
        <v>1186</v>
      </c>
      <c r="X9" s="867"/>
    </row>
    <row r="10" spans="1:24" s="250" customFormat="1" ht="9.9499999999999993" customHeight="1">
      <c r="A10" s="253"/>
      <c r="B10" s="1067">
        <f>(B9/69.03)*10</f>
        <v>79646.530493988117</v>
      </c>
      <c r="C10" s="1067">
        <f>(C9/69.03)*10</f>
        <v>84756.627553237719</v>
      </c>
      <c r="D10" s="1067">
        <f>(D9/69.03)*10</f>
        <v>577.86469650876427</v>
      </c>
      <c r="E10" s="1067">
        <f>(E9/69.03)*10</f>
        <v>85334.492249746487</v>
      </c>
      <c r="F10" s="1067">
        <f>(F9/69.03)*10</f>
        <v>63121.975952484427</v>
      </c>
      <c r="G10" s="1067"/>
      <c r="H10" s="1067">
        <f>(H9/69.03)*10</f>
        <v>16524.554541503694</v>
      </c>
      <c r="I10" s="1067">
        <f>(I9/69.03)*10</f>
        <v>22212.51629726206</v>
      </c>
      <c r="J10" s="1067"/>
      <c r="K10" s="1067">
        <f>(K9/69.03)*10</f>
        <v>20850.210053599883</v>
      </c>
      <c r="L10" s="1068"/>
      <c r="M10" s="1068"/>
      <c r="N10" s="1068"/>
      <c r="O10" s="1068"/>
      <c r="P10" s="1068"/>
      <c r="Q10" s="1068"/>
      <c r="R10" s="1068"/>
      <c r="S10" s="1067">
        <f>S9/69.03</f>
        <v>561.68332609010577</v>
      </c>
      <c r="T10" s="1068"/>
      <c r="U10" s="1068"/>
      <c r="V10" s="1067">
        <f>V9/69.03</f>
        <v>597.7256265391859</v>
      </c>
      <c r="W10" s="1068"/>
      <c r="X10" s="1069"/>
    </row>
    <row r="11" spans="1:24" s="95" customFormat="1" ht="9.9499999999999993" customHeight="1">
      <c r="A11" s="326" t="s">
        <v>333</v>
      </c>
      <c r="B11" s="296">
        <v>628682</v>
      </c>
      <c r="C11" s="598">
        <v>677072</v>
      </c>
      <c r="D11" s="598">
        <v>5671</v>
      </c>
      <c r="E11" s="598">
        <v>682743</v>
      </c>
      <c r="F11" s="598">
        <v>508042</v>
      </c>
      <c r="G11" s="295">
        <f>(F11/B11)*100</f>
        <v>80.810648308683881</v>
      </c>
      <c r="H11" s="598">
        <v>120640</v>
      </c>
      <c r="I11" s="598">
        <v>174701</v>
      </c>
      <c r="J11" s="295">
        <f>(I11/B11)*100</f>
        <v>27.788452667644375</v>
      </c>
      <c r="K11" s="598">
        <v>164729</v>
      </c>
      <c r="L11" s="295">
        <f>(K11/B11)*100</f>
        <v>26.202277144884057</v>
      </c>
      <c r="M11" s="597" t="s">
        <v>1159</v>
      </c>
      <c r="N11" s="597" t="s">
        <v>1164</v>
      </c>
      <c r="O11" s="597" t="s">
        <v>1168</v>
      </c>
      <c r="P11" s="597" t="s">
        <v>1066</v>
      </c>
      <c r="Q11" s="1064">
        <f>(B11/M11)*100</f>
        <v>114.84097713526853</v>
      </c>
      <c r="R11" s="597" t="s">
        <v>1177</v>
      </c>
      <c r="S11" s="598">
        <v>43719</v>
      </c>
      <c r="T11" s="597"/>
      <c r="U11" s="597" t="s">
        <v>1187</v>
      </c>
      <c r="V11" s="598">
        <v>47084</v>
      </c>
      <c r="W11" s="597" t="s">
        <v>1183</v>
      </c>
      <c r="X11" s="867"/>
    </row>
    <row r="12" spans="1:24" s="250" customFormat="1" ht="9.9499999999999993" customHeight="1">
      <c r="A12" s="253"/>
      <c r="B12" s="1067">
        <f>(B11/68.6)*10</f>
        <v>91644.606413994174</v>
      </c>
      <c r="C12" s="1067">
        <f>(C11/68.6)*10</f>
        <v>98698.542274052481</v>
      </c>
      <c r="D12" s="1067">
        <f>(D11/68.6)*10</f>
        <v>826.67638483965015</v>
      </c>
      <c r="E12" s="1067">
        <f>(E11/68.6)*10</f>
        <v>99525.218658892132</v>
      </c>
      <c r="F12" s="1067">
        <f>(F11/68.6)*10</f>
        <v>74058.600583090389</v>
      </c>
      <c r="G12" s="1067"/>
      <c r="H12" s="1067">
        <f>(H11/68.6)*10</f>
        <v>17586.005830903792</v>
      </c>
      <c r="I12" s="1067">
        <f>(I11/68.6)*10</f>
        <v>25466.618075801751</v>
      </c>
      <c r="J12" s="1067"/>
      <c r="K12" s="1067">
        <f>(K11/68.6)*10</f>
        <v>24012.973760932946</v>
      </c>
      <c r="L12" s="1068"/>
      <c r="M12" s="1068"/>
      <c r="N12" s="1068"/>
      <c r="O12" s="1068"/>
      <c r="P12" s="1068"/>
      <c r="Q12" s="1068"/>
      <c r="R12" s="1068"/>
      <c r="S12" s="1067">
        <f>S11/68.6</f>
        <v>637.30320699708454</v>
      </c>
      <c r="T12" s="1068"/>
      <c r="U12" s="1068"/>
      <c r="V12" s="1067">
        <f>V11/68.6</f>
        <v>686.3556851311954</v>
      </c>
      <c r="W12" s="1068"/>
      <c r="X12" s="1069"/>
    </row>
    <row r="13" spans="1:24" s="95" customFormat="1" ht="9.9499999999999993" customHeight="1">
      <c r="A13" s="326" t="s">
        <v>85</v>
      </c>
      <c r="B13" s="296">
        <v>705072</v>
      </c>
      <c r="C13" s="598">
        <v>760973</v>
      </c>
      <c r="D13" s="598">
        <v>2407</v>
      </c>
      <c r="E13" s="598">
        <v>763380</v>
      </c>
      <c r="F13" s="598">
        <v>561714</v>
      </c>
      <c r="G13" s="295">
        <f>(F13/B13)*100</f>
        <v>79.667608414459806</v>
      </c>
      <c r="H13" s="598">
        <v>143358</v>
      </c>
      <c r="I13" s="598">
        <v>201662</v>
      </c>
      <c r="J13" s="295">
        <f>(I13/B13)*100</f>
        <v>28.601617990786753</v>
      </c>
      <c r="K13" s="598">
        <v>184772</v>
      </c>
      <c r="L13" s="295">
        <f>(K13/B13)*100</f>
        <v>26.206117956747683</v>
      </c>
      <c r="M13" s="597" t="s">
        <v>1160</v>
      </c>
      <c r="N13" s="597" t="s">
        <v>1165</v>
      </c>
      <c r="O13" s="597" t="s">
        <v>1169</v>
      </c>
      <c r="P13" s="597" t="s">
        <v>1173</v>
      </c>
      <c r="Q13" s="1064">
        <f>(B13/M13)*100</f>
        <v>122.60927631395899</v>
      </c>
      <c r="R13" s="597" t="s">
        <v>1178</v>
      </c>
      <c r="S13" s="598">
        <v>48359</v>
      </c>
      <c r="T13" s="597"/>
      <c r="U13" s="597" t="s">
        <v>1188</v>
      </c>
      <c r="V13" s="598">
        <v>52193</v>
      </c>
      <c r="W13" s="597" t="s">
        <v>1184</v>
      </c>
      <c r="X13" s="867"/>
    </row>
    <row r="14" spans="1:24" s="250" customFormat="1" ht="9.9499999999999993" customHeight="1">
      <c r="A14" s="253"/>
      <c r="B14" s="1067">
        <f>(B13/68.8)*10</f>
        <v>102481.39534883722</v>
      </c>
      <c r="C14" s="1067">
        <f>(C13/68.8)*10</f>
        <v>110606.54069767443</v>
      </c>
      <c r="D14" s="1067">
        <f>(D13/68.8)*10</f>
        <v>349.85465116279073</v>
      </c>
      <c r="E14" s="1067">
        <f>(E13/68.8)*10</f>
        <v>110956.39534883722</v>
      </c>
      <c r="F14" s="1067">
        <f>(F13/68.8)*10</f>
        <v>81644.476744186046</v>
      </c>
      <c r="G14" s="1067"/>
      <c r="H14" s="1067">
        <f>(H13/68.8)*10</f>
        <v>20836.918604651164</v>
      </c>
      <c r="I14" s="1067">
        <f>(I13/68.8)*10</f>
        <v>29311.337209302328</v>
      </c>
      <c r="J14" s="1067"/>
      <c r="K14" s="1067">
        <f>(K13/68.8)*10</f>
        <v>26856.39534883721</v>
      </c>
      <c r="L14" s="1068"/>
      <c r="M14" s="1068"/>
      <c r="N14" s="1068"/>
      <c r="O14" s="1068"/>
      <c r="P14" s="1068"/>
      <c r="Q14" s="1068"/>
      <c r="R14" s="1068"/>
      <c r="S14" s="1067">
        <f>S13/68.8</f>
        <v>702.89244186046517</v>
      </c>
      <c r="T14" s="1068"/>
      <c r="U14" s="1068"/>
      <c r="V14" s="1067">
        <f>V13/68.8</f>
        <v>758.61918604651169</v>
      </c>
      <c r="W14" s="1068"/>
      <c r="X14" s="1069"/>
    </row>
    <row r="15" spans="1:24" s="95" customFormat="1" ht="9.9499999999999993" customHeight="1">
      <c r="A15" s="326" t="s">
        <v>81</v>
      </c>
      <c r="B15" s="296">
        <v>797539</v>
      </c>
      <c r="C15" s="598">
        <v>862142</v>
      </c>
      <c r="D15" s="598">
        <v>4248</v>
      </c>
      <c r="E15" s="598">
        <v>866390</v>
      </c>
      <c r="F15" s="598">
        <v>631571</v>
      </c>
      <c r="G15" s="295">
        <f>(F15/B15)*100</f>
        <v>79.189983185775233</v>
      </c>
      <c r="H15" s="598">
        <v>165968</v>
      </c>
      <c r="I15" s="598">
        <v>234819</v>
      </c>
      <c r="J15" s="295">
        <f>(I15/B15)*100</f>
        <v>29.442948871465845</v>
      </c>
      <c r="K15" s="598">
        <v>209327</v>
      </c>
      <c r="L15" s="295">
        <f>(K15/B15)*100</f>
        <v>26.246616152940483</v>
      </c>
      <c r="M15" s="597" t="s">
        <v>1161</v>
      </c>
      <c r="N15" s="597" t="s">
        <v>1166</v>
      </c>
      <c r="O15" s="597" t="s">
        <v>1170</v>
      </c>
      <c r="P15" s="597" t="s">
        <v>1174</v>
      </c>
      <c r="Q15" s="1064">
        <f>(B15/M15)*100</f>
        <v>131.3692869508497</v>
      </c>
      <c r="R15" s="597" t="s">
        <v>1179</v>
      </c>
      <c r="S15" s="598">
        <v>53961</v>
      </c>
      <c r="T15" s="597"/>
      <c r="U15" s="597" t="s">
        <v>1189</v>
      </c>
      <c r="V15" s="598">
        <v>58332</v>
      </c>
      <c r="W15" s="597" t="s">
        <v>1185</v>
      </c>
      <c r="X15" s="868"/>
    </row>
    <row r="16" spans="1:24" s="250" customFormat="1" ht="9.9499999999999993" customHeight="1">
      <c r="A16" s="253"/>
      <c r="B16" s="1067">
        <f>(B15/69.18)*10</f>
        <v>115284.61983232148</v>
      </c>
      <c r="C16" s="1067">
        <f>(C15/69.18)*10</f>
        <v>124623.01243133852</v>
      </c>
      <c r="D16" s="1067">
        <f>(D15/69.18)*10</f>
        <v>614.0503035559409</v>
      </c>
      <c r="E16" s="1067">
        <f>(E15/69.18)*10</f>
        <v>125237.06273489445</v>
      </c>
      <c r="F16" s="1067">
        <f>(F15/69.18)*10</f>
        <v>91293.871061000274</v>
      </c>
      <c r="G16" s="1067"/>
      <c r="H16" s="1067">
        <f>(H15/69.18)*10</f>
        <v>23990.748771321189</v>
      </c>
      <c r="I16" s="1067">
        <f>(I15/69.18)*10</f>
        <v>33943.191673894187</v>
      </c>
      <c r="J16" s="1067"/>
      <c r="K16" s="1067">
        <f>(K15/69.18)*10</f>
        <v>30258.311650766114</v>
      </c>
      <c r="L16" s="1068"/>
      <c r="M16" s="1068"/>
      <c r="N16" s="1068"/>
      <c r="O16" s="1068"/>
      <c r="P16" s="1068"/>
      <c r="Q16" s="1068"/>
      <c r="R16" s="1068"/>
      <c r="S16" s="1067">
        <f>S15/69.18</f>
        <v>780.0086730268863</v>
      </c>
      <c r="T16" s="1068"/>
      <c r="U16" s="1068"/>
      <c r="V16" s="1067">
        <f>V15/69.18</f>
        <v>843.19167389418897</v>
      </c>
      <c r="W16" s="1068"/>
      <c r="X16" s="1070"/>
    </row>
    <row r="17" spans="1:24" s="95" customFormat="1" ht="9.9499999999999993" customHeight="1">
      <c r="A17" s="326" t="s">
        <v>190</v>
      </c>
      <c r="B17" s="598">
        <v>915829</v>
      </c>
      <c r="C17" s="598">
        <v>988342</v>
      </c>
      <c r="D17" s="598">
        <v>3102</v>
      </c>
      <c r="E17" s="598">
        <v>991444</v>
      </c>
      <c r="F17" s="598">
        <v>726966</v>
      </c>
      <c r="G17" s="295">
        <f>(F17/B17)*100</f>
        <v>79.377918803619451</v>
      </c>
      <c r="H17" s="598">
        <v>188863</v>
      </c>
      <c r="I17" s="598">
        <v>264478</v>
      </c>
      <c r="J17" s="295">
        <f>(I17/B17)*100</f>
        <v>28.878535185061839</v>
      </c>
      <c r="K17" s="598">
        <v>251129</v>
      </c>
      <c r="L17" s="295">
        <f>(K17/B17)*100</f>
        <v>27.420948670548761</v>
      </c>
      <c r="M17" s="597" t="s">
        <v>1059</v>
      </c>
      <c r="N17" s="597" t="s">
        <v>1082</v>
      </c>
      <c r="O17" s="597" t="s">
        <v>1060</v>
      </c>
      <c r="P17" s="597" t="s">
        <v>1061</v>
      </c>
      <c r="Q17" s="1064">
        <f>(B17/M17)*100</f>
        <v>141.694180480303</v>
      </c>
      <c r="R17" s="597" t="s">
        <v>835</v>
      </c>
      <c r="S17" s="598">
        <v>61198</v>
      </c>
      <c r="T17" s="597"/>
      <c r="U17" s="1064">
        <v>43190</v>
      </c>
      <c r="V17" s="598">
        <v>66044</v>
      </c>
      <c r="W17" s="597" t="s">
        <v>1085</v>
      </c>
      <c r="X17" s="868"/>
    </row>
    <row r="18" spans="1:24" s="253" customFormat="1" ht="9.9499999999999993" customHeight="1">
      <c r="B18" s="1067">
        <f>(B17/71.17)*10</f>
        <v>128681.88843613882</v>
      </c>
      <c r="C18" s="1067">
        <f>(C17/71.17)*10</f>
        <v>138870.59154137981</v>
      </c>
      <c r="D18" s="1067">
        <f>(D17/71.17)*10</f>
        <v>435.85780525502315</v>
      </c>
      <c r="E18" s="1067">
        <f>(E17/71.17)*10</f>
        <v>139306.44934663482</v>
      </c>
      <c r="F18" s="1067">
        <f>(F17/71.17)*10</f>
        <v>102145.00491780243</v>
      </c>
      <c r="G18" s="1067"/>
      <c r="H18" s="1067">
        <f>(H17/71.17)*10</f>
        <v>26536.883518336377</v>
      </c>
      <c r="I18" s="1067">
        <f>(I17/71.17)*10</f>
        <v>37161.444428832372</v>
      </c>
      <c r="J18" s="1067"/>
      <c r="K18" s="1067">
        <f>(K17/71.17)*10</f>
        <v>35285.794576366447</v>
      </c>
      <c r="L18" s="1068"/>
      <c r="M18" s="1068"/>
      <c r="N18" s="1068"/>
      <c r="O18" s="1068"/>
      <c r="P18" s="1068"/>
      <c r="Q18" s="1068"/>
      <c r="R18" s="1068"/>
      <c r="S18" s="1067">
        <f>S17/71.17</f>
        <v>859.88478291414924</v>
      </c>
      <c r="T18" s="1068"/>
      <c r="U18" s="1068"/>
      <c r="V18" s="1067">
        <f>V17/71.17</f>
        <v>927.97527047913445</v>
      </c>
      <c r="W18" s="1068"/>
      <c r="X18" s="871"/>
    </row>
    <row r="19" spans="1:24" s="95" customFormat="1" ht="9.9499999999999993" customHeight="1">
      <c r="A19" s="326" t="s">
        <v>731</v>
      </c>
      <c r="B19" s="598">
        <v>1055204</v>
      </c>
      <c r="C19" s="598">
        <v>1144506</v>
      </c>
      <c r="D19" s="598">
        <v>1791</v>
      </c>
      <c r="E19" s="598">
        <v>1146297</v>
      </c>
      <c r="F19" s="598">
        <v>831250</v>
      </c>
      <c r="G19" s="295">
        <f>(F19/B19)*100</f>
        <v>78.776236632916479</v>
      </c>
      <c r="H19" s="598">
        <v>223954</v>
      </c>
      <c r="I19" s="598">
        <v>315047</v>
      </c>
      <c r="J19" s="295">
        <f>(I19/B19)*100</f>
        <v>29.856501681191506</v>
      </c>
      <c r="K19" s="598">
        <v>298225</v>
      </c>
      <c r="L19" s="295">
        <f>(K19/B19)*100</f>
        <v>28.262307572753702</v>
      </c>
      <c r="M19" s="597" t="s">
        <v>1062</v>
      </c>
      <c r="N19" s="597" t="s">
        <v>1081</v>
      </c>
      <c r="O19" s="597" t="s">
        <v>1063</v>
      </c>
      <c r="P19" s="597" t="s">
        <v>1064</v>
      </c>
      <c r="Q19" s="1064">
        <f>(B19/M19)*100</f>
        <v>153.26285089318264</v>
      </c>
      <c r="R19" s="597" t="s">
        <v>836</v>
      </c>
      <c r="S19" s="598">
        <v>69614</v>
      </c>
      <c r="T19" s="597"/>
      <c r="U19" s="1064">
        <v>45421</v>
      </c>
      <c r="V19" s="598">
        <v>75505</v>
      </c>
      <c r="W19" s="597" t="s">
        <v>1084</v>
      </c>
      <c r="X19" s="867"/>
    </row>
    <row r="20" spans="1:24" s="250" customFormat="1" ht="9.9499999999999993" customHeight="1">
      <c r="A20" s="253"/>
      <c r="B20" s="1067">
        <f>(B19/79.1)*10</f>
        <v>133401.26422250317</v>
      </c>
      <c r="C20" s="1067">
        <f>(C19/79.1)*10</f>
        <v>144691.02402022757</v>
      </c>
      <c r="D20" s="1067">
        <f>(D19/79.1)*10</f>
        <v>226.42225031605562</v>
      </c>
      <c r="E20" s="1067">
        <f>(E19/79.1)*10</f>
        <v>144917.44627054362</v>
      </c>
      <c r="F20" s="1067">
        <f>(F19/79.1)*10</f>
        <v>105088.49557522124</v>
      </c>
      <c r="G20" s="1067"/>
      <c r="H20" s="1067">
        <f>(H19/79.1)*10</f>
        <v>28312.768647281922</v>
      </c>
      <c r="I20" s="1067">
        <f>(I19/79.1)*10</f>
        <v>39828.950695322375</v>
      </c>
      <c r="J20" s="1067"/>
      <c r="K20" s="1067">
        <f>(K19/79.1)*10</f>
        <v>37702.275600505687</v>
      </c>
      <c r="L20" s="1068"/>
      <c r="M20" s="1068"/>
      <c r="N20" s="1068"/>
      <c r="O20" s="1068"/>
      <c r="P20" s="1068"/>
      <c r="Q20" s="1068"/>
      <c r="R20" s="1068"/>
      <c r="S20" s="1067">
        <f>S19/79.1</f>
        <v>880.07585335018973</v>
      </c>
      <c r="T20" s="1068"/>
      <c r="U20" s="1068"/>
      <c r="V20" s="1067">
        <f>V19/79.1</f>
        <v>954.55120101137811</v>
      </c>
      <c r="W20" s="1068"/>
      <c r="X20" s="1069"/>
    </row>
    <row r="21" spans="1:24" s="95" customFormat="1" ht="9.9499999999999993" customHeight="1">
      <c r="A21" s="326" t="s">
        <v>840</v>
      </c>
      <c r="B21" s="296">
        <v>1198923</v>
      </c>
      <c r="C21" s="598">
        <v>1295352</v>
      </c>
      <c r="D21" s="598">
        <v>5375</v>
      </c>
      <c r="E21" s="598">
        <v>1300727</v>
      </c>
      <c r="F21" s="598">
        <v>934727</v>
      </c>
      <c r="G21" s="295">
        <f>(F21/B21)*100</f>
        <v>77.963889257275071</v>
      </c>
      <c r="H21" s="598">
        <v>264196</v>
      </c>
      <c r="I21" s="598">
        <v>365999.9</v>
      </c>
      <c r="J21" s="295">
        <f>(I21/B21)*100</f>
        <v>30.527389999190941</v>
      </c>
      <c r="K21" s="598">
        <v>340370</v>
      </c>
      <c r="L21" s="295">
        <f>(K21/B21)*100</f>
        <v>28.38964637428759</v>
      </c>
      <c r="M21" s="597" t="s">
        <v>1065</v>
      </c>
      <c r="N21" s="597" t="s">
        <v>1080</v>
      </c>
      <c r="O21" s="597" t="s">
        <v>1067</v>
      </c>
      <c r="P21" s="597" t="s">
        <v>1066</v>
      </c>
      <c r="Q21" s="1064">
        <f>(B21/M21)*100</f>
        <v>164.25920369586393</v>
      </c>
      <c r="R21" s="597" t="s">
        <v>1068</v>
      </c>
      <c r="S21" s="598">
        <v>78009</v>
      </c>
      <c r="T21" s="597"/>
      <c r="U21" s="1064">
        <v>47491</v>
      </c>
      <c r="V21" s="598">
        <v>84283</v>
      </c>
      <c r="W21" s="597" t="s">
        <v>1083</v>
      </c>
      <c r="X21" s="867"/>
    </row>
    <row r="22" spans="1:24" s="253" customFormat="1" ht="9.9499999999999993" customHeight="1">
      <c r="B22" s="1067">
        <f>(B21/79.93)*10</f>
        <v>149996.62204428873</v>
      </c>
      <c r="C22" s="1067">
        <f>(C21/79.93)*10</f>
        <v>162060.80320280243</v>
      </c>
      <c r="D22" s="1067">
        <f>(D21/79.93)*10</f>
        <v>672.46340547979469</v>
      </c>
      <c r="E22" s="1067">
        <f>(E21/79.93)*10</f>
        <v>162733.26660828223</v>
      </c>
      <c r="F22" s="1067">
        <f>(F21/79.93)*10</f>
        <v>116943.20030026272</v>
      </c>
      <c r="G22" s="1067"/>
      <c r="H22" s="1067">
        <f>(H21/79.93)*10</f>
        <v>33053.421744026018</v>
      </c>
      <c r="I22" s="1067">
        <f>(I21/79.93)*10</f>
        <v>45790.05379707244</v>
      </c>
      <c r="J22" s="1067"/>
      <c r="K22" s="1067">
        <f>(K21/79.93)*10</f>
        <v>42583.510571750274</v>
      </c>
      <c r="L22" s="1068"/>
      <c r="M22" s="1068"/>
      <c r="N22" s="1068"/>
      <c r="O22" s="1068"/>
      <c r="P22" s="1068"/>
      <c r="Q22" s="1068"/>
      <c r="R22" s="1068"/>
      <c r="S22" s="1067">
        <f>S21/79.93</f>
        <v>975.96647066182902</v>
      </c>
      <c r="T22" s="1068"/>
      <c r="U22" s="1068"/>
      <c r="V22" s="1067">
        <f>V21/79.93</f>
        <v>1054.4601526335543</v>
      </c>
      <c r="W22" s="1068"/>
      <c r="X22" s="871"/>
    </row>
    <row r="23" spans="1:24" s="353" customFormat="1" ht="9.9499999999999993" customHeight="1">
      <c r="A23" s="326" t="s">
        <v>1019</v>
      </c>
      <c r="B23" s="296">
        <v>1343674</v>
      </c>
      <c r="C23" s="598">
        <v>1433224</v>
      </c>
      <c r="D23" s="598">
        <v>6334</v>
      </c>
      <c r="E23" s="598">
        <v>1439558</v>
      </c>
      <c r="F23" s="598">
        <v>1046856</v>
      </c>
      <c r="G23" s="295">
        <f>(F23/B23)*100</f>
        <v>77.909969233608749</v>
      </c>
      <c r="H23" s="598">
        <v>296817</v>
      </c>
      <c r="I23" s="598">
        <v>392701</v>
      </c>
      <c r="J23" s="295">
        <f>(I23/B23)*100</f>
        <v>29.225913428405999</v>
      </c>
      <c r="K23" s="598">
        <v>383994</v>
      </c>
      <c r="L23" s="295">
        <f>(K23/B23)*100</f>
        <v>28.577913988065557</v>
      </c>
      <c r="M23" s="597" t="s">
        <v>1153</v>
      </c>
      <c r="N23" s="597">
        <v>825728</v>
      </c>
      <c r="O23" s="597" t="s">
        <v>1154</v>
      </c>
      <c r="P23" s="597" t="s">
        <v>1155</v>
      </c>
      <c r="Q23" s="1064">
        <f>(B23/M23)*100</f>
        <v>173.57079376233634</v>
      </c>
      <c r="R23" s="597" t="s">
        <v>1069</v>
      </c>
      <c r="S23" s="598">
        <v>86266</v>
      </c>
      <c r="T23" s="597"/>
      <c r="U23" s="1064">
        <v>49701</v>
      </c>
      <c r="V23" s="598">
        <v>92015</v>
      </c>
      <c r="W23" s="597" t="s">
        <v>1217</v>
      </c>
      <c r="X23" s="870"/>
    </row>
    <row r="24" spans="1:24" s="253" customFormat="1" ht="9.9499999999999993" customHeight="1">
      <c r="B24" s="1067">
        <f>(B23/77.72)*10</f>
        <v>172886.51569737517</v>
      </c>
      <c r="C24" s="1067">
        <f>(C23/77.72)*10</f>
        <v>184408.64642305713</v>
      </c>
      <c r="D24" s="1067">
        <f>(D23/77.72)*10</f>
        <v>814.97683993823989</v>
      </c>
      <c r="E24" s="1067">
        <f>(E23/77.72)*10</f>
        <v>185223.62326299539</v>
      </c>
      <c r="F24" s="1067">
        <f>(F23/77.72)*10</f>
        <v>134695.83118888317</v>
      </c>
      <c r="G24" s="1067"/>
      <c r="H24" s="1067">
        <f>(H23/77.72)*10</f>
        <v>38190.555841482244</v>
      </c>
      <c r="I24" s="1067">
        <f>(I23/77.72)*10</f>
        <v>50527.663407102416</v>
      </c>
      <c r="J24" s="1067"/>
      <c r="K24" s="1067">
        <f>(K23/77.72)*10</f>
        <v>49407.359752959346</v>
      </c>
      <c r="L24" s="1068"/>
      <c r="M24" s="1068"/>
      <c r="N24" s="1068"/>
      <c r="O24" s="1068"/>
      <c r="P24" s="1068"/>
      <c r="Q24" s="1068"/>
      <c r="R24" s="1068"/>
      <c r="S24" s="1067">
        <f>S23/77.72</f>
        <v>1109.9588265568709</v>
      </c>
      <c r="T24" s="1068"/>
      <c r="U24" s="1068"/>
      <c r="V24" s="1067">
        <f>V23/77.72</f>
        <v>1183.9294904786414</v>
      </c>
      <c r="W24" s="1068"/>
      <c r="X24" s="871"/>
    </row>
    <row r="25" spans="1:24" s="353" customFormat="1" ht="9.9499999999999993" customHeight="1">
      <c r="A25" s="326" t="s">
        <v>1070</v>
      </c>
      <c r="B25" s="296">
        <v>1515802</v>
      </c>
      <c r="C25" s="598">
        <v>1614204</v>
      </c>
      <c r="D25" s="598">
        <v>5600</v>
      </c>
      <c r="E25" s="598">
        <v>1619804</v>
      </c>
      <c r="F25" s="598">
        <v>1179924</v>
      </c>
      <c r="G25" s="295">
        <f>(F25/B25)*100</f>
        <v>77.84156505928874</v>
      </c>
      <c r="H25" s="598">
        <v>335879</v>
      </c>
      <c r="I25" s="598">
        <v>439881</v>
      </c>
      <c r="J25" s="295">
        <f>(I25/B25)*100</f>
        <v>29.01968726786216</v>
      </c>
      <c r="K25" s="598">
        <v>437865</v>
      </c>
      <c r="L25" s="295">
        <f>(K25/B25)*100</f>
        <v>28.886688366950303</v>
      </c>
      <c r="M25" s="597" t="s">
        <v>1213</v>
      </c>
      <c r="N25" s="597" t="s">
        <v>1214</v>
      </c>
      <c r="O25" s="597" t="s">
        <v>1215</v>
      </c>
      <c r="P25" s="597" t="s">
        <v>1216</v>
      </c>
      <c r="Q25" s="1064">
        <f>(B25/M25)*100</f>
        <v>183.76431451564019</v>
      </c>
      <c r="R25" s="597" t="s">
        <v>1156</v>
      </c>
      <c r="S25" s="598">
        <v>96004</v>
      </c>
      <c r="T25" s="597"/>
      <c r="U25" s="598">
        <v>52240</v>
      </c>
      <c r="V25" s="598">
        <v>102236</v>
      </c>
      <c r="W25" s="597" t="s">
        <v>1246</v>
      </c>
      <c r="X25" s="869"/>
    </row>
    <row r="26" spans="1:24" s="253" customFormat="1" ht="9.9499999999999993" customHeight="1">
      <c r="B26" s="1067">
        <f>(B25/77.67)*10</f>
        <v>195159.26355092056</v>
      </c>
      <c r="C26" s="1067">
        <f>(C25/77.67)*10</f>
        <v>207828.50521436849</v>
      </c>
      <c r="D26" s="1067">
        <f>(D25/77.67)*10</f>
        <v>720.99909875112655</v>
      </c>
      <c r="E26" s="1067">
        <f>(E25/77.67)*10</f>
        <v>208549.50431311963</v>
      </c>
      <c r="F26" s="1067">
        <f>(F25/77.67)*10</f>
        <v>151915.02510621861</v>
      </c>
      <c r="G26" s="1067"/>
      <c r="H26" s="1067">
        <f>(H25/77.67)*10</f>
        <v>43244.36719454101</v>
      </c>
      <c r="I26" s="1067">
        <f>(I25/77.67)*10</f>
        <v>56634.607956740059</v>
      </c>
      <c r="J26" s="1067"/>
      <c r="K26" s="1067">
        <f>(K25/77.67)*10</f>
        <v>56375.048281189651</v>
      </c>
      <c r="L26" s="1068"/>
      <c r="M26" s="1068"/>
      <c r="N26" s="1068"/>
      <c r="O26" s="1068"/>
      <c r="P26" s="1068"/>
      <c r="Q26" s="1068"/>
      <c r="R26" s="1068"/>
      <c r="S26" s="1067">
        <f>S25/77.67</f>
        <v>1236.0499549375563</v>
      </c>
      <c r="T26" s="1068"/>
      <c r="U26" s="1068"/>
      <c r="V26" s="1067">
        <f>V25/77.67</f>
        <v>1316.2868546414318</v>
      </c>
      <c r="W26" s="1068"/>
      <c r="X26" s="871"/>
    </row>
    <row r="27" spans="1:24" s="353" customFormat="1" ht="9.9499999999999993" customHeight="1">
      <c r="A27" s="1071" t="s">
        <v>1193</v>
      </c>
      <c r="B27" s="598">
        <v>1732864</v>
      </c>
      <c r="C27" s="598">
        <v>1832675</v>
      </c>
      <c r="D27" s="598">
        <v>583</v>
      </c>
      <c r="E27" s="598">
        <v>1833258</v>
      </c>
      <c r="F27" s="598">
        <v>1300034</v>
      </c>
      <c r="G27" s="295">
        <f>(F27/B27)*100</f>
        <v>75.022275262224852</v>
      </c>
      <c r="H27" s="598">
        <v>432830</v>
      </c>
      <c r="I27" s="598">
        <v>533224</v>
      </c>
      <c r="J27" s="295">
        <f>(I27/B27)*100</f>
        <v>30.771254985965431</v>
      </c>
      <c r="K27" s="598">
        <v>513839</v>
      </c>
      <c r="L27" s="295">
        <f>(K27/B27)*100</f>
        <v>29.652586700398874</v>
      </c>
      <c r="M27" s="598">
        <v>883539</v>
      </c>
      <c r="N27" s="598">
        <v>934430</v>
      </c>
      <c r="O27" s="295">
        <v>14.32</v>
      </c>
      <c r="P27" s="598">
        <v>7.11</v>
      </c>
      <c r="Q27" s="1064">
        <f>(B27/M27)*100</f>
        <v>196.12761858842677</v>
      </c>
      <c r="R27" s="598">
        <v>15.99</v>
      </c>
      <c r="S27" s="598">
        <v>108378</v>
      </c>
      <c r="T27" s="598"/>
      <c r="U27" s="598">
        <v>55259</v>
      </c>
      <c r="V27" s="598">
        <v>114621</v>
      </c>
      <c r="W27" s="598">
        <v>58442</v>
      </c>
      <c r="X27" s="869"/>
    </row>
    <row r="28" spans="1:24" s="253" customFormat="1" ht="9.9499999999999993" customHeight="1">
      <c r="B28" s="1067">
        <f>(B27/78.2658)*10</f>
        <v>221407.56243467773</v>
      </c>
      <c r="C28" s="1067">
        <f>(C27/78.2658)*10</f>
        <v>234160.38678452146</v>
      </c>
      <c r="D28" s="1067">
        <f>(D27/78.2658)*10</f>
        <v>74.489751590094272</v>
      </c>
      <c r="E28" s="1067">
        <f>(E27/78.2658)*10</f>
        <v>234234.87653611155</v>
      </c>
      <c r="F28" s="1067">
        <f>(F27/78.2658)*10</f>
        <v>166104.99094112628</v>
      </c>
      <c r="G28" s="1067"/>
      <c r="H28" s="1067">
        <f>(H27/78.2658)*10</f>
        <v>55302.571493551455</v>
      </c>
      <c r="I28" s="1067">
        <f>(I27/78.2658)*10</f>
        <v>68129.885594985302</v>
      </c>
      <c r="J28" s="1067"/>
      <c r="K28" s="1067">
        <f>(K27/78.2658)*10</f>
        <v>65653.06941218258</v>
      </c>
      <c r="L28" s="1068"/>
      <c r="M28" s="1068"/>
      <c r="N28" s="1068"/>
      <c r="O28" s="1068"/>
      <c r="P28" s="1068"/>
      <c r="Q28" s="1068"/>
      <c r="R28" s="1068"/>
      <c r="S28" s="1067">
        <f>(S27/78.2658)</f>
        <v>1384.742761206044</v>
      </c>
      <c r="T28" s="1068"/>
      <c r="U28" s="1068"/>
      <c r="V28" s="1067">
        <f>(V27/78.2658)</f>
        <v>1464.5094025743044</v>
      </c>
      <c r="W28" s="1068"/>
      <c r="X28" s="871"/>
    </row>
    <row r="29" spans="1:24" s="353" customFormat="1" ht="9.9499999999999993" customHeight="1">
      <c r="A29" s="326" t="s">
        <v>1225</v>
      </c>
      <c r="B29" s="598">
        <v>1975817</v>
      </c>
      <c r="C29" s="598">
        <v>2060718</v>
      </c>
      <c r="D29" s="598">
        <v>353</v>
      </c>
      <c r="E29" s="598">
        <v>2061069</v>
      </c>
      <c r="F29" s="598">
        <v>1475356</v>
      </c>
      <c r="G29" s="295">
        <f>(F29/B29)*100</f>
        <v>74.670680533672908</v>
      </c>
      <c r="H29" s="598">
        <v>500460</v>
      </c>
      <c r="I29" s="598">
        <v>585714</v>
      </c>
      <c r="J29" s="295">
        <f>(I29/B29)*100</f>
        <v>29.644142144743164</v>
      </c>
      <c r="K29" s="598">
        <v>602830</v>
      </c>
      <c r="L29" s="295">
        <f>(K29/B29)*100</f>
        <v>30.510416703571231</v>
      </c>
      <c r="M29" s="598">
        <v>947899</v>
      </c>
      <c r="N29" s="598">
        <v>988630</v>
      </c>
      <c r="O29" s="598">
        <v>14.02</v>
      </c>
      <c r="P29" s="598">
        <v>7.28</v>
      </c>
      <c r="Q29" s="1064">
        <f>(B29/M29)*100</f>
        <v>208.44172216660212</v>
      </c>
      <c r="R29" s="295">
        <v>16.175000000000001</v>
      </c>
      <c r="S29" s="598">
        <v>122152</v>
      </c>
      <c r="T29" s="598"/>
      <c r="U29" s="296">
        <f>M29/R29</f>
        <v>58602.720247295205</v>
      </c>
      <c r="V29" s="296">
        <f>C29/R29</f>
        <v>127401.42194744977</v>
      </c>
      <c r="W29" s="296">
        <f>N29/R29</f>
        <v>61120.865533230288</v>
      </c>
      <c r="X29" s="869"/>
    </row>
    <row r="30" spans="1:24" s="253" customFormat="1" ht="9.9499999999999993" customHeight="1">
      <c r="B30" s="1067">
        <f>(B29/79.119175)*10</f>
        <v>249726.69393986985</v>
      </c>
      <c r="C30" s="1067">
        <f>(C29/79.119175)*10</f>
        <v>260457.46811692615</v>
      </c>
      <c r="D30" s="1067">
        <f>(D29/79.119175)*10</f>
        <v>44.616238731002944</v>
      </c>
      <c r="E30" s="1067">
        <f>(E29/79.119175)*10</f>
        <v>260501.83157243489</v>
      </c>
      <c r="F30" s="1067">
        <f>(F29/79.119175)*10</f>
        <v>186472.62183914328</v>
      </c>
      <c r="G30" s="1067"/>
      <c r="H30" s="1067">
        <f>(H29/79.119175)*10</f>
        <v>63253.945709115396</v>
      </c>
      <c r="I30" s="1067">
        <f>(I29/79.119175)*10</f>
        <v>74029.336124902722</v>
      </c>
      <c r="J30" s="1067"/>
      <c r="K30" s="1067">
        <f>(K29/79.119175)*10</f>
        <v>76192.654941106244</v>
      </c>
      <c r="L30" s="1068"/>
      <c r="M30" s="1068"/>
      <c r="N30" s="1068"/>
      <c r="O30" s="1068"/>
      <c r="P30" s="1068"/>
      <c r="Q30" s="1068"/>
      <c r="R30" s="1068"/>
      <c r="S30" s="1067">
        <f>(S29/79.119175)</f>
        <v>1543.8988083482923</v>
      </c>
      <c r="T30" s="1068"/>
      <c r="U30" s="1068"/>
      <c r="V30" s="1067">
        <f>(V29/79.119175)</f>
        <v>1610.2470980953703</v>
      </c>
      <c r="W30" s="1068"/>
      <c r="X30" s="871"/>
    </row>
    <row r="31" spans="1:24" s="353" customFormat="1" ht="9.9499999999999993" customHeight="1">
      <c r="A31" s="326" t="s">
        <v>1350</v>
      </c>
      <c r="B31" s="598">
        <v>2250481</v>
      </c>
      <c r="C31" s="598">
        <v>2353109</v>
      </c>
      <c r="D31" s="598">
        <v>495</v>
      </c>
      <c r="E31" s="598">
        <v>2353603</v>
      </c>
      <c r="F31" s="598">
        <v>1736587</v>
      </c>
      <c r="G31" s="295">
        <f>(F31/B31)*100</f>
        <v>77.165148250529555</v>
      </c>
      <c r="H31" s="598">
        <v>513892</v>
      </c>
      <c r="I31" s="598">
        <v>617016</v>
      </c>
      <c r="J31" s="295">
        <f>(I31/B31)*100</f>
        <v>27.41707217257111</v>
      </c>
      <c r="K31" s="598">
        <v>702936</v>
      </c>
      <c r="L31" s="295">
        <f>(K31/B31)*100</f>
        <v>31.234922667643051</v>
      </c>
      <c r="M31" s="598">
        <v>1022438</v>
      </c>
      <c r="N31" s="598">
        <v>1069064</v>
      </c>
      <c r="O31" s="295">
        <v>13.9</v>
      </c>
      <c r="P31" s="598">
        <v>7.86</v>
      </c>
      <c r="Q31" s="1064">
        <f>(B31/M31)*100</f>
        <v>220.10928780033606</v>
      </c>
      <c r="R31" s="295">
        <v>16.364999999999998</v>
      </c>
      <c r="S31" s="296">
        <f>B31/R31</f>
        <v>137517.93461655974</v>
      </c>
      <c r="T31" s="598"/>
      <c r="U31" s="296">
        <f>M31/R31</f>
        <v>62477.115795905906</v>
      </c>
      <c r="V31" s="598">
        <f>ROUND((C31/R31),0)</f>
        <v>143789</v>
      </c>
      <c r="W31" s="296">
        <f>N31/R31</f>
        <v>65326.245035135966</v>
      </c>
      <c r="X31" s="869"/>
    </row>
    <row r="32" spans="1:24" s="253" customFormat="1" ht="9.9499999999999993" customHeight="1">
      <c r="B32" s="1067">
        <f>(B31/82.100874)*10</f>
        <v>274111.69825061789</v>
      </c>
      <c r="C32" s="1067">
        <f>(C31/82.100874)*10</f>
        <v>286611.93058675597</v>
      </c>
      <c r="D32" s="1067">
        <f>(D31/82.100874)*10</f>
        <v>60.291684592785217</v>
      </c>
      <c r="E32" s="1067">
        <f>(E31/82.100874)*10</f>
        <v>286672.10046996572</v>
      </c>
      <c r="F32" s="1067">
        <f>(F31/82.100874)*10</f>
        <v>211518.69832713349</v>
      </c>
      <c r="G32" s="1067"/>
      <c r="H32" s="1067">
        <f>(H31/82.100874)*10</f>
        <v>62592.756320718334</v>
      </c>
      <c r="I32" s="1067">
        <f>(I31/82.100874)*10</f>
        <v>75153.40214283223</v>
      </c>
      <c r="J32" s="1067"/>
      <c r="K32" s="1067">
        <f>(K31/82.100874)*10</f>
        <v>85618.576971543574</v>
      </c>
      <c r="L32" s="1068"/>
      <c r="M32" s="1068"/>
      <c r="N32" s="1068"/>
      <c r="O32" s="1068"/>
      <c r="P32" s="1068"/>
      <c r="Q32" s="1068"/>
      <c r="R32" s="1068"/>
      <c r="S32" s="1067">
        <f>(S31/82.100874)</f>
        <v>1674.9874625763391</v>
      </c>
      <c r="T32" s="1068"/>
      <c r="U32" s="1068"/>
      <c r="V32" s="1067">
        <f>(V31/82.100874)</f>
        <v>1751.369906244847</v>
      </c>
      <c r="W32" s="1068"/>
      <c r="X32" s="871"/>
    </row>
    <row r="33" spans="1:24" s="353" customFormat="1" ht="9.9499999999999993" customHeight="1">
      <c r="A33" s="398" t="s">
        <v>1466</v>
      </c>
      <c r="B33" s="598">
        <v>2542484</v>
      </c>
      <c r="C33" s="598">
        <v>2656094</v>
      </c>
      <c r="D33" s="598">
        <v>215</v>
      </c>
      <c r="E33" s="598">
        <v>2656307</v>
      </c>
      <c r="F33" s="598">
        <v>1906266</v>
      </c>
      <c r="G33" s="295">
        <f>(F33/B33)*100</f>
        <v>74.976519026275085</v>
      </c>
      <c r="H33" s="598">
        <v>636217</v>
      </c>
      <c r="I33" s="598">
        <v>750041</v>
      </c>
      <c r="J33" s="295">
        <f>(I33/B33)*100</f>
        <v>29.500323305869379</v>
      </c>
      <c r="K33" s="598">
        <v>802670</v>
      </c>
      <c r="L33" s="295">
        <f>(K33/B33)*100</f>
        <v>31.570306833789317</v>
      </c>
      <c r="M33" s="598">
        <v>1105794</v>
      </c>
      <c r="N33" s="598">
        <v>1155206</v>
      </c>
      <c r="O33" s="598">
        <v>12.98</v>
      </c>
      <c r="P33" s="598">
        <v>8.15</v>
      </c>
      <c r="Q33" s="1064">
        <f>(B33/M33)*100</f>
        <v>229.92383753212624</v>
      </c>
      <c r="R33" s="295">
        <v>16.555</v>
      </c>
      <c r="S33" s="296">
        <f>B33/R33</f>
        <v>153578.01268498943</v>
      </c>
      <c r="T33" s="598"/>
      <c r="U33" s="296">
        <f>M33/R33</f>
        <v>66795.167623074594</v>
      </c>
      <c r="V33" s="598">
        <f>ROUND((C33/R33),0)</f>
        <v>160441</v>
      </c>
      <c r="W33" s="296">
        <f>N33/R33</f>
        <v>69779.885231048029</v>
      </c>
      <c r="X33" s="869"/>
    </row>
    <row r="34" spans="1:24" s="253" customFormat="1" ht="9.9499999999999993" customHeight="1">
      <c r="B34" s="1067">
        <f>(B33/84.03)*10</f>
        <v>302568.60645007738</v>
      </c>
      <c r="C34" s="1067">
        <f>(C33/84.03)*10</f>
        <v>316088.77781744616</v>
      </c>
      <c r="D34" s="1067">
        <f>(D33/84.03)*10</f>
        <v>25.586100202308696</v>
      </c>
      <c r="E34" s="1067">
        <f>(E33/84.03)*10</f>
        <v>316114.12590741401</v>
      </c>
      <c r="F34" s="1067">
        <f>(F33/84.03)*10</f>
        <v>226855.40878257767</v>
      </c>
      <c r="G34" s="1067"/>
      <c r="H34" s="1067">
        <f>(H33/84.03)*10</f>
        <v>75713.078662382482</v>
      </c>
      <c r="I34" s="1067">
        <f>(I33/84.03)*10</f>
        <v>89258.717124836374</v>
      </c>
      <c r="J34" s="1067"/>
      <c r="K34" s="1067">
        <f>(K33/84.03)*10</f>
        <v>95521.837439009862</v>
      </c>
      <c r="L34" s="1068"/>
      <c r="M34" s="1068"/>
      <c r="N34" s="1068"/>
      <c r="O34" s="1068"/>
      <c r="P34" s="1068"/>
      <c r="Q34" s="1068"/>
      <c r="R34" s="1068"/>
      <c r="S34" s="1067">
        <f>(S33/84.03)</f>
        <v>1827.6569401998029</v>
      </c>
      <c r="T34" s="1068"/>
      <c r="U34" s="1068"/>
      <c r="V34" s="1067">
        <f>(V33/84.03)</f>
        <v>1909.3300011900512</v>
      </c>
      <c r="W34" s="1068"/>
      <c r="X34" s="871"/>
    </row>
    <row r="35" spans="1:24" s="353" customFormat="1" ht="9.9499999999999993" customHeight="1">
      <c r="A35" s="326" t="s">
        <v>1550</v>
      </c>
      <c r="B35" s="598">
        <v>2739332</v>
      </c>
      <c r="C35" s="598">
        <v>2873230</v>
      </c>
      <c r="D35" s="598">
        <v>205</v>
      </c>
      <c r="E35" s="598">
        <v>2873435</v>
      </c>
      <c r="F35" s="598">
        <v>2088081</v>
      </c>
      <c r="G35" s="295">
        <f>(F35/B35)*100</f>
        <v>76.225919311715401</v>
      </c>
      <c r="H35" s="598">
        <v>651252</v>
      </c>
      <c r="I35" s="598">
        <v>785354</v>
      </c>
      <c r="J35" s="295">
        <f>(I35/B35)*100</f>
        <v>28.669544253854589</v>
      </c>
      <c r="K35" s="598">
        <v>834631</v>
      </c>
      <c r="L35" s="295">
        <f>(K35/B35)*100</f>
        <v>30.46841346722486</v>
      </c>
      <c r="M35" s="598">
        <v>1144597</v>
      </c>
      <c r="N35" s="598">
        <v>1200545</v>
      </c>
      <c r="O35" s="598">
        <v>7.74</v>
      </c>
      <c r="P35" s="598">
        <v>3.51</v>
      </c>
      <c r="Q35" s="1064">
        <f>(B35/M35)*100</f>
        <v>239.32720424743383</v>
      </c>
      <c r="R35" s="295">
        <v>16.742999999999999</v>
      </c>
      <c r="S35" s="296">
        <f>B35/R35</f>
        <v>163610.58352744431</v>
      </c>
      <c r="T35" s="598"/>
      <c r="U35" s="296">
        <f>M35/R35</f>
        <v>68362.718748133557</v>
      </c>
      <c r="V35" s="598">
        <f>ROUND((C35/R35),0)</f>
        <v>171608</v>
      </c>
      <c r="W35" s="296">
        <f>N35/R35</f>
        <v>71704.294331959638</v>
      </c>
      <c r="X35" s="869"/>
    </row>
    <row r="36" spans="1:24" s="253" customFormat="1" ht="9.9499999999999993" customHeight="1">
      <c r="B36" s="1067">
        <f>(B35/84.78)*10</f>
        <v>323110.63930172211</v>
      </c>
      <c r="C36" s="1067">
        <f>(C35/84.78)*10</f>
        <v>338904.22269403166</v>
      </c>
      <c r="D36" s="1067">
        <f>(D35/84.78)*10</f>
        <v>24.180231186600611</v>
      </c>
      <c r="E36" s="1067">
        <f>(E35/84.78)*10</f>
        <v>338928.40292521816</v>
      </c>
      <c r="F36" s="1067">
        <f>(F35/84.78)*10</f>
        <v>246294.0552016985</v>
      </c>
      <c r="G36" s="1067"/>
      <c r="H36" s="1067">
        <f>(H35/84.78)*10</f>
        <v>76816.702052370834</v>
      </c>
      <c r="I36" s="1067">
        <f>(I35/84.78)*10</f>
        <v>92634.347723519691</v>
      </c>
      <c r="J36" s="1067"/>
      <c r="K36" s="1067">
        <f>(K35/84.78)*10</f>
        <v>98446.685539042228</v>
      </c>
      <c r="L36" s="1068"/>
      <c r="M36" s="1068"/>
      <c r="N36" s="1068"/>
      <c r="O36" s="1068"/>
      <c r="P36" s="1068"/>
      <c r="Q36" s="1068"/>
      <c r="R36" s="1068"/>
      <c r="S36" s="1067">
        <f>(S35/84.78)</f>
        <v>1929.8252362284065</v>
      </c>
      <c r="T36" s="1068"/>
      <c r="U36" s="1068"/>
      <c r="V36" s="1067">
        <f>(V35/84.78)</f>
        <v>2024.1566407171501</v>
      </c>
      <c r="W36" s="1068"/>
      <c r="X36" s="871"/>
    </row>
    <row r="37" spans="1:24" s="353" customFormat="1" ht="9.9499999999999993" customHeight="1">
      <c r="A37" s="326" t="s">
        <v>1933</v>
      </c>
      <c r="B37" s="598">
        <v>3011065</v>
      </c>
      <c r="C37" s="598">
        <v>3197811</v>
      </c>
      <c r="D37" s="598">
        <v>411</v>
      </c>
      <c r="E37" s="598">
        <v>3198222</v>
      </c>
      <c r="F37" s="598">
        <v>2283288</v>
      </c>
      <c r="G37" s="295">
        <f>(F37/B37)*100</f>
        <v>75.829914000528049</v>
      </c>
      <c r="H37" s="598">
        <v>727777</v>
      </c>
      <c r="I37" s="598">
        <v>914934</v>
      </c>
      <c r="J37" s="295">
        <f>(I37/B37)*100</f>
        <v>30.38572730910824</v>
      </c>
      <c r="K37" s="598">
        <v>901003</v>
      </c>
      <c r="L37" s="295">
        <f>(K37/B37)*100</f>
        <v>29.923067087558721</v>
      </c>
      <c r="M37" s="598">
        <v>1207246</v>
      </c>
      <c r="N37" s="598">
        <v>1282119</v>
      </c>
      <c r="O37" s="598">
        <v>9.92</v>
      </c>
      <c r="P37" s="598">
        <v>5.47</v>
      </c>
      <c r="Q37" s="1064">
        <f>(B37/M37)*100</f>
        <v>249.41602622829149</v>
      </c>
      <c r="R37" s="295">
        <v>16.931000000000001</v>
      </c>
      <c r="S37" s="296">
        <f>B37/R37</f>
        <v>177843.30517984761</v>
      </c>
      <c r="T37" s="598"/>
      <c r="U37" s="296">
        <f>M37/R37</f>
        <v>71303.880455968334</v>
      </c>
      <c r="V37" s="598">
        <f>ROUND((C37/R37),0)</f>
        <v>188873</v>
      </c>
      <c r="W37" s="296">
        <f>N37/R37</f>
        <v>75726.123678459626</v>
      </c>
      <c r="X37" s="869"/>
    </row>
    <row r="38" spans="1:24" s="253" customFormat="1" ht="9.9499999999999993" customHeight="1">
      <c r="B38" s="1067">
        <f>(B37/84.81)*10</f>
        <v>355036.55229336163</v>
      </c>
      <c r="C38" s="1067">
        <f>(C37/84.81)*10</f>
        <v>377055.88963565615</v>
      </c>
      <c r="D38" s="1067">
        <f>(D37/84.81)*10</f>
        <v>48.461266360099046</v>
      </c>
      <c r="E38" s="1067">
        <f>(E37/84.81)*10</f>
        <v>377104.35090201622</v>
      </c>
      <c r="F38" s="1067">
        <f>(F37/84.81)*10</f>
        <v>269223.91227449593</v>
      </c>
      <c r="G38" s="1067"/>
      <c r="H38" s="1067">
        <f>(H37/84.81)*10</f>
        <v>85812.640018865699</v>
      </c>
      <c r="I38" s="1067">
        <f>(I37/84.81)*10</f>
        <v>107880.43862752034</v>
      </c>
      <c r="J38" s="1067"/>
      <c r="K38" s="1067">
        <f>(K37/84.81)*10</f>
        <v>106237.82572809811</v>
      </c>
      <c r="L38" s="1068"/>
      <c r="M38" s="1068"/>
      <c r="N38" s="1068"/>
      <c r="O38" s="1068"/>
      <c r="P38" s="1068"/>
      <c r="Q38" s="1068"/>
      <c r="R38" s="1068"/>
      <c r="S38" s="1067">
        <f>(S37/84.81)</f>
        <v>2096.9615043019407</v>
      </c>
      <c r="T38" s="1068"/>
      <c r="U38" s="1068"/>
      <c r="V38" s="1067">
        <f>(V37/84.81)</f>
        <v>2227.0133239004836</v>
      </c>
      <c r="W38" s="1068"/>
      <c r="X38" s="871"/>
    </row>
    <row r="39" spans="1:24" s="353" customFormat="1" ht="9.9499999999999993" customHeight="1">
      <c r="A39" s="1072" t="s">
        <v>2037</v>
      </c>
      <c r="B39" s="599"/>
      <c r="C39" s="599"/>
      <c r="D39" s="599"/>
      <c r="E39" s="599"/>
      <c r="F39" s="599"/>
      <c r="G39" s="599"/>
      <c r="H39" s="599"/>
      <c r="I39" s="599"/>
      <c r="J39" s="599"/>
      <c r="K39" s="599"/>
      <c r="L39" s="597"/>
      <c r="M39" s="597"/>
      <c r="N39" s="597"/>
      <c r="O39" s="597"/>
      <c r="P39" s="597"/>
      <c r="Q39" s="597"/>
      <c r="R39" s="597"/>
      <c r="S39" s="599"/>
      <c r="T39" s="597"/>
      <c r="U39" s="597"/>
      <c r="V39" s="599"/>
      <c r="W39" s="597"/>
      <c r="X39" s="869"/>
    </row>
    <row r="40" spans="1:24" s="410" customFormat="1" ht="9.9499999999999993" customHeight="1">
      <c r="A40" s="546" t="s">
        <v>1193</v>
      </c>
      <c r="B40" s="595">
        <v>2075821</v>
      </c>
      <c r="C40" s="595">
        <v>2173075</v>
      </c>
      <c r="D40" s="595">
        <v>3249</v>
      </c>
      <c r="E40" s="595">
        <v>2176324</v>
      </c>
      <c r="F40" s="595">
        <v>1509739</v>
      </c>
      <c r="G40" s="256">
        <f>(F40/B40)*100</f>
        <v>72.729729586510601</v>
      </c>
      <c r="H40" s="595">
        <v>566082</v>
      </c>
      <c r="I40" s="595">
        <v>666585</v>
      </c>
      <c r="J40" s="256">
        <f>(I40/B40)*100</f>
        <v>32.111872844527539</v>
      </c>
      <c r="K40" s="595">
        <v>627723</v>
      </c>
      <c r="L40" s="256">
        <f>(K40/B40)*100</f>
        <v>30.239746105275938</v>
      </c>
      <c r="M40" s="1068" t="s">
        <v>2038</v>
      </c>
      <c r="N40" s="1068" t="s">
        <v>2039</v>
      </c>
      <c r="O40" s="1068" t="s">
        <v>295</v>
      </c>
      <c r="P40" s="1068" t="s">
        <v>295</v>
      </c>
      <c r="Q40" s="382">
        <f>(B40/M40)*100</f>
        <v>100</v>
      </c>
      <c r="R40" s="1068" t="s">
        <v>2040</v>
      </c>
      <c r="S40" s="595">
        <v>129828</v>
      </c>
      <c r="T40" s="1068"/>
      <c r="U40" s="382">
        <f>M40/R40</f>
        <v>129819.94996873045</v>
      </c>
      <c r="V40" s="595">
        <v>135911</v>
      </c>
      <c r="W40" s="382">
        <f>N40/R40</f>
        <v>135902.12632895561</v>
      </c>
      <c r="X40" s="1073"/>
    </row>
    <row r="41" spans="1:24" s="1075" customFormat="1" ht="9.9499999999999993" customHeight="1">
      <c r="A41" s="326"/>
      <c r="B41" s="599">
        <f>(B40/78.27)*10</f>
        <v>265212.85294493422</v>
      </c>
      <c r="C41" s="599">
        <f>(C40/78.27)*10</f>
        <v>277638.30330905842</v>
      </c>
      <c r="D41" s="599">
        <f>(D40/78.27)*10</f>
        <v>415.10157148332695</v>
      </c>
      <c r="E41" s="599">
        <f>(E40/78.27)*10</f>
        <v>278053.40488054173</v>
      </c>
      <c r="F41" s="599">
        <f>(F40/78.27)*10</f>
        <v>192888.59077552066</v>
      </c>
      <c r="G41" s="599"/>
      <c r="H41" s="599">
        <f>(H40/78.27)*10</f>
        <v>72324.262169413574</v>
      </c>
      <c r="I41" s="599">
        <f>(I40/78.27)*10</f>
        <v>85164.814105021083</v>
      </c>
      <c r="J41" s="599"/>
      <c r="K41" s="599">
        <f>(K40/79.1)*10</f>
        <v>79358.154235145397</v>
      </c>
      <c r="L41" s="597"/>
      <c r="M41" s="597"/>
      <c r="N41" s="597"/>
      <c r="O41" s="597"/>
      <c r="P41" s="597"/>
      <c r="Q41" s="597"/>
      <c r="R41" s="597"/>
      <c r="S41" s="599">
        <f>S40/78.27</f>
        <v>1658.7198160214643</v>
      </c>
      <c r="T41" s="597"/>
      <c r="U41" s="597"/>
      <c r="V41" s="599">
        <f>V40/78.27</f>
        <v>1736.437971125591</v>
      </c>
      <c r="W41" s="597"/>
      <c r="X41" s="1074"/>
    </row>
    <row r="42" spans="1:24" s="410" customFormat="1" ht="9.9499999999999993" customHeight="1">
      <c r="A42" s="253" t="s">
        <v>1225</v>
      </c>
      <c r="B42" s="595">
        <v>2324307</v>
      </c>
      <c r="C42" s="595">
        <v>2404557</v>
      </c>
      <c r="D42" s="595">
        <v>4416</v>
      </c>
      <c r="E42" s="595">
        <v>2408974</v>
      </c>
      <c r="F42" s="595">
        <v>1695216</v>
      </c>
      <c r="G42" s="256">
        <f>(F42/B42)*100</f>
        <v>72.934255242530355</v>
      </c>
      <c r="H42" s="595">
        <v>629091</v>
      </c>
      <c r="I42" s="595">
        <v>713758</v>
      </c>
      <c r="J42" s="256">
        <f>(I42/B42)*100</f>
        <v>30.70842190812143</v>
      </c>
      <c r="K42" s="595">
        <v>719300</v>
      </c>
      <c r="L42" s="256">
        <f>(K42/B42)*100</f>
        <v>30.946858569027242</v>
      </c>
      <c r="M42" s="1068" t="s">
        <v>2041</v>
      </c>
      <c r="N42" s="1068" t="s">
        <v>2042</v>
      </c>
      <c r="O42" s="1068" t="s">
        <v>2043</v>
      </c>
      <c r="P42" s="1068" t="s">
        <v>2044</v>
      </c>
      <c r="Q42" s="382">
        <f>(B42/M42)*100</f>
        <v>105.04758379534154</v>
      </c>
      <c r="R42" s="1068" t="s">
        <v>2045</v>
      </c>
      <c r="S42" s="595">
        <v>143698</v>
      </c>
      <c r="T42" s="1068"/>
      <c r="U42" s="382">
        <f>M42/R42</f>
        <v>136750.49443757726</v>
      </c>
      <c r="V42" s="595">
        <v>148659</v>
      </c>
      <c r="W42" s="382">
        <f>N42/R42</f>
        <v>141472.00247218789</v>
      </c>
      <c r="X42" s="1073"/>
    </row>
    <row r="43" spans="1:24" s="1075" customFormat="1" ht="9.9499999999999993" customHeight="1">
      <c r="A43" s="326"/>
      <c r="B43" s="599">
        <f>(B42/79.12)*10</f>
        <v>293769.84327603638</v>
      </c>
      <c r="C43" s="599">
        <f>(C42/79.12)*10</f>
        <v>303912.66430738114</v>
      </c>
      <c r="D43" s="599">
        <f>(D42/79.12)*10</f>
        <v>558.1395348837209</v>
      </c>
      <c r="E43" s="599">
        <f>(E42/79.12)*10</f>
        <v>304470.93023255811</v>
      </c>
      <c r="F43" s="599">
        <f>(F42/79.12)*10</f>
        <v>214258.84732052579</v>
      </c>
      <c r="G43" s="599"/>
      <c r="H43" s="599">
        <f>(H42/79.12)*10</f>
        <v>79510.995955510618</v>
      </c>
      <c r="I43" s="599">
        <f>(I42/79.12)*10</f>
        <v>90212.082912032347</v>
      </c>
      <c r="J43" s="599"/>
      <c r="K43" s="599">
        <f>(K42/79.12)*10</f>
        <v>90912.537917087961</v>
      </c>
      <c r="L43" s="597"/>
      <c r="M43" s="597"/>
      <c r="N43" s="597"/>
      <c r="O43" s="597"/>
      <c r="P43" s="597"/>
      <c r="Q43" s="597"/>
      <c r="R43" s="597"/>
      <c r="S43" s="599">
        <f>S42/79.12</f>
        <v>1816.2032355915064</v>
      </c>
      <c r="T43" s="597"/>
      <c r="U43" s="597"/>
      <c r="V43" s="599">
        <f>V42/79.12</f>
        <v>1878.9054600606673</v>
      </c>
      <c r="W43" s="597"/>
      <c r="X43" s="1074"/>
    </row>
    <row r="44" spans="1:24" s="410" customFormat="1" ht="9.9499999999999993" customHeight="1">
      <c r="A44" s="253" t="s">
        <v>1350</v>
      </c>
      <c r="B44" s="595">
        <v>2639248</v>
      </c>
      <c r="C44" s="595">
        <v>2744791</v>
      </c>
      <c r="D44" s="595">
        <v>4213</v>
      </c>
      <c r="E44" s="595">
        <v>2749004</v>
      </c>
      <c r="F44" s="595">
        <v>1941136</v>
      </c>
      <c r="G44" s="256">
        <f>(F44/B44)*100</f>
        <v>73.548829060399029</v>
      </c>
      <c r="H44" s="595">
        <v>698112</v>
      </c>
      <c r="I44" s="595">
        <v>807868</v>
      </c>
      <c r="J44" s="256">
        <f>(I44/B44)*100</f>
        <v>30.609779755445494</v>
      </c>
      <c r="K44" s="595">
        <v>839877</v>
      </c>
      <c r="L44" s="256">
        <f>(K44/B44)*100</f>
        <v>31.822587343061358</v>
      </c>
      <c r="M44" s="1068" t="s">
        <v>2046</v>
      </c>
      <c r="N44" s="1068" t="s">
        <v>2047</v>
      </c>
      <c r="O44" s="1068" t="s">
        <v>2048</v>
      </c>
      <c r="P44" s="1068" t="s">
        <v>2049</v>
      </c>
      <c r="Q44" s="382">
        <f>(B44/M44)*100</f>
        <v>111.14616769155225</v>
      </c>
      <c r="R44" s="1068" t="s">
        <v>2050</v>
      </c>
      <c r="S44" s="595">
        <v>161274</v>
      </c>
      <c r="T44" s="1068"/>
      <c r="U44" s="382">
        <f>M44/R44</f>
        <v>145056.4447159438</v>
      </c>
      <c r="V44" s="595">
        <v>167723</v>
      </c>
      <c r="W44" s="382">
        <f>N44/R44</f>
        <v>150857.23885155772</v>
      </c>
      <c r="X44" s="1073"/>
    </row>
    <row r="45" spans="1:24" s="1075" customFormat="1" ht="9.9499999999999993" customHeight="1">
      <c r="A45" s="326"/>
      <c r="B45" s="599">
        <f>(B44/82.1)*10</f>
        <v>321467.47868453106</v>
      </c>
      <c r="C45" s="599">
        <f>(C44/82.1)*10</f>
        <v>334322.89890377596</v>
      </c>
      <c r="D45" s="599">
        <f>(D44/82.1)*10</f>
        <v>513.15468940316691</v>
      </c>
      <c r="E45" s="599">
        <f>(E44/82.1)*10</f>
        <v>334836.05359317909</v>
      </c>
      <c r="F45" s="599">
        <f>(F44/82.1)*10</f>
        <v>236435.56638246041</v>
      </c>
      <c r="G45" s="599"/>
      <c r="H45" s="599">
        <f>(H44/82.1)*10</f>
        <v>85031.912302070647</v>
      </c>
      <c r="I45" s="599">
        <f>(I44/82.1)*10</f>
        <v>98400.487210718638</v>
      </c>
      <c r="J45" s="599"/>
      <c r="K45" s="599">
        <f>(K44/82.1)*10</f>
        <v>102299.26918392206</v>
      </c>
      <c r="L45" s="597"/>
      <c r="M45" s="597"/>
      <c r="N45" s="597"/>
      <c r="O45" s="597"/>
      <c r="P45" s="597"/>
      <c r="Q45" s="597"/>
      <c r="R45" s="597"/>
      <c r="S45" s="599">
        <f>S44/82.1</f>
        <v>1964.3605359317905</v>
      </c>
      <c r="T45" s="597"/>
      <c r="U45" s="597"/>
      <c r="V45" s="599">
        <f>V44/82.1</f>
        <v>2042.9110840438491</v>
      </c>
      <c r="W45" s="597"/>
      <c r="X45" s="1074"/>
    </row>
    <row r="46" spans="1:24" s="410" customFormat="1" ht="9.9499999999999993" customHeight="1">
      <c r="A46" s="384" t="s">
        <v>1466</v>
      </c>
      <c r="B46" s="595">
        <v>2951429</v>
      </c>
      <c r="C46" s="595">
        <v>3072324</v>
      </c>
      <c r="D46" s="595">
        <v>4655</v>
      </c>
      <c r="E46" s="595">
        <v>3076979</v>
      </c>
      <c r="F46" s="595">
        <v>2157955</v>
      </c>
      <c r="G46" s="256">
        <f>(F46/B46)*100</f>
        <v>73.115599257173386</v>
      </c>
      <c r="H46" s="595">
        <v>793474</v>
      </c>
      <c r="I46" s="595">
        <v>919023</v>
      </c>
      <c r="J46" s="256">
        <f>(I46/B46)*100</f>
        <v>31.138238460081542</v>
      </c>
      <c r="K46" s="595">
        <v>950765</v>
      </c>
      <c r="L46" s="256">
        <f>(K46/B46)*100</f>
        <v>32.213717490747698</v>
      </c>
      <c r="M46" s="1068" t="s">
        <v>2051</v>
      </c>
      <c r="N46" s="1068" t="s">
        <v>2052</v>
      </c>
      <c r="O46" s="1068" t="s">
        <v>2053</v>
      </c>
      <c r="P46" s="1068" t="s">
        <v>2054</v>
      </c>
      <c r="Q46" s="382">
        <f>(B46/M46)*100</f>
        <v>115.21206712947783</v>
      </c>
      <c r="R46" s="1068" t="s">
        <v>2055</v>
      </c>
      <c r="S46" s="595">
        <v>178280</v>
      </c>
      <c r="T46" s="1068"/>
      <c r="U46" s="382">
        <f>M46/R46</f>
        <v>154694.20289855075</v>
      </c>
      <c r="V46" s="595">
        <v>185583</v>
      </c>
      <c r="W46" s="382">
        <f>N46/R46</f>
        <v>161030.67632850242</v>
      </c>
      <c r="X46" s="1073"/>
    </row>
    <row r="47" spans="1:24" s="1075" customFormat="1" ht="9.9499999999999993" customHeight="1">
      <c r="A47" s="326"/>
      <c r="B47" s="599">
        <f>(B46/84.03)*10</f>
        <v>351235.15411162679</v>
      </c>
      <c r="C47" s="599">
        <f>(C46/84.03)*10</f>
        <v>365622.27775794361</v>
      </c>
      <c r="D47" s="599">
        <f>(D46/84.03)*10</f>
        <v>553.96882065928833</v>
      </c>
      <c r="E47" s="599">
        <f>(E46/84.03)*10</f>
        <v>366176.24657860288</v>
      </c>
      <c r="F47" s="599">
        <f>(F46/84.03)*10</f>
        <v>256807.68773057239</v>
      </c>
      <c r="G47" s="599"/>
      <c r="H47" s="599">
        <f>(H46/84.03)*10</f>
        <v>94427.466381054386</v>
      </c>
      <c r="I47" s="599">
        <f>(I46/84.03)*10</f>
        <v>109368.43984291324</v>
      </c>
      <c r="J47" s="599"/>
      <c r="K47" s="599">
        <f>(K46/84.03)*10</f>
        <v>113145.90027371177</v>
      </c>
      <c r="L47" s="597"/>
      <c r="M47" s="597"/>
      <c r="N47" s="597"/>
      <c r="O47" s="597"/>
      <c r="P47" s="597"/>
      <c r="Q47" s="597"/>
      <c r="R47" s="597"/>
      <c r="S47" s="599">
        <f>S46/84.03</f>
        <v>2121.6232297988813</v>
      </c>
      <c r="T47" s="597"/>
      <c r="U47" s="597"/>
      <c r="V47" s="599">
        <f>V46/84.03</f>
        <v>2208.5326669046767</v>
      </c>
      <c r="W47" s="597"/>
      <c r="X47" s="1074"/>
    </row>
    <row r="48" spans="1:24" s="410" customFormat="1" ht="9.9499999999999993" customHeight="1">
      <c r="A48" s="253" t="s">
        <v>1550</v>
      </c>
      <c r="B48" s="595">
        <v>3170469</v>
      </c>
      <c r="C48" s="595">
        <v>3301701</v>
      </c>
      <c r="D48" s="595">
        <v>6369</v>
      </c>
      <c r="E48" s="595">
        <v>3308071</v>
      </c>
      <c r="F48" s="595">
        <v>2311982</v>
      </c>
      <c r="G48" s="256">
        <f>(F48/B48)*100</f>
        <v>72.922397285701265</v>
      </c>
      <c r="H48" s="595">
        <v>858487</v>
      </c>
      <c r="I48" s="595">
        <v>996088</v>
      </c>
      <c r="J48" s="256">
        <f>(I48/B48)*100</f>
        <v>31.41768615305811</v>
      </c>
      <c r="K48" s="595">
        <v>992609</v>
      </c>
      <c r="L48" s="256">
        <f>(K48/B48)*100</f>
        <v>31.307954753697327</v>
      </c>
      <c r="M48" s="595">
        <v>2650065</v>
      </c>
      <c r="N48" s="595">
        <v>2759756</v>
      </c>
      <c r="O48" s="256">
        <v>7.42</v>
      </c>
      <c r="P48" s="595">
        <v>3.45</v>
      </c>
      <c r="Q48" s="382">
        <f>(B48/M48)*100</f>
        <v>119.63740512025176</v>
      </c>
      <c r="R48" s="595">
        <v>16.739999999999998</v>
      </c>
      <c r="S48" s="595">
        <v>189361</v>
      </c>
      <c r="T48" s="595"/>
      <c r="U48" s="382">
        <f>M48/R48</f>
        <v>158307.34767025092</v>
      </c>
      <c r="V48" s="595">
        <v>197199</v>
      </c>
      <c r="W48" s="382">
        <f>N48/R48</f>
        <v>164859.97610513741</v>
      </c>
      <c r="X48" s="1073"/>
    </row>
    <row r="49" spans="1:24" s="1075" customFormat="1" ht="9.9499999999999993" customHeight="1">
      <c r="A49" s="326"/>
      <c r="B49" s="599">
        <f>(B48/84.78)*10</f>
        <v>373964.26043878275</v>
      </c>
      <c r="C49" s="599">
        <f>(C48/84.78)*10</f>
        <v>389443.38287331921</v>
      </c>
      <c r="D49" s="599">
        <f>(D48/84.78)*10</f>
        <v>751.23849964614294</v>
      </c>
      <c r="E49" s="599">
        <f>(E48/84.78)*10</f>
        <v>390194.73932531255</v>
      </c>
      <c r="F49" s="599">
        <f>(F48/84.78)*10</f>
        <v>272703.70370370371</v>
      </c>
      <c r="G49" s="599"/>
      <c r="H49" s="599">
        <f>(H48/84.78)*10</f>
        <v>101260.55673507902</v>
      </c>
      <c r="I49" s="599">
        <f>(I48/84.78)*10</f>
        <v>117490.91766926162</v>
      </c>
      <c r="J49" s="599"/>
      <c r="K49" s="599">
        <f>(K48/84.78)*10</f>
        <v>117080.56145317292</v>
      </c>
      <c r="L49" s="597"/>
      <c r="M49" s="597"/>
      <c r="N49" s="597"/>
      <c r="O49" s="597"/>
      <c r="P49" s="597"/>
      <c r="Q49" s="597"/>
      <c r="R49" s="597"/>
      <c r="S49" s="599">
        <f>(S48/84.78)</f>
        <v>2233.5574427931115</v>
      </c>
      <c r="T49" s="597"/>
      <c r="U49" s="597"/>
      <c r="V49" s="599">
        <f>(V48/84.78)</f>
        <v>2326.0084925690021</v>
      </c>
      <c r="W49" s="597"/>
      <c r="X49" s="1074"/>
    </row>
    <row r="50" spans="1:24" s="410" customFormat="1" ht="9.9499999999999993" customHeight="1">
      <c r="A50" s="253" t="s">
        <v>1606</v>
      </c>
      <c r="B50" s="595">
        <v>3530185</v>
      </c>
      <c r="C50" s="595">
        <v>3715997</v>
      </c>
      <c r="D50" s="595">
        <v>6654</v>
      </c>
      <c r="E50" s="595">
        <v>3722650</v>
      </c>
      <c r="F50" s="595">
        <v>2635572</v>
      </c>
      <c r="G50" s="256">
        <f>(F50/B50)*100</f>
        <v>74.658183636268348</v>
      </c>
      <c r="H50" s="595">
        <v>894613</v>
      </c>
      <c r="I50" s="595">
        <v>1087078</v>
      </c>
      <c r="J50" s="256">
        <f>(I50/B50)*100</f>
        <v>30.793796925656871</v>
      </c>
      <c r="K50" s="595">
        <v>1095019</v>
      </c>
      <c r="L50" s="256">
        <f>(K50/B50)*100</f>
        <v>31.018742643799118</v>
      </c>
      <c r="M50" s="595">
        <v>2833944</v>
      </c>
      <c r="N50" s="595">
        <v>2983109</v>
      </c>
      <c r="O50" s="595">
        <v>11.35</v>
      </c>
      <c r="P50" s="595">
        <v>6.94</v>
      </c>
      <c r="Q50" s="382">
        <f>(B50/M50)*100</f>
        <v>124.56791665608071</v>
      </c>
      <c r="R50" s="256">
        <v>16.911000000000001</v>
      </c>
      <c r="S50" s="595">
        <v>208751</v>
      </c>
      <c r="T50" s="595"/>
      <c r="U50" s="382">
        <f>M50/R50</f>
        <v>167579.91839631009</v>
      </c>
      <c r="V50" s="382">
        <v>219738</v>
      </c>
      <c r="W50" s="382">
        <f>N50/R50</f>
        <v>176400.50854473418</v>
      </c>
      <c r="X50" s="1073"/>
    </row>
    <row r="51" spans="1:24" s="1075" customFormat="1" ht="9.9499999999999993" customHeight="1">
      <c r="A51" s="326"/>
      <c r="B51" s="599">
        <f>(B50/84.81)*10</f>
        <v>416246.31529300788</v>
      </c>
      <c r="C51" s="599">
        <f t="shared" ref="C51:K55" si="0">(C50/84.81)*10</f>
        <v>438155.52411272255</v>
      </c>
      <c r="D51" s="599">
        <f t="shared" si="0"/>
        <v>784.57729041386631</v>
      </c>
      <c r="E51" s="599">
        <f t="shared" si="0"/>
        <v>438939.98349251272</v>
      </c>
      <c r="F51" s="599">
        <f t="shared" si="0"/>
        <v>310761.93845065439</v>
      </c>
      <c r="G51" s="599"/>
      <c r="H51" s="599">
        <f t="shared" si="0"/>
        <v>105484.37684235349</v>
      </c>
      <c r="I51" s="599">
        <f t="shared" si="0"/>
        <v>128178.04504185828</v>
      </c>
      <c r="J51" s="599"/>
      <c r="K51" s="599">
        <f t="shared" si="0"/>
        <v>129114.37330503479</v>
      </c>
      <c r="L51" s="597"/>
      <c r="M51" s="597"/>
      <c r="N51" s="597"/>
      <c r="O51" s="597"/>
      <c r="P51" s="597"/>
      <c r="Q51" s="597"/>
      <c r="R51" s="597"/>
      <c r="S51" s="599">
        <v>2462</v>
      </c>
      <c r="T51" s="597"/>
      <c r="U51" s="597"/>
      <c r="V51" s="599">
        <f>(V50/84.81)</f>
        <v>2590.9444640962151</v>
      </c>
      <c r="W51" s="597"/>
      <c r="X51" s="1074"/>
    </row>
    <row r="52" spans="1:24" s="1075" customFormat="1" ht="9.9499999999999993" customHeight="1">
      <c r="A52" s="253" t="s">
        <v>1927</v>
      </c>
      <c r="B52" s="595">
        <v>3971716</v>
      </c>
      <c r="C52" s="595">
        <v>4129062</v>
      </c>
      <c r="D52" s="595">
        <v>6505</v>
      </c>
      <c r="E52" s="595">
        <v>4135567</v>
      </c>
      <c r="F52" s="595">
        <v>2969875</v>
      </c>
      <c r="G52" s="256">
        <f>(F52/B52)*100</f>
        <v>74.775613362083291</v>
      </c>
      <c r="H52" s="595">
        <v>1001841</v>
      </c>
      <c r="I52" s="595">
        <v>1165692</v>
      </c>
      <c r="J52" s="256">
        <f>(I52/B52)*100</f>
        <v>29.349832666786853</v>
      </c>
      <c r="K52" s="595">
        <v>1272827</v>
      </c>
      <c r="L52" s="256">
        <f>(K52/B52)*100</f>
        <v>32.047281326257973</v>
      </c>
      <c r="M52" s="595">
        <v>3035150</v>
      </c>
      <c r="N52" s="595">
        <v>3155392</v>
      </c>
      <c r="O52" s="595">
        <v>12.51</v>
      </c>
      <c r="P52" s="256">
        <v>7.1</v>
      </c>
      <c r="Q52" s="382">
        <f>(B52/M52)*100</f>
        <v>130.85732171391859</v>
      </c>
      <c r="R52" s="256">
        <v>17.13</v>
      </c>
      <c r="S52" s="595">
        <v>231861</v>
      </c>
      <c r="T52" s="595"/>
      <c r="U52" s="382">
        <f>M52/R52</f>
        <v>177183.30414477526</v>
      </c>
      <c r="V52" s="595">
        <v>241047</v>
      </c>
      <c r="W52" s="382">
        <f>N52/R52</f>
        <v>184202.68534734385</v>
      </c>
      <c r="X52" s="1074"/>
    </row>
    <row r="53" spans="1:24" s="1075" customFormat="1" ht="9.9499999999999993" customHeight="1">
      <c r="A53" s="326"/>
      <c r="B53" s="599">
        <f>(B52/86.3)*10</f>
        <v>460222.01622247975</v>
      </c>
      <c r="C53" s="599">
        <f t="shared" ref="C53:I53" si="1">(C52/86.3)*10</f>
        <v>478454.46118192351</v>
      </c>
      <c r="D53" s="599">
        <f t="shared" si="1"/>
        <v>753.76593279258395</v>
      </c>
      <c r="E53" s="599">
        <f t="shared" si="1"/>
        <v>479208.22711471614</v>
      </c>
      <c r="F53" s="599">
        <f t="shared" si="1"/>
        <v>344133.83545770572</v>
      </c>
      <c r="G53" s="599"/>
      <c r="H53" s="599">
        <f t="shared" si="1"/>
        <v>116088.18076477404</v>
      </c>
      <c r="I53" s="599">
        <f t="shared" si="1"/>
        <v>135074.39165701045</v>
      </c>
      <c r="J53" s="599"/>
      <c r="K53" s="599">
        <f t="shared" si="0"/>
        <v>150079.82549227684</v>
      </c>
      <c r="L53" s="597"/>
      <c r="M53" s="597"/>
      <c r="N53" s="597"/>
      <c r="O53" s="597"/>
      <c r="P53" s="597"/>
      <c r="Q53" s="597"/>
      <c r="R53" s="597"/>
      <c r="S53" s="599">
        <v>2687</v>
      </c>
      <c r="T53" s="597"/>
      <c r="U53" s="597"/>
      <c r="V53" s="599">
        <f>(V52/86.3)</f>
        <v>2793.1286210892235</v>
      </c>
      <c r="W53" s="597"/>
      <c r="X53" s="1074"/>
    </row>
    <row r="54" spans="1:24" s="1075" customFormat="1" ht="9.9499999999999993" customHeight="1">
      <c r="A54" s="253" t="s">
        <v>2183</v>
      </c>
      <c r="B54" s="595">
        <v>4490842</v>
      </c>
      <c r="C54" s="595">
        <v>4670080</v>
      </c>
      <c r="D54" s="595">
        <v>8743</v>
      </c>
      <c r="E54" s="595">
        <v>4678823</v>
      </c>
      <c r="F54" s="595">
        <v>3334023</v>
      </c>
      <c r="G54" s="256">
        <f>(F54/B54)*100</f>
        <v>74.2404876412931</v>
      </c>
      <c r="H54" s="595">
        <v>1156819</v>
      </c>
      <c r="I54" s="595">
        <v>1344801</v>
      </c>
      <c r="J54" s="256">
        <f>(I54/B54)*100</f>
        <v>29.945408901047955</v>
      </c>
      <c r="K54" s="595">
        <v>1389969</v>
      </c>
      <c r="L54" s="256">
        <f>(K54/B54)*100</f>
        <v>30.951189108857534</v>
      </c>
      <c r="M54" s="595">
        <v>3210433</v>
      </c>
      <c r="N54" s="595">
        <v>3338568</v>
      </c>
      <c r="O54" s="595">
        <v>13.07</v>
      </c>
      <c r="P54" s="256">
        <v>5.78</v>
      </c>
      <c r="Q54" s="382">
        <f>(B54/M54)*100</f>
        <v>139.88275101832056</v>
      </c>
      <c r="R54" s="256">
        <v>17.079999999999998</v>
      </c>
      <c r="S54" s="595">
        <v>262868</v>
      </c>
      <c r="T54" s="595"/>
      <c r="U54" s="382">
        <f>M54/R54</f>
        <v>187964.46135831383</v>
      </c>
      <c r="V54" s="595">
        <v>273360</v>
      </c>
      <c r="W54" s="382">
        <f>N54/R54</f>
        <v>195466.51053864171</v>
      </c>
      <c r="X54" s="1074"/>
    </row>
    <row r="55" spans="1:24" s="1075" customFormat="1" ht="9.9499999999999993" customHeight="1">
      <c r="A55" s="326"/>
      <c r="B55" s="599">
        <f>(B54/99.46)*10</f>
        <v>451522.42107379856</v>
      </c>
      <c r="C55" s="599">
        <f t="shared" ref="C55:I55" si="2">(C54/99.46)*10</f>
        <v>469543.53508948325</v>
      </c>
      <c r="D55" s="599">
        <f t="shared" si="2"/>
        <v>879.04685300623373</v>
      </c>
      <c r="E55" s="599">
        <f t="shared" si="2"/>
        <v>470422.58194248949</v>
      </c>
      <c r="F55" s="599">
        <f t="shared" si="2"/>
        <v>335212.44721496076</v>
      </c>
      <c r="G55" s="599"/>
      <c r="H55" s="599">
        <f t="shared" si="2"/>
        <v>116309.97385883774</v>
      </c>
      <c r="I55" s="599">
        <f t="shared" si="2"/>
        <v>135210.23527046049</v>
      </c>
      <c r="J55" s="599"/>
      <c r="K55" s="599">
        <f t="shared" si="0"/>
        <v>163892.11177927128</v>
      </c>
      <c r="L55" s="597"/>
      <c r="M55" s="597"/>
      <c r="N55" s="597"/>
      <c r="O55" s="597"/>
      <c r="P55" s="597"/>
      <c r="Q55" s="597"/>
      <c r="R55" s="597"/>
      <c r="S55" s="599">
        <v>2643</v>
      </c>
      <c r="T55" s="597"/>
      <c r="U55" s="597"/>
      <c r="V55" s="599">
        <v>2749</v>
      </c>
      <c r="W55" s="597"/>
      <c r="X55" s="1074"/>
    </row>
    <row r="56" spans="1:24" s="1075" customFormat="1" ht="10.5" customHeight="1">
      <c r="A56" s="253" t="s">
        <v>2345</v>
      </c>
      <c r="B56" s="595">
        <v>5002654</v>
      </c>
      <c r="C56" s="595">
        <v>5218081</v>
      </c>
      <c r="D56" s="595">
        <v>7632</v>
      </c>
      <c r="E56" s="595">
        <v>5225713</v>
      </c>
      <c r="F56" s="595">
        <v>3804159</v>
      </c>
      <c r="G56" s="256">
        <f>(F56/B56)*100</f>
        <v>76.042816473016131</v>
      </c>
      <c r="H56" s="595">
        <v>1198495</v>
      </c>
      <c r="I56" s="595">
        <v>1421554</v>
      </c>
      <c r="J56" s="256">
        <f>(I56/B56)*100</f>
        <v>28.415996788904451</v>
      </c>
      <c r="K56" s="595">
        <v>1535839</v>
      </c>
      <c r="L56" s="256">
        <f>(K56/B56)*100</f>
        <v>30.700484182995663</v>
      </c>
      <c r="M56" s="595">
        <v>3346018</v>
      </c>
      <c r="N56" s="595">
        <v>3490106</v>
      </c>
      <c r="O56" s="595">
        <v>11.4</v>
      </c>
      <c r="P56" s="256">
        <v>4.22</v>
      </c>
      <c r="Q56" s="382">
        <f>(B56/M56)*100</f>
        <v>149.51067208843466</v>
      </c>
      <c r="R56" s="256">
        <v>17.158999999999999</v>
      </c>
      <c r="S56" s="595">
        <v>291547</v>
      </c>
      <c r="T56" s="595"/>
      <c r="U56" s="382">
        <f>M56/R56</f>
        <v>195000.75761990793</v>
      </c>
      <c r="V56" s="595">
        <v>304102</v>
      </c>
      <c r="W56" s="382">
        <f>N56/R56</f>
        <v>203397.98356547585</v>
      </c>
      <c r="X56" s="1074"/>
    </row>
    <row r="57" spans="1:24" s="1075" customFormat="1" ht="9.9499999999999993" customHeight="1" thickBot="1">
      <c r="A57" s="872"/>
      <c r="B57" s="600">
        <f>(B56/111.06)*10</f>
        <v>450446.06518998742</v>
      </c>
      <c r="C57" s="600">
        <f t="shared" ref="C57:K57" si="3">(C56/111.06)*10</f>
        <v>469843.4179722672</v>
      </c>
      <c r="D57" s="600">
        <f t="shared" si="3"/>
        <v>687.19611021069693</v>
      </c>
      <c r="E57" s="600">
        <f t="shared" si="3"/>
        <v>470530.61408247793</v>
      </c>
      <c r="F57" s="600">
        <f t="shared" si="3"/>
        <v>342531.87466234469</v>
      </c>
      <c r="G57" s="600"/>
      <c r="H57" s="600">
        <f t="shared" si="3"/>
        <v>107914.19052764271</v>
      </c>
      <c r="I57" s="600">
        <f t="shared" si="3"/>
        <v>127998.73942013326</v>
      </c>
      <c r="J57" s="600"/>
      <c r="K57" s="600">
        <f t="shared" si="3"/>
        <v>138289.12299657843</v>
      </c>
      <c r="L57" s="601"/>
      <c r="M57" s="601"/>
      <c r="N57" s="601"/>
      <c r="O57" s="601"/>
      <c r="P57" s="601"/>
      <c r="Q57" s="601"/>
      <c r="R57" s="601"/>
      <c r="S57" s="600">
        <v>2675</v>
      </c>
      <c r="T57" s="601"/>
      <c r="U57" s="601"/>
      <c r="V57" s="600">
        <v>2738</v>
      </c>
      <c r="W57" s="601"/>
      <c r="X57" s="1074"/>
    </row>
    <row r="58" spans="1:24" ht="12" customHeight="1">
      <c r="A58" s="2319" t="s">
        <v>1335</v>
      </c>
      <c r="B58" s="2319"/>
      <c r="C58" s="2319"/>
      <c r="D58" s="2319"/>
      <c r="E58" s="2319"/>
      <c r="F58" s="2319"/>
      <c r="G58" s="9"/>
      <c r="I58" s="48" t="s">
        <v>1612</v>
      </c>
      <c r="J58" s="48"/>
      <c r="K58" s="48"/>
      <c r="L58" s="2320" t="s">
        <v>1265</v>
      </c>
      <c r="M58" s="2320"/>
      <c r="N58" s="2320"/>
      <c r="O58" s="2320"/>
      <c r="P58" s="1493"/>
      <c r="Q58" s="2321" t="s">
        <v>2056</v>
      </c>
      <c r="R58" s="2321"/>
      <c r="S58" s="1493"/>
      <c r="T58" s="48"/>
      <c r="U58" s="31"/>
      <c r="V58" s="13"/>
      <c r="W58" s="48"/>
      <c r="X58" s="50"/>
    </row>
    <row r="59" spans="1:24" ht="9.75" customHeight="1">
      <c r="A59" s="2322"/>
      <c r="B59" s="2322"/>
      <c r="C59" s="2322"/>
      <c r="D59" s="2322"/>
      <c r="E59" s="2323"/>
      <c r="F59" s="2289"/>
      <c r="G59" s="2289"/>
      <c r="H59" s="781"/>
      <c r="I59" s="48"/>
      <c r="J59" s="48"/>
      <c r="K59" s="48"/>
      <c r="L59" s="2324"/>
      <c r="M59" s="2324"/>
      <c r="N59" s="2324"/>
      <c r="O59" s="48"/>
      <c r="P59" s="48"/>
      <c r="Q59" s="48"/>
      <c r="R59" s="48"/>
      <c r="S59" s="29"/>
      <c r="T59" s="48"/>
      <c r="U59" s="48"/>
      <c r="V59" s="48"/>
      <c r="W59" s="48"/>
      <c r="X59" s="50"/>
    </row>
    <row r="62" spans="1:24">
      <c r="M62" s="50"/>
    </row>
    <row r="63" spans="1:24">
      <c r="M63" s="50"/>
      <c r="P63" s="50"/>
      <c r="Q63" s="50"/>
      <c r="R63" s="50"/>
    </row>
    <row r="64" spans="1:24">
      <c r="M64" s="50"/>
      <c r="N64" s="50"/>
    </row>
    <row r="65" spans="13:14">
      <c r="M65" s="50"/>
    </row>
    <row r="66" spans="13:14">
      <c r="M66" s="50"/>
      <c r="N66" s="50"/>
    </row>
    <row r="67" spans="13:14">
      <c r="M67" s="50"/>
    </row>
    <row r="68" spans="13:14">
      <c r="M68" s="50"/>
      <c r="N68" s="50"/>
    </row>
    <row r="69" spans="13:14">
      <c r="M69" s="50"/>
      <c r="N69" s="50"/>
    </row>
    <row r="70" spans="13:14">
      <c r="M70" s="50"/>
      <c r="N70" s="50"/>
    </row>
    <row r="71" spans="13:14">
      <c r="M71" s="50"/>
      <c r="N71" s="50"/>
    </row>
    <row r="72" spans="13:14">
      <c r="M72" s="50"/>
      <c r="N72" s="50"/>
    </row>
    <row r="73" spans="13:14">
      <c r="N73" s="50"/>
    </row>
    <row r="74" spans="13:14">
      <c r="N74" s="50"/>
    </row>
  </sheetData>
  <customSheetViews>
    <customSheetView guid="{A374FC54-96E3-45F0-9C12-8450400C12DF}" scale="160" hiddenColumns="1">
      <pane xSplit="1" ySplit="5" topLeftCell="P39" activePane="bottomRight" state="frozen"/>
      <selection pane="bottomRight" activeCell="B1" sqref="B1:K1"/>
      <pageMargins left="0.47244094488188998" right="0.47244094488188998" top="0.511811023622047" bottom="0" header="0" footer="0"/>
      <pageSetup paperSize="132" firstPageNumber="50" orientation="portrait" useFirstPageNumber="1" r:id="rId1"/>
      <headerFooter>
        <oddFooter>&amp;C&amp;"Times New Roman,Regular"&amp;8&amp;P</oddFooter>
      </headerFooter>
    </customSheetView>
  </customSheetViews>
  <mergeCells count="35">
    <mergeCell ref="M3:M4"/>
    <mergeCell ref="B3:B4"/>
    <mergeCell ref="E3:E4"/>
    <mergeCell ref="F3:F4"/>
    <mergeCell ref="G3:G4"/>
    <mergeCell ref="U1:W1"/>
    <mergeCell ref="D2:E2"/>
    <mergeCell ref="J2:K2"/>
    <mergeCell ref="V2:W2"/>
    <mergeCell ref="B1:K1"/>
    <mergeCell ref="L1:O1"/>
    <mergeCell ref="L2:P2"/>
    <mergeCell ref="A3:A5"/>
    <mergeCell ref="S3:W3"/>
    <mergeCell ref="S4:T4"/>
    <mergeCell ref="S5:T5"/>
    <mergeCell ref="Q3:Q4"/>
    <mergeCell ref="C3:C4"/>
    <mergeCell ref="D3:D4"/>
    <mergeCell ref="H3:H4"/>
    <mergeCell ref="I3:I4"/>
    <mergeCell ref="L3:L4"/>
    <mergeCell ref="J3:J4"/>
    <mergeCell ref="P3:P4"/>
    <mergeCell ref="N3:N4"/>
    <mergeCell ref="O3:O4"/>
    <mergeCell ref="R3:R4"/>
    <mergeCell ref="K3:K4"/>
    <mergeCell ref="A6:C6"/>
    <mergeCell ref="A58:F58"/>
    <mergeCell ref="L58:O58"/>
    <mergeCell ref="Q58:R58"/>
    <mergeCell ref="A59:E59"/>
    <mergeCell ref="F59:G59"/>
    <mergeCell ref="L59:N59"/>
  </mergeCells>
  <phoneticPr fontId="43" type="noConversion"/>
  <pageMargins left="0.47244094488188998" right="0.47244094488188998" top="0.511811023622047" bottom="0" header="0" footer="0"/>
  <pageSetup paperSize="448" firstPageNumber="54" orientation="portrait" useFirstPageNumber="1" r:id="rId2"/>
  <headerFooter>
    <oddFooter>&amp;C&amp;"Times New Roman,Regular"&amp;8&amp;P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3"/>
  <dimension ref="A1:J137"/>
  <sheetViews>
    <sheetView zoomScale="170" zoomScaleNormal="170" workbookViewId="0">
      <pane xSplit="1" ySplit="3" topLeftCell="B34" activePane="bottomRight" state="frozen"/>
      <selection activeCell="F85" sqref="F85"/>
      <selection pane="topRight" activeCell="F85" sqref="F85"/>
      <selection pane="bottomLeft" activeCell="F85" sqref="F85"/>
      <selection pane="bottomRight" activeCell="H53" sqref="H53"/>
    </sheetView>
  </sheetViews>
  <sheetFormatPr defaultColWidth="9.140625" defaultRowHeight="12.75"/>
  <cols>
    <col min="1" max="1" width="10.140625" style="2" customWidth="1"/>
    <col min="2" max="3" width="15.7109375" style="92" customWidth="1"/>
    <col min="4" max="4" width="17.42578125" style="92" customWidth="1"/>
    <col min="5" max="5" width="15.42578125" style="92" customWidth="1"/>
    <col min="6" max="6" width="13.28515625" style="1572" customWidth="1"/>
    <col min="7" max="7" width="14.140625" style="2" customWidth="1"/>
    <col min="8" max="8" width="14.28515625" style="2" customWidth="1"/>
    <col min="9" max="9" width="19" style="2" customWidth="1"/>
    <col min="10" max="10" width="11.28515625" style="2" customWidth="1"/>
    <col min="11" max="16384" width="9.140625" style="2"/>
  </cols>
  <sheetData>
    <row r="1" spans="1:10" s="5" customFormat="1" ht="15.75" customHeight="1">
      <c r="A1" s="2340" t="s">
        <v>2620</v>
      </c>
      <c r="B1" s="2341"/>
      <c r="C1" s="2341"/>
      <c r="D1" s="2341"/>
      <c r="E1" s="2341"/>
      <c r="F1" s="2342" t="s">
        <v>1377</v>
      </c>
      <c r="G1" s="2343"/>
      <c r="H1" s="2343"/>
      <c r="I1" s="2343"/>
      <c r="J1" s="929" t="s">
        <v>272</v>
      </c>
    </row>
    <row r="2" spans="1:10" s="5" customFormat="1" ht="11.1" customHeight="1">
      <c r="A2" s="1844"/>
      <c r="B2" s="1844"/>
      <c r="C2" s="1844"/>
      <c r="D2" s="1844"/>
      <c r="F2" s="1568"/>
      <c r="G2" s="67"/>
      <c r="H2" s="87"/>
      <c r="I2" s="87"/>
      <c r="J2" s="93"/>
    </row>
    <row r="3" spans="1:10" s="104" customFormat="1" ht="26.45" customHeight="1">
      <c r="A3" s="1368" t="s">
        <v>948</v>
      </c>
      <c r="B3" s="695" t="s">
        <v>1362</v>
      </c>
      <c r="C3" s="1809" t="s">
        <v>1404</v>
      </c>
      <c r="D3" s="1809" t="s">
        <v>1363</v>
      </c>
      <c r="E3" s="1809" t="s">
        <v>1365</v>
      </c>
      <c r="F3" s="1569" t="s">
        <v>949</v>
      </c>
      <c r="G3" s="1809" t="s">
        <v>1024</v>
      </c>
      <c r="H3" s="1809" t="s">
        <v>1364</v>
      </c>
      <c r="I3" s="1368" t="s">
        <v>1363</v>
      </c>
      <c r="J3" s="1368" t="s">
        <v>1366</v>
      </c>
    </row>
    <row r="4" spans="1:10" s="12" customFormat="1" ht="11.85" customHeight="1">
      <c r="A4" s="312" t="s">
        <v>81</v>
      </c>
      <c r="B4" s="298">
        <v>6153.68</v>
      </c>
      <c r="C4" s="300">
        <v>256353.55100000001</v>
      </c>
      <c r="D4" s="300">
        <v>21744.6</v>
      </c>
      <c r="E4" s="298">
        <v>273</v>
      </c>
      <c r="F4" s="828">
        <v>45690</v>
      </c>
      <c r="G4" s="300">
        <v>5126.1499999999996</v>
      </c>
      <c r="H4" s="922">
        <v>356.41999999999996</v>
      </c>
      <c r="I4" s="922">
        <v>101792.09999999999</v>
      </c>
      <c r="J4" s="294">
        <v>413</v>
      </c>
    </row>
    <row r="5" spans="1:10" s="189" customFormat="1" ht="11.85" customHeight="1">
      <c r="A5" s="142" t="s">
        <v>190</v>
      </c>
      <c r="B5" s="27">
        <v>6117.23</v>
      </c>
      <c r="C5" s="28">
        <v>325879.77</v>
      </c>
      <c r="D5" s="28">
        <v>30104.5</v>
      </c>
      <c r="E5" s="27">
        <v>267</v>
      </c>
      <c r="F5" s="1582">
        <v>45691</v>
      </c>
      <c r="G5" s="336">
        <v>5145.84</v>
      </c>
      <c r="H5" s="363">
        <v>431.33100000000002</v>
      </c>
      <c r="I5" s="547">
        <v>101792.09999999999</v>
      </c>
      <c r="J5" s="255">
        <v>413</v>
      </c>
    </row>
    <row r="6" spans="1:10" s="565" customFormat="1" ht="11.85" customHeight="1">
      <c r="A6" s="398" t="s">
        <v>731</v>
      </c>
      <c r="B6" s="295">
        <v>4572.88</v>
      </c>
      <c r="C6" s="295">
        <v>117145.07</v>
      </c>
      <c r="D6" s="295">
        <v>38410.899999999994</v>
      </c>
      <c r="E6" s="294">
        <v>279</v>
      </c>
      <c r="F6" s="828">
        <v>45692</v>
      </c>
      <c r="G6" s="1705">
        <v>5147.34</v>
      </c>
      <c r="H6" s="377">
        <v>444.41899999999998</v>
      </c>
      <c r="I6" s="922">
        <v>101792.09999999999</v>
      </c>
      <c r="J6" s="294">
        <v>413</v>
      </c>
    </row>
    <row r="7" spans="1:10" s="648" customFormat="1" ht="11.85" customHeight="1">
      <c r="A7" s="1811" t="s">
        <v>840</v>
      </c>
      <c r="B7" s="256">
        <v>4385.7700000000004</v>
      </c>
      <c r="C7" s="256">
        <v>85716.56</v>
      </c>
      <c r="D7" s="256">
        <v>43407.3</v>
      </c>
      <c r="E7" s="255">
        <v>296</v>
      </c>
      <c r="F7" s="1582">
        <v>45693</v>
      </c>
      <c r="G7" s="336">
        <v>5170.0600000000004</v>
      </c>
      <c r="H7" s="363">
        <v>471.154</v>
      </c>
      <c r="I7" s="547">
        <v>101792.09999999999</v>
      </c>
      <c r="J7" s="255">
        <v>413</v>
      </c>
    </row>
    <row r="8" spans="1:10" s="71" customFormat="1" ht="11.85" customHeight="1">
      <c r="A8" s="312" t="s">
        <v>1019</v>
      </c>
      <c r="B8" s="300">
        <v>4480.5200000000004</v>
      </c>
      <c r="C8" s="300">
        <v>112539.85800000001</v>
      </c>
      <c r="D8" s="300">
        <v>48255.5</v>
      </c>
      <c r="E8" s="298">
        <v>307</v>
      </c>
      <c r="F8" s="828">
        <v>45694</v>
      </c>
      <c r="G8" s="1705">
        <v>5179.18</v>
      </c>
      <c r="H8" s="377">
        <v>429.65</v>
      </c>
      <c r="I8" s="922">
        <v>101792.09999999999</v>
      </c>
      <c r="J8" s="294">
        <v>413</v>
      </c>
    </row>
    <row r="9" spans="1:10" s="484" customFormat="1" ht="11.85" customHeight="1">
      <c r="A9" s="1811" t="s">
        <v>1070</v>
      </c>
      <c r="B9" s="256">
        <v>4583.1099999999997</v>
      </c>
      <c r="C9" s="256">
        <v>112351.91100000001</v>
      </c>
      <c r="D9" s="256">
        <v>54300.800000000003</v>
      </c>
      <c r="E9" s="255">
        <v>326</v>
      </c>
      <c r="F9" s="1582">
        <v>45697</v>
      </c>
      <c r="G9" s="336">
        <v>5165.88</v>
      </c>
      <c r="H9" s="363">
        <v>374.10900000000004</v>
      </c>
      <c r="I9" s="547">
        <v>101792.09999999999</v>
      </c>
      <c r="J9" s="255">
        <v>413</v>
      </c>
    </row>
    <row r="10" spans="1:10" s="71" customFormat="1" ht="11.85" customHeight="1">
      <c r="A10" s="398" t="s">
        <v>1193</v>
      </c>
      <c r="B10" s="295">
        <v>4507.58</v>
      </c>
      <c r="C10" s="295">
        <v>107246.07099999998</v>
      </c>
      <c r="D10" s="295">
        <v>57846.400000000001</v>
      </c>
      <c r="E10" s="294">
        <v>330</v>
      </c>
      <c r="F10" s="828">
        <v>45698</v>
      </c>
      <c r="G10" s="1705">
        <v>5174.28</v>
      </c>
      <c r="H10" s="377">
        <v>420.65100000000001</v>
      </c>
      <c r="I10" s="922">
        <v>101792.09999999999</v>
      </c>
      <c r="J10" s="294">
        <v>413</v>
      </c>
    </row>
    <row r="11" spans="1:10" s="484" customFormat="1" ht="11.85" customHeight="1">
      <c r="A11" s="1811" t="s">
        <v>1225</v>
      </c>
      <c r="B11" s="256">
        <v>5656.05</v>
      </c>
      <c r="C11" s="256">
        <v>180522.2</v>
      </c>
      <c r="D11" s="256">
        <v>61656.5</v>
      </c>
      <c r="E11" s="255">
        <v>334</v>
      </c>
      <c r="F11" s="1582">
        <v>45699</v>
      </c>
      <c r="G11" s="336">
        <v>5192.05</v>
      </c>
      <c r="H11" s="363">
        <v>519.553</v>
      </c>
      <c r="I11" s="547">
        <v>101792.09999999999</v>
      </c>
      <c r="J11" s="255">
        <v>413</v>
      </c>
    </row>
    <row r="12" spans="1:10" s="484" customFormat="1" ht="11.85" customHeight="1">
      <c r="A12" s="398" t="s">
        <v>1350</v>
      </c>
      <c r="B12" s="295">
        <v>5405.46</v>
      </c>
      <c r="C12" s="295">
        <v>159085.19200000001</v>
      </c>
      <c r="D12" s="295">
        <v>67071.899999999994</v>
      </c>
      <c r="E12" s="294">
        <v>343</v>
      </c>
      <c r="F12" s="828">
        <v>45700</v>
      </c>
      <c r="G12" s="1705">
        <v>5189.62</v>
      </c>
      <c r="H12" s="377">
        <v>391.15199999999999</v>
      </c>
      <c r="I12" s="922">
        <v>101792.09999999999</v>
      </c>
      <c r="J12" s="294">
        <v>413</v>
      </c>
    </row>
    <row r="13" spans="1:10" s="484" customFormat="1" ht="11.85" customHeight="1">
      <c r="A13" s="1811" t="s">
        <v>1466</v>
      </c>
      <c r="B13" s="256">
        <v>5421.62</v>
      </c>
      <c r="C13" s="256">
        <v>145965.53900000002</v>
      </c>
      <c r="D13" s="256">
        <v>71962.899999999994</v>
      </c>
      <c r="E13" s="255">
        <v>355</v>
      </c>
      <c r="F13" s="1582">
        <v>45701</v>
      </c>
      <c r="G13" s="336">
        <v>5201.4799999999996</v>
      </c>
      <c r="H13" s="363">
        <v>401.77300000000002</v>
      </c>
      <c r="I13" s="547">
        <v>101792.09999999999</v>
      </c>
      <c r="J13" s="255">
        <v>413</v>
      </c>
    </row>
    <row r="14" spans="1:10" s="484" customFormat="1" ht="11.85" customHeight="1">
      <c r="A14" s="585" t="s">
        <v>1550</v>
      </c>
      <c r="B14" s="295">
        <v>3989.09</v>
      </c>
      <c r="C14" s="295">
        <v>78042.763000000006</v>
      </c>
      <c r="D14" s="295">
        <v>75486.8</v>
      </c>
      <c r="E14" s="294">
        <v>362</v>
      </c>
      <c r="F14" s="828">
        <v>45704</v>
      </c>
      <c r="G14" s="1705">
        <v>5198.78</v>
      </c>
      <c r="H14" s="922">
        <v>415.96000000000004</v>
      </c>
      <c r="I14" s="922">
        <v>101792.09999999999</v>
      </c>
      <c r="J14" s="294">
        <v>413</v>
      </c>
    </row>
    <row r="15" spans="1:10" s="484" customFormat="1" ht="11.85" customHeight="1">
      <c r="A15" s="544" t="s">
        <v>1606</v>
      </c>
      <c r="B15" s="256">
        <v>6150.48</v>
      </c>
      <c r="C15" s="256">
        <v>254697.05800000005</v>
      </c>
      <c r="D15" s="256">
        <v>85204.7</v>
      </c>
      <c r="E15" s="255">
        <v>382</v>
      </c>
      <c r="F15" s="1582">
        <v>45705</v>
      </c>
      <c r="G15" s="336">
        <v>5211.53</v>
      </c>
      <c r="H15" s="547">
        <v>443.56599999999997</v>
      </c>
      <c r="I15" s="547">
        <v>101792.09999999999</v>
      </c>
      <c r="J15" s="255">
        <v>413</v>
      </c>
    </row>
    <row r="16" spans="1:10" s="484" customFormat="1" ht="11.85" customHeight="1">
      <c r="A16" s="621" t="s">
        <v>1927</v>
      </c>
      <c r="B16" s="338">
        <v>6376.94</v>
      </c>
      <c r="C16" s="338">
        <v>318607.01500000001</v>
      </c>
      <c r="D16" s="338">
        <v>92764.687000000005</v>
      </c>
      <c r="E16" s="543">
        <v>395</v>
      </c>
      <c r="F16" s="828">
        <v>45706</v>
      </c>
      <c r="G16" s="1705">
        <v>5203.2</v>
      </c>
      <c r="H16" s="922">
        <v>599.37099999999998</v>
      </c>
      <c r="I16" s="922">
        <v>101792.09999999999</v>
      </c>
      <c r="J16" s="294">
        <v>413</v>
      </c>
    </row>
    <row r="17" spans="1:10" s="484" customFormat="1" ht="11.85" customHeight="1">
      <c r="A17" s="570" t="s">
        <v>2183</v>
      </c>
      <c r="B17" s="345">
        <f>B29</f>
        <v>6344.09</v>
      </c>
      <c r="C17" s="345">
        <f>SUM(C18:C29)</f>
        <v>191087.26499999996</v>
      </c>
      <c r="D17" s="345">
        <f>D29</f>
        <v>96843.1</v>
      </c>
      <c r="E17" s="496">
        <f>E29</f>
        <v>403</v>
      </c>
      <c r="F17" s="1582">
        <v>45707</v>
      </c>
      <c r="G17" s="28">
        <v>5192.4399999999996</v>
      </c>
      <c r="H17" s="210">
        <v>427.13599999999997</v>
      </c>
      <c r="I17" s="28">
        <v>101792.09999999999</v>
      </c>
      <c r="J17" s="27">
        <v>413</v>
      </c>
    </row>
    <row r="18" spans="1:10" s="484" customFormat="1" ht="11.85" customHeight="1">
      <c r="A18" s="585" t="s">
        <v>565</v>
      </c>
      <c r="B18" s="295">
        <v>6133.96</v>
      </c>
      <c r="C18" s="295">
        <v>12284.123</v>
      </c>
      <c r="D18" s="295">
        <f>88899.3+4050</f>
        <v>92949.3</v>
      </c>
      <c r="E18" s="294">
        <f>386+9</f>
        <v>395</v>
      </c>
      <c r="F18" s="828">
        <v>45708</v>
      </c>
      <c r="G18" s="1705">
        <v>5200.37</v>
      </c>
      <c r="H18" s="922">
        <v>465.697</v>
      </c>
      <c r="I18" s="922">
        <v>101792.09999999999</v>
      </c>
      <c r="J18" s="294">
        <v>413</v>
      </c>
    </row>
    <row r="19" spans="1:10" s="484" customFormat="1" ht="11.85" customHeight="1">
      <c r="A19" s="544" t="s">
        <v>566</v>
      </c>
      <c r="B19" s="256">
        <v>6457.22</v>
      </c>
      <c r="C19" s="256">
        <v>25472.400000000001</v>
      </c>
      <c r="D19" s="256">
        <f>89195.9+4050</f>
        <v>93245.9</v>
      </c>
      <c r="E19" s="255">
        <f>386+9</f>
        <v>395</v>
      </c>
      <c r="F19" s="1582">
        <v>45711</v>
      </c>
      <c r="G19" s="28">
        <v>5224.37</v>
      </c>
      <c r="H19" s="210">
        <v>487.57600000000002</v>
      </c>
      <c r="I19" s="28">
        <v>101792.09999999999</v>
      </c>
      <c r="J19" s="27">
        <v>413</v>
      </c>
    </row>
    <row r="20" spans="1:10" s="484" customFormat="1" ht="11.85" customHeight="1">
      <c r="A20" s="585" t="s">
        <v>560</v>
      </c>
      <c r="B20" s="295">
        <v>6512.89</v>
      </c>
      <c r="C20" s="295">
        <v>35480.243999999999</v>
      </c>
      <c r="D20" s="295">
        <f>89309.1+4050</f>
        <v>93359.1</v>
      </c>
      <c r="E20" s="294">
        <f>387+9</f>
        <v>396</v>
      </c>
      <c r="F20" s="828">
        <v>45712</v>
      </c>
      <c r="G20" s="1705">
        <v>5234.95</v>
      </c>
      <c r="H20" s="922">
        <v>544.28399999999999</v>
      </c>
      <c r="I20" s="922">
        <v>101792.09999999999</v>
      </c>
      <c r="J20" s="294">
        <v>413</v>
      </c>
    </row>
    <row r="21" spans="1:10" s="484" customFormat="1" ht="11.85" customHeight="1">
      <c r="A21" s="544" t="s">
        <v>567</v>
      </c>
      <c r="B21" s="256">
        <v>6307.34</v>
      </c>
      <c r="C21" s="256">
        <v>21091.73</v>
      </c>
      <c r="D21" s="256">
        <f>89467+4050</f>
        <v>93517</v>
      </c>
      <c r="E21" s="255">
        <v>398</v>
      </c>
      <c r="F21" s="1582">
        <v>45713</v>
      </c>
      <c r="G21" s="28">
        <v>5267.89</v>
      </c>
      <c r="H21" s="210">
        <v>607.20500000000004</v>
      </c>
      <c r="I21" s="28">
        <v>101792.09999999999</v>
      </c>
      <c r="J21" s="27">
        <v>413</v>
      </c>
    </row>
    <row r="22" spans="1:10" s="484" customFormat="1" ht="11.85" customHeight="1">
      <c r="A22" s="585" t="s">
        <v>568</v>
      </c>
      <c r="B22" s="295">
        <v>6235.95</v>
      </c>
      <c r="C22" s="295">
        <v>16327.03</v>
      </c>
      <c r="D22" s="295">
        <v>94458.64</v>
      </c>
      <c r="E22" s="294">
        <v>399</v>
      </c>
      <c r="F22" s="828">
        <v>45714</v>
      </c>
      <c r="G22" s="300">
        <v>5253.79</v>
      </c>
      <c r="H22" s="1704">
        <v>463.39099999999996</v>
      </c>
      <c r="I22" s="300">
        <v>101792.09999999999</v>
      </c>
      <c r="J22" s="298">
        <v>413</v>
      </c>
    </row>
    <row r="23" spans="1:10" s="484" customFormat="1" ht="11.85" customHeight="1" thickBot="1">
      <c r="A23" s="544" t="s">
        <v>561</v>
      </c>
      <c r="B23" s="256">
        <v>6206.81</v>
      </c>
      <c r="C23" s="256">
        <v>7231.4</v>
      </c>
      <c r="D23" s="256">
        <v>94676</v>
      </c>
      <c r="E23" s="255">
        <v>400</v>
      </c>
      <c r="F23" s="1767">
        <v>45715</v>
      </c>
      <c r="G23" s="1730">
        <v>5247.3</v>
      </c>
      <c r="H23" s="1731">
        <v>487.85299999999995</v>
      </c>
      <c r="I23" s="1730">
        <v>101792.09999999999</v>
      </c>
      <c r="J23" s="1732">
        <v>413</v>
      </c>
    </row>
    <row r="24" spans="1:10" s="484" customFormat="1" ht="11.85" customHeight="1">
      <c r="A24" s="585" t="s">
        <v>569</v>
      </c>
      <c r="B24" s="295">
        <v>6267.05</v>
      </c>
      <c r="C24" s="295">
        <v>11726.64</v>
      </c>
      <c r="D24" s="295">
        <v>94719.8</v>
      </c>
      <c r="E24" s="294">
        <v>400</v>
      </c>
    </row>
    <row r="25" spans="1:10" s="484" customFormat="1" ht="11.85" customHeight="1">
      <c r="A25" s="544" t="s">
        <v>570</v>
      </c>
      <c r="B25" s="256">
        <v>6216.95</v>
      </c>
      <c r="C25" s="256">
        <v>8628.99</v>
      </c>
      <c r="D25" s="256">
        <f>90619.5+4070</f>
        <v>94689.5</v>
      </c>
      <c r="E25" s="255">
        <f>390+10</f>
        <v>400</v>
      </c>
    </row>
    <row r="26" spans="1:10" s="484" customFormat="1" ht="11.85" customHeight="1">
      <c r="A26" s="585" t="s">
        <v>562</v>
      </c>
      <c r="B26" s="295">
        <v>6206.8</v>
      </c>
      <c r="C26" s="295">
        <v>9406.41</v>
      </c>
      <c r="D26" s="295">
        <v>95159.1</v>
      </c>
      <c r="E26" s="294">
        <v>401</v>
      </c>
      <c r="F26" s="1570"/>
      <c r="G26" s="27"/>
      <c r="H26" s="210"/>
      <c r="I26" s="28"/>
      <c r="J26" s="27"/>
    </row>
    <row r="27" spans="1:10" s="484" customFormat="1" ht="11.85" customHeight="1">
      <c r="A27" s="544" t="s">
        <v>571</v>
      </c>
      <c r="B27" s="256">
        <v>6262.69</v>
      </c>
      <c r="C27" s="256">
        <v>10296.299999999999</v>
      </c>
      <c r="D27" s="256">
        <v>95231</v>
      </c>
      <c r="E27" s="255">
        <v>401</v>
      </c>
      <c r="F27" s="1570"/>
      <c r="G27" s="27"/>
      <c r="H27" s="210"/>
      <c r="I27" s="28"/>
      <c r="J27" s="27"/>
    </row>
    <row r="28" spans="1:10" s="484" customFormat="1" ht="11.85" customHeight="1">
      <c r="A28" s="585" t="s">
        <v>572</v>
      </c>
      <c r="B28" s="295">
        <v>6339.74</v>
      </c>
      <c r="C28" s="295">
        <v>18461.91</v>
      </c>
      <c r="D28" s="295">
        <v>95643.5</v>
      </c>
      <c r="E28" s="294">
        <v>402</v>
      </c>
      <c r="F28" s="1570"/>
      <c r="G28" s="27"/>
      <c r="H28" s="210"/>
      <c r="I28" s="28"/>
      <c r="J28" s="27"/>
    </row>
    <row r="29" spans="1:10" s="484" customFormat="1" ht="11.85" customHeight="1">
      <c r="A29" s="544" t="s">
        <v>563</v>
      </c>
      <c r="B29" s="256">
        <v>6344.09</v>
      </c>
      <c r="C29" s="256">
        <v>14680.088</v>
      </c>
      <c r="D29" s="256">
        <v>96843.1</v>
      </c>
      <c r="E29" s="255">
        <f>392+11</f>
        <v>403</v>
      </c>
      <c r="F29" s="1570"/>
      <c r="G29" s="27"/>
      <c r="H29" s="210"/>
      <c r="I29" s="28"/>
      <c r="J29" s="27"/>
    </row>
    <row r="30" spans="1:10" s="484" customFormat="1" ht="11.85" customHeight="1">
      <c r="A30" s="621" t="s">
        <v>2345</v>
      </c>
      <c r="B30" s="338">
        <f>B42</f>
        <v>5328.4</v>
      </c>
      <c r="C30" s="338">
        <f>SUM(C31:C42)</f>
        <v>149992.62400000001</v>
      </c>
      <c r="D30" s="338">
        <f>D42</f>
        <v>106586.40000000001</v>
      </c>
      <c r="E30" s="543">
        <f>E42</f>
        <v>427</v>
      </c>
      <c r="F30" s="1570"/>
      <c r="G30" s="27"/>
      <c r="H30" s="210"/>
      <c r="I30" s="28"/>
      <c r="J30" s="27"/>
    </row>
    <row r="31" spans="1:10" s="484" customFormat="1" ht="11.85" customHeight="1">
      <c r="A31" s="544" t="s">
        <v>565</v>
      </c>
      <c r="B31" s="256">
        <v>6324.81</v>
      </c>
      <c r="C31" s="256">
        <v>17127.598000000002</v>
      </c>
      <c r="D31" s="256">
        <v>97106</v>
      </c>
      <c r="E31" s="255">
        <f>392+11</f>
        <v>403</v>
      </c>
      <c r="F31" s="1570"/>
      <c r="G31" s="255"/>
      <c r="H31" s="210"/>
      <c r="I31" s="28"/>
      <c r="J31" s="27"/>
    </row>
    <row r="32" spans="1:10" s="484" customFormat="1" ht="11.85" customHeight="1">
      <c r="A32" s="585" t="s">
        <v>566</v>
      </c>
      <c r="B32" s="295">
        <v>6299.5</v>
      </c>
      <c r="C32" s="295">
        <v>9652.4330000000009</v>
      </c>
      <c r="D32" s="295">
        <f>97241.5+4471</f>
        <v>101712.5</v>
      </c>
      <c r="E32" s="294">
        <f>403+11</f>
        <v>414</v>
      </c>
      <c r="F32" s="1570"/>
      <c r="G32" s="27"/>
      <c r="H32" s="210"/>
      <c r="I32" s="28"/>
      <c r="J32" s="27"/>
    </row>
    <row r="33" spans="1:10" s="484" customFormat="1" ht="11.85" customHeight="1">
      <c r="A33" s="544" t="s">
        <v>560</v>
      </c>
      <c r="B33" s="256">
        <v>6284.63</v>
      </c>
      <c r="C33" s="256">
        <v>11306.359</v>
      </c>
      <c r="D33" s="256">
        <f>97277.5+4471</f>
        <v>101748.5</v>
      </c>
      <c r="E33" s="255">
        <f>403+11</f>
        <v>414</v>
      </c>
      <c r="F33" s="1570"/>
      <c r="G33" s="27"/>
      <c r="H33" s="210"/>
      <c r="I33" s="28"/>
      <c r="J33" s="27"/>
    </row>
    <row r="34" spans="1:10" s="484" customFormat="1" ht="11.85" customHeight="1">
      <c r="A34" s="585" t="s">
        <v>567</v>
      </c>
      <c r="B34" s="295">
        <v>6278.66</v>
      </c>
      <c r="C34" s="295">
        <v>10068.748</v>
      </c>
      <c r="D34" s="295">
        <f>92875.5+4471</f>
        <v>97346.5</v>
      </c>
      <c r="E34" s="294">
        <f>392+11</f>
        <v>403</v>
      </c>
      <c r="F34" s="1570"/>
      <c r="G34" s="27"/>
      <c r="H34" s="210"/>
      <c r="I34" s="28"/>
      <c r="J34" s="27"/>
    </row>
    <row r="35" spans="1:10" s="484" customFormat="1" ht="11.85" customHeight="1">
      <c r="A35" s="544" t="s">
        <v>568</v>
      </c>
      <c r="B35" s="256">
        <v>6223.03</v>
      </c>
      <c r="C35" s="256">
        <v>9498.1970000000001</v>
      </c>
      <c r="D35" s="256">
        <f>92876.4+4521</f>
        <v>97397.4</v>
      </c>
      <c r="E35" s="255">
        <f>392+12</f>
        <v>404</v>
      </c>
      <c r="F35" s="1570"/>
      <c r="G35" s="27"/>
      <c r="H35" s="210"/>
      <c r="I35" s="28"/>
      <c r="J35" s="27"/>
    </row>
    <row r="36" spans="1:10" s="484" customFormat="1" ht="11.85" customHeight="1">
      <c r="A36" s="585" t="s">
        <v>561</v>
      </c>
      <c r="B36" s="295">
        <v>6246.5</v>
      </c>
      <c r="C36" s="295">
        <v>10206.054</v>
      </c>
      <c r="D36" s="295">
        <f>92814.8+4900.6</f>
        <v>97715.400000000009</v>
      </c>
      <c r="E36" s="294">
        <f>392+13</f>
        <v>405</v>
      </c>
      <c r="F36" s="1570"/>
      <c r="G36" s="27"/>
      <c r="H36" s="210"/>
      <c r="I36" s="28"/>
      <c r="J36" s="27"/>
    </row>
    <row r="37" spans="1:10" s="484" customFormat="1" ht="11.85" customHeight="1">
      <c r="A37" s="544" t="s">
        <v>569</v>
      </c>
      <c r="B37" s="256">
        <v>6153.34</v>
      </c>
      <c r="C37" s="256">
        <v>15747.22</v>
      </c>
      <c r="D37" s="256">
        <v>98895.8</v>
      </c>
      <c r="E37" s="255">
        <v>408</v>
      </c>
      <c r="F37" s="1570"/>
      <c r="G37" s="27"/>
      <c r="H37" s="210"/>
      <c r="I37" s="28"/>
      <c r="J37" s="27"/>
    </row>
    <row r="38" spans="1:10" s="484" customFormat="1" ht="11.85" customHeight="1">
      <c r="A38" s="585" t="s">
        <v>570</v>
      </c>
      <c r="B38" s="295">
        <v>6254.54</v>
      </c>
      <c r="C38" s="295">
        <v>23916.23</v>
      </c>
      <c r="D38" s="295">
        <v>99658.5</v>
      </c>
      <c r="E38" s="294">
        <v>410</v>
      </c>
      <c r="F38" s="1570"/>
      <c r="G38" s="27"/>
      <c r="H38" s="210"/>
      <c r="I38" s="28"/>
      <c r="J38" s="27"/>
    </row>
    <row r="39" spans="1:10" s="484" customFormat="1" ht="11.85" customHeight="1">
      <c r="A39" s="544" t="s">
        <v>562</v>
      </c>
      <c r="B39" s="256">
        <v>5829.7</v>
      </c>
      <c r="C39" s="256">
        <v>11402.554</v>
      </c>
      <c r="D39" s="256">
        <f>5014.6+99870.3</f>
        <v>104884.90000000001</v>
      </c>
      <c r="E39" s="255">
        <f>412+15</f>
        <v>427</v>
      </c>
      <c r="F39" s="1570"/>
      <c r="G39" s="27"/>
      <c r="H39" s="210"/>
      <c r="I39" s="28"/>
      <c r="J39" s="27"/>
    </row>
    <row r="40" spans="1:10" s="484" customFormat="1" ht="11.85" customHeight="1">
      <c r="A40" s="585" t="s">
        <v>571</v>
      </c>
      <c r="B40" s="295">
        <v>5584.65</v>
      </c>
      <c r="C40" s="295">
        <v>9357.1859999999997</v>
      </c>
      <c r="D40" s="295">
        <f>108005.2+5014.6</f>
        <v>113019.8</v>
      </c>
      <c r="E40" s="294">
        <f>412+15</f>
        <v>427</v>
      </c>
      <c r="F40" s="1570"/>
      <c r="G40" s="27"/>
      <c r="H40" s="210"/>
      <c r="I40" s="28"/>
      <c r="J40" s="27"/>
    </row>
    <row r="41" spans="1:10" s="484" customFormat="1" ht="11.85" customHeight="1">
      <c r="A41" s="544" t="s">
        <v>572</v>
      </c>
      <c r="B41" s="256">
        <v>5251.96</v>
      </c>
      <c r="C41" s="256">
        <v>13355.540999999999</v>
      </c>
      <c r="D41" s="256">
        <f>101272.3+5014.6</f>
        <v>106286.90000000001</v>
      </c>
      <c r="E41" s="255">
        <f>412+15</f>
        <v>427</v>
      </c>
      <c r="F41" s="1570"/>
      <c r="G41" s="27"/>
      <c r="H41" s="210"/>
      <c r="I41" s="28"/>
      <c r="J41" s="27"/>
    </row>
    <row r="42" spans="1:10" s="484" customFormat="1" ht="11.85" customHeight="1">
      <c r="A42" s="585" t="s">
        <v>563</v>
      </c>
      <c r="B42" s="295">
        <v>5328.4</v>
      </c>
      <c r="C42" s="295">
        <v>8354.5040000000008</v>
      </c>
      <c r="D42" s="295">
        <f>101571.8+5014.6</f>
        <v>106586.40000000001</v>
      </c>
      <c r="E42" s="294">
        <f>412+15</f>
        <v>427</v>
      </c>
      <c r="F42" s="1570"/>
      <c r="G42" s="27"/>
      <c r="H42" s="210"/>
      <c r="I42" s="28"/>
      <c r="J42" s="27"/>
    </row>
    <row r="43" spans="1:10" s="484" customFormat="1" ht="11.85" customHeight="1">
      <c r="A43" s="570" t="s">
        <v>2681</v>
      </c>
      <c r="B43" s="256"/>
      <c r="C43" s="256"/>
      <c r="D43" s="256"/>
      <c r="E43" s="255"/>
      <c r="F43" s="1570"/>
      <c r="G43" s="27"/>
      <c r="H43" s="210"/>
      <c r="I43" s="28"/>
      <c r="J43" s="27"/>
    </row>
    <row r="44" spans="1:10" s="484" customFormat="1" ht="11.85" customHeight="1">
      <c r="A44" s="585" t="s">
        <v>565</v>
      </c>
      <c r="B44" s="295">
        <v>5280.47</v>
      </c>
      <c r="C44" s="295">
        <v>10917.593999999999</v>
      </c>
      <c r="D44" s="295">
        <f>101703.8+5014.6</f>
        <v>106718.40000000001</v>
      </c>
      <c r="E44" s="294">
        <f>413+15</f>
        <v>428</v>
      </c>
      <c r="F44" s="1570"/>
      <c r="G44" s="27"/>
      <c r="H44" s="210"/>
      <c r="I44" s="28"/>
      <c r="J44" s="27"/>
    </row>
    <row r="45" spans="1:10" s="484" customFormat="1" ht="11.85" customHeight="1">
      <c r="A45" s="544" t="s">
        <v>566</v>
      </c>
      <c r="B45" s="256">
        <v>5804.42</v>
      </c>
      <c r="C45" s="256">
        <v>16595.981</v>
      </c>
      <c r="D45" s="256">
        <f>96689.2+5014.6</f>
        <v>101703.8</v>
      </c>
      <c r="E45" s="255">
        <f>397+16</f>
        <v>413</v>
      </c>
      <c r="F45" s="1570"/>
      <c r="G45" s="27"/>
      <c r="H45" s="210"/>
      <c r="I45" s="28"/>
      <c r="J45" s="27"/>
    </row>
    <row r="46" spans="1:10" s="484" customFormat="1" ht="11.85" customHeight="1">
      <c r="A46" s="585" t="s">
        <v>560</v>
      </c>
      <c r="B46" s="295">
        <v>5624.5</v>
      </c>
      <c r="C46" s="295">
        <v>14049.625</v>
      </c>
      <c r="D46" s="295">
        <f>101725+5014.6</f>
        <v>106739.6</v>
      </c>
      <c r="E46" s="294">
        <f>413+16</f>
        <v>429</v>
      </c>
      <c r="F46" s="1570"/>
      <c r="G46" s="27"/>
      <c r="H46" s="210"/>
      <c r="I46" s="28"/>
      <c r="J46" s="27"/>
    </row>
    <row r="47" spans="1:10" s="484" customFormat="1" ht="11.85" customHeight="1">
      <c r="A47" s="544" t="s">
        <v>567</v>
      </c>
      <c r="B47" s="256">
        <v>5199.3999999999996</v>
      </c>
      <c r="C47" s="256">
        <v>7661.3140000000003</v>
      </c>
      <c r="D47" s="256">
        <f>101731.8+5014.6</f>
        <v>106746.40000000001</v>
      </c>
      <c r="E47" s="255">
        <f>413+16</f>
        <v>429</v>
      </c>
      <c r="F47" s="1570"/>
      <c r="G47" s="27"/>
      <c r="H47" s="210"/>
      <c r="I47" s="28"/>
      <c r="J47" s="27"/>
    </row>
    <row r="48" spans="1:10" s="484" customFormat="1" ht="11.85" customHeight="1">
      <c r="A48" s="585" t="s">
        <v>568</v>
      </c>
      <c r="B48" s="295">
        <v>5192.59</v>
      </c>
      <c r="C48" s="295">
        <v>10034.755999999999</v>
      </c>
      <c r="D48" s="295">
        <f>96818+5014.6</f>
        <v>101832.6</v>
      </c>
      <c r="E48" s="294">
        <f>397+16</f>
        <v>413</v>
      </c>
      <c r="F48" s="1570"/>
      <c r="G48" s="27"/>
      <c r="H48" s="210"/>
      <c r="I48" s="28"/>
      <c r="J48" s="27"/>
    </row>
    <row r="49" spans="1:10" s="484" customFormat="1" ht="11.85" customHeight="1">
      <c r="A49" s="544" t="s">
        <v>561</v>
      </c>
      <c r="B49" s="256">
        <v>5216.4399999999996</v>
      </c>
      <c r="C49" s="256">
        <v>7247.3490000000002</v>
      </c>
      <c r="D49" s="256">
        <f>96821.7+5014.4</f>
        <v>101836.09999999999</v>
      </c>
      <c r="E49" s="255">
        <f>397+15</f>
        <v>412</v>
      </c>
      <c r="F49" s="1570"/>
      <c r="G49" s="27"/>
      <c r="H49" s="210"/>
      <c r="I49" s="28"/>
      <c r="J49" s="27"/>
    </row>
    <row r="50" spans="1:10" s="484" customFormat="1" ht="11.85" customHeight="1">
      <c r="A50" s="585" t="s">
        <v>569</v>
      </c>
      <c r="B50" s="295">
        <v>5112.8999999999996</v>
      </c>
      <c r="C50" s="295">
        <v>8025.8990000000003</v>
      </c>
      <c r="D50" s="295">
        <f>101786.8+4964.4</f>
        <v>106751.2</v>
      </c>
      <c r="E50" s="294">
        <f>413+16</f>
        <v>429</v>
      </c>
      <c r="F50" s="1570"/>
      <c r="G50" s="27"/>
      <c r="H50" s="210"/>
      <c r="I50" s="28"/>
      <c r="J50" s="27"/>
    </row>
    <row r="51" spans="1:10" s="484" customFormat="1" ht="11.85" customHeight="1" thickBot="1">
      <c r="A51" s="1773" t="s">
        <v>570</v>
      </c>
      <c r="B51" s="719">
        <v>5247.3</v>
      </c>
      <c r="C51" s="719">
        <v>9182.25</v>
      </c>
      <c r="D51" s="719">
        <f>96827.7+4964.4</f>
        <v>101792.09999999999</v>
      </c>
      <c r="E51" s="1581">
        <f>397+16</f>
        <v>413</v>
      </c>
      <c r="F51" s="1570"/>
      <c r="G51" s="27"/>
      <c r="H51" s="210"/>
      <c r="I51" s="28"/>
      <c r="J51" s="27"/>
    </row>
    <row r="52" spans="1:10" s="484" customFormat="1" ht="11.25" customHeight="1">
      <c r="A52" s="239" t="s">
        <v>1937</v>
      </c>
      <c r="B52" s="908"/>
      <c r="C52" s="908"/>
      <c r="D52" s="908"/>
      <c r="E52" s="908"/>
      <c r="F52" s="1570"/>
      <c r="G52" s="27"/>
      <c r="H52" s="210"/>
      <c r="I52" s="28"/>
      <c r="J52" s="27"/>
    </row>
    <row r="53" spans="1:10" s="484" customFormat="1" ht="11.25" customHeight="1">
      <c r="A53" s="102" t="s">
        <v>1936</v>
      </c>
      <c r="B53" s="26"/>
      <c r="C53" s="28"/>
      <c r="D53" s="220" t="s">
        <v>1604</v>
      </c>
      <c r="E53" s="174"/>
      <c r="F53" s="1570"/>
      <c r="G53" s="27"/>
      <c r="H53" s="210"/>
      <c r="I53" s="28"/>
      <c r="J53" s="27"/>
    </row>
    <row r="54" spans="1:10" s="484" customFormat="1" ht="11.1" customHeight="1">
      <c r="D54" s="924"/>
      <c r="F54" s="1570"/>
      <c r="G54" s="27"/>
      <c r="H54" s="210"/>
      <c r="I54" s="28"/>
      <c r="J54" s="27"/>
    </row>
    <row r="55" spans="1:10" s="484" customFormat="1" ht="11.1" customHeight="1">
      <c r="F55" s="1570"/>
      <c r="G55" s="27"/>
      <c r="H55" s="210"/>
      <c r="I55" s="28"/>
      <c r="J55" s="27"/>
    </row>
    <row r="56" spans="1:10" s="484" customFormat="1" ht="11.1" customHeight="1">
      <c r="F56" s="1570"/>
      <c r="G56" s="27"/>
      <c r="H56" s="210"/>
      <c r="I56" s="28"/>
      <c r="J56" s="27"/>
    </row>
    <row r="57" spans="1:10" s="484" customFormat="1" ht="11.1" customHeight="1">
      <c r="F57" s="1570"/>
      <c r="G57" s="27"/>
      <c r="H57" s="210"/>
      <c r="I57" s="28"/>
      <c r="J57" s="27"/>
    </row>
    <row r="58" spans="1:10" s="484" customFormat="1" ht="11.1" customHeight="1">
      <c r="F58" s="1570"/>
      <c r="G58" s="27"/>
      <c r="H58" s="210"/>
      <c r="I58" s="28"/>
      <c r="J58" s="27"/>
    </row>
    <row r="59" spans="1:10" s="484" customFormat="1" ht="11.1" customHeight="1">
      <c r="F59" s="1570"/>
      <c r="G59" s="27"/>
      <c r="H59" s="210"/>
      <c r="I59" s="28"/>
      <c r="J59" s="27"/>
    </row>
    <row r="60" spans="1:10" s="484" customFormat="1" ht="11.1" customHeight="1">
      <c r="F60" s="1570"/>
      <c r="G60" s="27"/>
      <c r="H60" s="210"/>
      <c r="I60" s="28"/>
      <c r="J60" s="27"/>
    </row>
    <row r="61" spans="1:10" s="484" customFormat="1" ht="11.1" customHeight="1">
      <c r="F61" s="1570"/>
      <c r="G61" s="27"/>
      <c r="H61" s="210"/>
      <c r="I61" s="28"/>
      <c r="J61" s="27"/>
    </row>
    <row r="62" spans="1:10" s="484" customFormat="1" ht="11.1" customHeight="1">
      <c r="F62" s="1570"/>
      <c r="G62" s="27"/>
      <c r="H62" s="210"/>
      <c r="I62" s="28"/>
      <c r="J62" s="27"/>
    </row>
    <row r="63" spans="1:10" s="484" customFormat="1" ht="11.1" customHeight="1">
      <c r="F63" s="1570"/>
      <c r="G63" s="27"/>
      <c r="H63" s="210"/>
      <c r="I63" s="28"/>
      <c r="J63" s="27"/>
    </row>
    <row r="64" spans="1:10" s="484" customFormat="1" ht="11.1" customHeight="1">
      <c r="F64" s="1570"/>
      <c r="G64" s="27"/>
      <c r="H64" s="210"/>
      <c r="I64" s="28"/>
      <c r="J64" s="27"/>
    </row>
    <row r="65" spans="1:10" s="484" customFormat="1" ht="11.1" customHeight="1">
      <c r="F65" s="1570"/>
      <c r="G65" s="27"/>
      <c r="H65" s="210"/>
      <c r="I65" s="28"/>
      <c r="J65" s="27"/>
    </row>
    <row r="66" spans="1:10" s="484" customFormat="1" ht="11.1" customHeight="1">
      <c r="C66" s="255"/>
      <c r="F66" s="1570"/>
      <c r="G66" s="27"/>
      <c r="H66" s="210"/>
      <c r="I66" s="28"/>
      <c r="J66" s="27"/>
    </row>
    <row r="67" spans="1:10" s="484" customFormat="1" ht="11.1" customHeight="1">
      <c r="E67" s="923"/>
      <c r="F67" s="1570"/>
      <c r="G67" s="27"/>
      <c r="H67" s="210"/>
      <c r="I67" s="28"/>
      <c r="J67" s="27"/>
    </row>
    <row r="68" spans="1:10" s="484" customFormat="1" ht="11.1" customHeight="1">
      <c r="D68" s="924"/>
      <c r="E68" s="925"/>
      <c r="F68" s="1570"/>
      <c r="G68" s="27"/>
      <c r="H68" s="210"/>
      <c r="I68" s="28"/>
      <c r="J68" s="27"/>
    </row>
    <row r="69" spans="1:10" s="484" customFormat="1" ht="11.1" customHeight="1">
      <c r="F69" s="1570"/>
      <c r="G69" s="27"/>
      <c r="H69" s="210"/>
      <c r="I69" s="28"/>
      <c r="J69" s="27"/>
    </row>
    <row r="70" spans="1:10" s="484" customFormat="1" ht="11.1" customHeight="1">
      <c r="F70" s="1570"/>
      <c r="G70" s="27"/>
      <c r="H70" s="210"/>
      <c r="I70" s="28"/>
      <c r="J70" s="27"/>
    </row>
    <row r="71" spans="1:10" s="484" customFormat="1" ht="11.1" customHeight="1">
      <c r="F71" s="1570"/>
      <c r="G71" s="27"/>
      <c r="H71" s="210"/>
      <c r="I71" s="28"/>
      <c r="J71" s="27"/>
    </row>
    <row r="72" spans="1:10" s="484" customFormat="1" ht="11.1" customHeight="1">
      <c r="F72" s="1570"/>
      <c r="G72" s="27"/>
      <c r="H72" s="210"/>
      <c r="I72" s="28"/>
      <c r="J72" s="27"/>
    </row>
    <row r="73" spans="1:10" s="484" customFormat="1" ht="11.1" customHeight="1">
      <c r="F73" s="1570"/>
      <c r="G73" s="27"/>
      <c r="H73" s="210"/>
      <c r="I73" s="28"/>
      <c r="J73" s="27"/>
    </row>
    <row r="74" spans="1:10" s="484" customFormat="1" ht="11.1" customHeight="1">
      <c r="F74" s="1570"/>
      <c r="G74" s="27"/>
      <c r="H74" s="210"/>
      <c r="I74" s="28"/>
      <c r="J74" s="27"/>
    </row>
    <row r="75" spans="1:10" s="484" customFormat="1" ht="11.1" customHeight="1">
      <c r="F75" s="1570"/>
      <c r="G75" s="27"/>
      <c r="H75" s="210"/>
      <c r="I75" s="28"/>
      <c r="J75" s="27"/>
    </row>
    <row r="76" spans="1:10" s="484" customFormat="1" ht="11.1" customHeight="1">
      <c r="F76" s="1570"/>
      <c r="G76" s="27"/>
      <c r="H76" s="210"/>
      <c r="I76" s="28"/>
      <c r="J76" s="27"/>
    </row>
    <row r="77" spans="1:10" s="484" customFormat="1" ht="11.1" customHeight="1">
      <c r="A77" s="71"/>
      <c r="B77" s="71"/>
      <c r="C77" s="71"/>
      <c r="D77" s="71"/>
      <c r="E77" s="71"/>
      <c r="F77" s="1570"/>
      <c r="G77" s="27"/>
      <c r="H77" s="210"/>
      <c r="I77" s="28"/>
      <c r="J77" s="27"/>
    </row>
    <row r="78" spans="1:10" s="484" customFormat="1" ht="11.1" customHeight="1">
      <c r="A78" s="71"/>
      <c r="B78" s="71"/>
      <c r="C78" s="71"/>
      <c r="D78" s="71"/>
      <c r="E78" s="71"/>
      <c r="F78" s="1570"/>
      <c r="G78" s="27"/>
      <c r="H78" s="210"/>
      <c r="I78" s="28"/>
      <c r="J78" s="27"/>
    </row>
    <row r="79" spans="1:10" s="484" customFormat="1" ht="11.1" customHeight="1">
      <c r="A79" s="71"/>
      <c r="B79" s="71"/>
      <c r="C79" s="71"/>
      <c r="D79" s="71"/>
      <c r="E79" s="71"/>
      <c r="F79" s="1570"/>
      <c r="G79" s="27"/>
      <c r="H79" s="210"/>
      <c r="I79" s="28"/>
      <c r="J79" s="27"/>
    </row>
    <row r="80" spans="1:10" s="484" customFormat="1" ht="11.1" customHeight="1">
      <c r="A80" s="71"/>
      <c r="B80" s="71"/>
      <c r="C80" s="71"/>
      <c r="D80" s="71"/>
      <c r="E80" s="71"/>
      <c r="F80" s="1570"/>
      <c r="G80" s="27"/>
      <c r="H80" s="210"/>
      <c r="I80" s="28"/>
      <c r="J80" s="27"/>
    </row>
    <row r="81" spans="1:10" s="484" customFormat="1" ht="11.1" customHeight="1">
      <c r="A81" s="71"/>
      <c r="B81" s="71"/>
      <c r="C81" s="71"/>
      <c r="D81" s="71"/>
      <c r="E81" s="71"/>
      <c r="F81" s="1570"/>
      <c r="G81" s="27"/>
      <c r="H81" s="210"/>
      <c r="I81" s="28"/>
      <c r="J81" s="27"/>
    </row>
    <row r="82" spans="1:10" s="484" customFormat="1" ht="11.1" customHeight="1">
      <c r="A82" s="71"/>
      <c r="B82" s="71"/>
      <c r="C82" s="71"/>
      <c r="D82" s="71"/>
      <c r="E82" s="71"/>
      <c r="F82" s="1570"/>
      <c r="G82" s="27"/>
      <c r="H82" s="210"/>
      <c r="I82" s="28"/>
      <c r="J82" s="27"/>
    </row>
    <row r="83" spans="1:10" s="484" customFormat="1" ht="11.1" customHeight="1">
      <c r="A83" s="71"/>
      <c r="B83" s="71"/>
      <c r="C83" s="71"/>
      <c r="D83" s="71"/>
      <c r="E83" s="71"/>
      <c r="F83" s="1570"/>
      <c r="G83" s="27"/>
      <c r="H83" s="210"/>
      <c r="I83" s="28"/>
      <c r="J83" s="27"/>
    </row>
    <row r="84" spans="1:10" s="484" customFormat="1" ht="11.1" customHeight="1">
      <c r="A84" s="71"/>
      <c r="B84" s="71"/>
      <c r="C84" s="71"/>
      <c r="D84" s="71"/>
      <c r="E84" s="71"/>
      <c r="F84" s="1570"/>
      <c r="G84" s="27"/>
      <c r="H84" s="210"/>
      <c r="I84" s="28"/>
      <c r="J84" s="27"/>
    </row>
    <row r="85" spans="1:10" s="484" customFormat="1" ht="11.1" customHeight="1">
      <c r="A85" s="71"/>
      <c r="B85" s="71"/>
      <c r="C85" s="71"/>
      <c r="D85" s="71"/>
      <c r="E85" s="71"/>
      <c r="F85" s="1570"/>
      <c r="G85" s="27"/>
      <c r="H85" s="210"/>
      <c r="I85" s="28"/>
      <c r="J85" s="27"/>
    </row>
    <row r="86" spans="1:10" s="484" customFormat="1" ht="11.1" customHeight="1">
      <c r="A86" s="71"/>
      <c r="B86" s="71"/>
      <c r="C86" s="71"/>
      <c r="D86" s="71"/>
      <c r="E86" s="71"/>
      <c r="F86" s="1570"/>
      <c r="G86" s="27"/>
      <c r="H86" s="210"/>
      <c r="I86" s="28"/>
      <c r="J86" s="27"/>
    </row>
    <row r="87" spans="1:10" s="484" customFormat="1" ht="11.1" customHeight="1">
      <c r="A87" s="71"/>
      <c r="B87" s="71"/>
      <c r="C87" s="71"/>
      <c r="D87" s="71"/>
      <c r="E87" s="71"/>
      <c r="F87" s="1570"/>
      <c r="G87" s="27"/>
      <c r="H87" s="210"/>
      <c r="I87" s="28"/>
      <c r="J87" s="27"/>
    </row>
    <row r="88" spans="1:10" s="484" customFormat="1" ht="11.25" customHeight="1">
      <c r="A88" s="71"/>
      <c r="B88" s="71"/>
      <c r="C88" s="71"/>
      <c r="D88" s="71"/>
      <c r="E88" s="71"/>
      <c r="F88" s="1570"/>
      <c r="G88" s="336"/>
      <c r="H88" s="336"/>
      <c r="I88" s="28"/>
      <c r="J88" s="27"/>
    </row>
    <row r="89" spans="1:10" s="71" customFormat="1" ht="9.9499999999999993" customHeight="1">
      <c r="F89" s="1570"/>
      <c r="G89" s="336"/>
      <c r="H89" s="336"/>
      <c r="I89" s="28"/>
      <c r="J89" s="27"/>
    </row>
    <row r="90" spans="1:10" s="71" customFormat="1" ht="10.5" customHeight="1">
      <c r="F90" s="1570"/>
      <c r="G90" s="336"/>
      <c r="H90" s="336"/>
      <c r="I90" s="28"/>
      <c r="J90" s="27"/>
    </row>
    <row r="91" spans="1:10" s="71" customFormat="1" ht="15.75" customHeight="1">
      <c r="F91" s="1570"/>
      <c r="G91" s="336"/>
      <c r="H91" s="336"/>
      <c r="I91" s="28"/>
      <c r="J91" s="27"/>
    </row>
    <row r="92" spans="1:10" s="71" customFormat="1" ht="13.5" customHeight="1">
      <c r="F92" s="1570"/>
      <c r="G92" s="336"/>
      <c r="H92" s="336"/>
      <c r="I92" s="28"/>
      <c r="J92" s="27"/>
    </row>
    <row r="93" spans="1:10" s="71" customFormat="1" ht="9" customHeight="1">
      <c r="F93" s="1570"/>
      <c r="G93" s="336"/>
      <c r="H93" s="336"/>
      <c r="I93" s="28"/>
      <c r="J93" s="27"/>
    </row>
    <row r="94" spans="1:10" s="71" customFormat="1" ht="8.85" customHeight="1">
      <c r="A94" s="484"/>
      <c r="B94" s="484"/>
      <c r="C94" s="484"/>
      <c r="D94" s="484"/>
      <c r="E94" s="484"/>
      <c r="F94" s="1570"/>
      <c r="G94" s="336"/>
      <c r="H94" s="336"/>
      <c r="I94" s="28"/>
      <c r="J94" s="27"/>
    </row>
    <row r="95" spans="1:10" s="71" customFormat="1" ht="8.85" customHeight="1">
      <c r="A95" s="2"/>
      <c r="B95" s="2"/>
      <c r="C95" s="2"/>
      <c r="D95" s="2"/>
      <c r="E95" s="2"/>
      <c r="F95" s="1570"/>
      <c r="G95" s="336"/>
      <c r="H95" s="336"/>
      <c r="I95" s="28"/>
      <c r="J95" s="27"/>
    </row>
    <row r="96" spans="1:10" s="71" customFormat="1" ht="8.85" customHeight="1">
      <c r="A96" s="2"/>
      <c r="B96" s="2"/>
      <c r="C96" s="2"/>
      <c r="D96" s="2"/>
      <c r="E96" s="2"/>
      <c r="F96" s="1570"/>
      <c r="G96" s="336"/>
      <c r="H96" s="336"/>
      <c r="I96" s="28"/>
      <c r="J96" s="27"/>
    </row>
    <row r="97" spans="1:10" s="71" customFormat="1" ht="8.85" customHeight="1">
      <c r="A97" s="96"/>
      <c r="B97" s="97"/>
      <c r="C97" s="97"/>
      <c r="D97" s="101"/>
      <c r="E97" s="933"/>
      <c r="F97" s="1571"/>
      <c r="G97" s="484"/>
      <c r="H97" s="484"/>
      <c r="I97" s="484"/>
      <c r="J97" s="484"/>
    </row>
    <row r="98" spans="1:10" s="71" customFormat="1" ht="8.85" customHeight="1">
      <c r="A98" s="99"/>
      <c r="B98" s="100"/>
      <c r="C98" s="100"/>
      <c r="D98" s="101"/>
      <c r="E98" s="83"/>
      <c r="F98" s="1571"/>
      <c r="G98" s="484"/>
      <c r="H98" s="484"/>
      <c r="I98" s="484"/>
      <c r="J98" s="484"/>
    </row>
    <row r="99" spans="1:10" s="71" customFormat="1" ht="8.85" customHeight="1">
      <c r="A99" s="99"/>
      <c r="B99" s="100"/>
      <c r="C99" s="100"/>
      <c r="D99" s="101"/>
      <c r="E99" s="83"/>
      <c r="F99" s="1571"/>
      <c r="G99" s="484"/>
      <c r="H99" s="484"/>
      <c r="I99" s="484"/>
      <c r="J99" s="484"/>
    </row>
    <row r="100" spans="1:10" s="71" customFormat="1" ht="9.9499999999999993" customHeight="1">
      <c r="A100" s="99"/>
      <c r="B100" s="100"/>
      <c r="C100" s="100"/>
      <c r="D100" s="101"/>
      <c r="E100" s="83"/>
      <c r="F100" s="1571"/>
      <c r="G100" s="484"/>
      <c r="H100" s="484"/>
      <c r="I100" s="484"/>
      <c r="J100" s="484"/>
    </row>
    <row r="101" spans="1:10" s="71" customFormat="1" ht="9.9499999999999993" customHeight="1">
      <c r="A101" s="99"/>
      <c r="B101" s="100"/>
      <c r="C101" s="100"/>
      <c r="D101" s="101"/>
      <c r="E101" s="83"/>
      <c r="F101" s="1571"/>
      <c r="G101" s="484"/>
      <c r="H101" s="484"/>
      <c r="I101" s="484"/>
      <c r="J101" s="484"/>
    </row>
    <row r="102" spans="1:10" s="71" customFormat="1" ht="9.9499999999999993" customHeight="1">
      <c r="A102" s="99"/>
      <c r="B102" s="100"/>
      <c r="C102" s="100"/>
      <c r="D102" s="101"/>
      <c r="E102" s="83"/>
      <c r="F102" s="1571"/>
      <c r="G102" s="484"/>
      <c r="H102" s="484"/>
      <c r="I102" s="484"/>
      <c r="J102" s="484"/>
    </row>
    <row r="103" spans="1:10" s="71" customFormat="1" ht="11.1" customHeight="1">
      <c r="A103" s="99"/>
      <c r="B103" s="100"/>
      <c r="C103" s="100"/>
      <c r="D103" s="101"/>
      <c r="E103" s="83"/>
      <c r="F103" s="1571"/>
      <c r="G103" s="484"/>
      <c r="H103" s="484"/>
      <c r="I103" s="484"/>
      <c r="J103" s="484"/>
    </row>
    <row r="104" spans="1:10" s="71" customFormat="1" ht="11.1" customHeight="1">
      <c r="A104" s="99"/>
      <c r="B104" s="100"/>
      <c r="C104" s="100"/>
      <c r="D104" s="101"/>
      <c r="E104" s="83"/>
      <c r="F104" s="1571"/>
      <c r="G104" s="484"/>
      <c r="H104" s="484"/>
      <c r="I104" s="484"/>
      <c r="J104" s="484"/>
    </row>
    <row r="105" spans="1:10" s="71" customFormat="1" ht="11.1" customHeight="1">
      <c r="A105" s="99"/>
      <c r="B105" s="100"/>
      <c r="C105" s="100"/>
      <c r="D105" s="101"/>
      <c r="E105" s="83"/>
      <c r="F105" s="1571"/>
      <c r="G105" s="484"/>
      <c r="H105" s="484"/>
      <c r="I105" s="484"/>
      <c r="J105" s="484"/>
    </row>
    <row r="106" spans="1:10" s="71" customFormat="1" ht="11.1" customHeight="1">
      <c r="A106" s="99"/>
      <c r="B106" s="100"/>
      <c r="C106" s="100"/>
      <c r="D106" s="101"/>
      <c r="E106" s="83"/>
      <c r="F106" s="1571"/>
      <c r="G106" s="484"/>
      <c r="H106" s="484"/>
      <c r="I106" s="484"/>
      <c r="J106" s="484"/>
    </row>
    <row r="107" spans="1:10" s="484" customFormat="1" ht="11.1" customHeight="1">
      <c r="A107" s="99"/>
      <c r="B107" s="100"/>
      <c r="C107" s="100"/>
      <c r="D107" s="101"/>
      <c r="E107" s="83"/>
      <c r="F107" s="1571"/>
    </row>
    <row r="108" spans="1:10" ht="11.1" customHeight="1">
      <c r="A108" s="99"/>
      <c r="B108" s="100"/>
      <c r="C108" s="100"/>
      <c r="D108" s="101"/>
      <c r="E108" s="83"/>
      <c r="F108" s="1571"/>
      <c r="G108" s="484"/>
      <c r="H108" s="484"/>
      <c r="I108" s="484"/>
      <c r="J108" s="484"/>
    </row>
    <row r="109" spans="1:10" ht="11.1" customHeight="1">
      <c r="F109" s="1571"/>
      <c r="G109" s="484"/>
      <c r="H109" s="484"/>
      <c r="I109" s="484"/>
      <c r="J109" s="484"/>
    </row>
    <row r="110" spans="1:10">
      <c r="G110" s="484"/>
      <c r="H110" s="484"/>
      <c r="I110" s="484"/>
      <c r="J110" s="484"/>
    </row>
    <row r="111" spans="1:10">
      <c r="G111" s="484"/>
      <c r="H111" s="484"/>
      <c r="I111" s="484"/>
      <c r="J111" s="484"/>
    </row>
    <row r="112" spans="1:10">
      <c r="G112" s="484"/>
      <c r="H112" s="484"/>
      <c r="I112" s="484"/>
      <c r="J112" s="484"/>
    </row>
    <row r="113" spans="1:10">
      <c r="A113" s="99"/>
      <c r="B113" s="97"/>
      <c r="C113" s="100"/>
      <c r="D113" s="101"/>
      <c r="E113" s="83"/>
      <c r="G113" s="484"/>
      <c r="H113" s="484"/>
      <c r="I113" s="484"/>
      <c r="J113" s="484"/>
    </row>
    <row r="114" spans="1:10">
      <c r="A114" s="99"/>
      <c r="B114" s="97"/>
      <c r="C114" s="100"/>
      <c r="D114" s="101"/>
      <c r="E114" s="83"/>
      <c r="G114" s="484"/>
      <c r="H114" s="484"/>
      <c r="I114" s="484"/>
      <c r="J114" s="484"/>
    </row>
    <row r="115" spans="1:10">
      <c r="A115" s="99"/>
      <c r="B115" s="100"/>
      <c r="C115" s="97"/>
      <c r="D115" s="101"/>
      <c r="E115" s="83"/>
      <c r="G115" s="484"/>
      <c r="H115" s="484"/>
      <c r="I115" s="484"/>
      <c r="J115" s="484"/>
    </row>
    <row r="116" spans="1:10">
      <c r="A116" s="99"/>
      <c r="B116" s="100"/>
      <c r="C116" s="100"/>
      <c r="D116" s="101"/>
      <c r="E116" s="83"/>
      <c r="G116" s="484"/>
      <c r="H116" s="484"/>
      <c r="I116" s="484"/>
      <c r="J116" s="484"/>
    </row>
    <row r="117" spans="1:10">
      <c r="A117" s="99"/>
      <c r="B117" s="97"/>
      <c r="C117" s="100"/>
      <c r="D117" s="101"/>
      <c r="E117" s="83"/>
      <c r="G117" s="484"/>
      <c r="H117" s="484"/>
      <c r="I117" s="484"/>
      <c r="J117" s="484"/>
    </row>
    <row r="118" spans="1:10">
      <c r="A118" s="99"/>
      <c r="B118" s="83"/>
      <c r="C118" s="100"/>
      <c r="D118" s="101"/>
      <c r="E118" s="83"/>
      <c r="G118" s="484"/>
      <c r="H118" s="484"/>
      <c r="I118" s="484"/>
      <c r="J118" s="484"/>
    </row>
    <row r="119" spans="1:10">
      <c r="A119" s="99"/>
      <c r="B119" s="933"/>
      <c r="C119" s="97"/>
      <c r="D119" s="101"/>
      <c r="E119" s="83"/>
      <c r="G119" s="484"/>
      <c r="H119" s="484"/>
      <c r="I119" s="484"/>
      <c r="J119" s="484"/>
    </row>
    <row r="120" spans="1:10">
      <c r="G120" s="484"/>
      <c r="H120" s="484"/>
      <c r="I120" s="484"/>
      <c r="J120" s="484"/>
    </row>
    <row r="121" spans="1:10">
      <c r="A121" s="99"/>
      <c r="B121" s="101"/>
      <c r="C121" s="101"/>
      <c r="D121" s="101"/>
      <c r="E121" s="83"/>
      <c r="G121" s="484"/>
      <c r="H121" s="484"/>
      <c r="I121" s="484"/>
      <c r="J121" s="484"/>
    </row>
    <row r="122" spans="1:10">
      <c r="A122" s="99"/>
      <c r="B122" s="101"/>
      <c r="C122" s="101"/>
      <c r="D122" s="101"/>
      <c r="E122" s="83"/>
      <c r="G122" s="484"/>
      <c r="H122" s="484"/>
      <c r="I122" s="484"/>
      <c r="J122" s="484"/>
    </row>
    <row r="123" spans="1:10">
      <c r="G123" s="484"/>
      <c r="H123" s="484"/>
      <c r="I123" s="484"/>
      <c r="J123" s="484"/>
    </row>
    <row r="124" spans="1:10">
      <c r="A124" s="99"/>
      <c r="B124" s="2"/>
      <c r="C124" s="2"/>
      <c r="D124" s="101"/>
      <c r="E124" s="83"/>
      <c r="G124" s="484"/>
      <c r="H124" s="484"/>
      <c r="I124" s="484"/>
      <c r="J124" s="484"/>
    </row>
    <row r="125" spans="1:10">
      <c r="A125" s="99"/>
      <c r="B125" s="83"/>
      <c r="C125" s="83"/>
      <c r="D125" s="101"/>
      <c r="E125" s="83"/>
      <c r="G125" s="484"/>
      <c r="H125" s="484"/>
      <c r="I125" s="484"/>
      <c r="J125" s="484"/>
    </row>
    <row r="127" spans="1:10">
      <c r="A127" s="99"/>
      <c r="B127" s="83"/>
      <c r="C127" s="83"/>
      <c r="D127" s="101"/>
      <c r="E127" s="83"/>
    </row>
    <row r="128" spans="1:10">
      <c r="A128" s="99"/>
      <c r="B128" s="83"/>
      <c r="C128" s="83"/>
      <c r="D128" s="101"/>
      <c r="E128" s="83"/>
    </row>
    <row r="130" spans="1:5">
      <c r="A130" s="99"/>
      <c r="B130" s="83"/>
      <c r="C130" s="100"/>
      <c r="D130" s="101"/>
      <c r="E130" s="83"/>
    </row>
    <row r="131" spans="1:5">
      <c r="A131" s="99"/>
      <c r="B131" s="97"/>
      <c r="C131" s="933"/>
      <c r="D131" s="101"/>
      <c r="E131" s="83"/>
    </row>
    <row r="132" spans="1:5">
      <c r="A132" s="8"/>
      <c r="B132" s="26"/>
      <c r="C132" s="26"/>
      <c r="D132" s="26"/>
      <c r="E132" s="26"/>
    </row>
    <row r="133" spans="1:5">
      <c r="A133" s="8"/>
      <c r="B133" s="26"/>
      <c r="C133" s="26"/>
      <c r="D133" s="26"/>
      <c r="E133" s="26"/>
    </row>
    <row r="134" spans="1:5">
      <c r="C134" s="26"/>
      <c r="D134" s="26"/>
      <c r="E134" s="26"/>
    </row>
    <row r="135" spans="1:5">
      <c r="A135" s="8"/>
      <c r="B135" s="26"/>
      <c r="C135" s="26"/>
      <c r="D135" s="26"/>
      <c r="E135" s="26"/>
    </row>
    <row r="136" spans="1:5">
      <c r="A136" s="8"/>
      <c r="B136" s="26"/>
      <c r="C136" s="26"/>
      <c r="D136" s="26"/>
      <c r="E136" s="26"/>
    </row>
    <row r="137" spans="1:5">
      <c r="A137" s="8"/>
      <c r="B137" s="26"/>
      <c r="C137" s="26"/>
      <c r="D137" s="26"/>
      <c r="E137" s="26"/>
    </row>
  </sheetData>
  <customSheetViews>
    <customSheetView guid="{A374FC54-96E3-45F0-9C12-8450400C12DF}" scale="202">
      <pane xSplit="1" ySplit="3" topLeftCell="B37" activePane="bottomRight" state="frozen"/>
      <selection pane="bottomRight" activeCell="B42" sqref="B42:B44"/>
      <pageMargins left="0.629" right="0.89300000000000002" top="0.511811023622047" bottom="0.511811023622047" header="0" footer="0.51300000000000001"/>
      <pageSetup paperSize="132" firstPageNumber="52" orientation="portrait" useFirstPageNumber="1" r:id="rId1"/>
      <headerFooter>
        <oddFooter>&amp;C&amp;"Times New Roman,Regular"&amp;8&amp;P</oddFooter>
      </headerFooter>
    </customSheetView>
  </customSheetViews>
  <mergeCells count="2">
    <mergeCell ref="A1:E1"/>
    <mergeCell ref="F1:I1"/>
  </mergeCells>
  <phoneticPr fontId="43" type="noConversion"/>
  <pageMargins left="0.629" right="0.89300000000000002" top="0.511811023622047" bottom="0.511811023622047" header="0" footer="0.51300000000000001"/>
  <pageSetup paperSize="448" firstPageNumber="56" orientation="portrait" useFirstPageNumber="1" r:id="rId2"/>
  <headerFooter>
    <oddFooter>&amp;C&amp;"Times New Roman,Regular"&amp;8&amp;P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4"/>
  <dimension ref="A1:R69"/>
  <sheetViews>
    <sheetView zoomScale="164" zoomScaleNormal="164" workbookViewId="0">
      <pane xSplit="1" ySplit="4" topLeftCell="B41" activePane="bottomRight" state="frozen"/>
      <selection activeCell="F85" sqref="F85"/>
      <selection pane="topRight" activeCell="F85" sqref="F85"/>
      <selection pane="bottomLeft" activeCell="F85" sqref="F85"/>
      <selection pane="bottomRight" activeCell="D55" sqref="D55"/>
    </sheetView>
  </sheetViews>
  <sheetFormatPr defaultColWidth="9.140625" defaultRowHeight="11.25"/>
  <cols>
    <col min="1" max="1" width="8.28515625" style="17" customWidth="1"/>
    <col min="2" max="2" width="8.28515625" style="8" customWidth="1"/>
    <col min="3" max="3" width="9.28515625" style="8" customWidth="1"/>
    <col min="4" max="4" width="7.140625" style="8" customWidth="1"/>
    <col min="5" max="5" width="9.7109375" style="8" customWidth="1"/>
    <col min="6" max="6" width="8.5703125" style="8" customWidth="1"/>
    <col min="7" max="7" width="8.140625" style="8" customWidth="1"/>
    <col min="8" max="8" width="7.85546875" style="8" customWidth="1"/>
    <col min="9" max="9" width="8.42578125" style="8" customWidth="1"/>
    <col min="10" max="10" width="9.5703125" style="8" customWidth="1"/>
    <col min="11" max="11" width="7.140625" style="8" customWidth="1"/>
    <col min="12" max="14" width="7.7109375" style="8" customWidth="1"/>
    <col min="15" max="15" width="9.7109375" style="8" customWidth="1"/>
    <col min="16" max="16" width="7.7109375" style="8" customWidth="1"/>
    <col min="17" max="17" width="10.42578125" style="8" customWidth="1"/>
    <col min="18" max="18" width="9" style="8" customWidth="1"/>
    <col min="19" max="16384" width="9.140625" style="8"/>
  </cols>
  <sheetData>
    <row r="1" spans="1:18" s="103" customFormat="1" ht="12.75" customHeight="1">
      <c r="A1" s="2346" t="s">
        <v>637</v>
      </c>
      <c r="B1" s="2346"/>
      <c r="C1" s="2346"/>
      <c r="D1" s="2346"/>
      <c r="E1" s="2346"/>
      <c r="F1" s="2346"/>
      <c r="G1" s="2346"/>
      <c r="H1" s="2346"/>
      <c r="I1" s="2346"/>
      <c r="J1" s="2345" t="s">
        <v>1367</v>
      </c>
      <c r="K1" s="2345"/>
      <c r="L1" s="2345"/>
      <c r="M1" s="2345"/>
      <c r="N1" s="2345"/>
      <c r="O1" s="2345"/>
      <c r="P1" s="2345"/>
      <c r="Q1" s="2347" t="s">
        <v>1106</v>
      </c>
      <c r="R1" s="2347"/>
    </row>
    <row r="2" spans="1:18" s="21" customFormat="1" ht="10.5" customHeight="1">
      <c r="B2" s="1845"/>
      <c r="C2" s="1845"/>
      <c r="D2" s="1845"/>
      <c r="E2" s="1845"/>
      <c r="F2" s="1845"/>
      <c r="G2" s="1845"/>
      <c r="J2" s="1845"/>
      <c r="K2" s="1845"/>
      <c r="L2" s="1845"/>
      <c r="M2" s="1845"/>
      <c r="N2" s="1845"/>
      <c r="O2" s="1845"/>
      <c r="P2" s="1845"/>
      <c r="Q2" s="2351" t="s">
        <v>24</v>
      </c>
      <c r="R2" s="2351"/>
    </row>
    <row r="3" spans="1:18" s="105" customFormat="1" ht="12.75" customHeight="1">
      <c r="A3" s="2352" t="s">
        <v>481</v>
      </c>
      <c r="B3" s="2348" t="s">
        <v>1237</v>
      </c>
      <c r="C3" s="2349"/>
      <c r="D3" s="2349"/>
      <c r="E3" s="2349"/>
      <c r="F3" s="2349"/>
      <c r="G3" s="2349"/>
      <c r="H3" s="2349"/>
      <c r="I3" s="2349"/>
      <c r="J3" s="2349"/>
      <c r="K3" s="2349"/>
      <c r="L3" s="2349"/>
      <c r="M3" s="2349"/>
      <c r="N3" s="2349"/>
      <c r="O3" s="2349"/>
      <c r="P3" s="2349"/>
      <c r="Q3" s="2350"/>
      <c r="R3" s="2352" t="s">
        <v>947</v>
      </c>
    </row>
    <row r="4" spans="1:18" s="72" customFormat="1" ht="39.75" customHeight="1">
      <c r="A4" s="2237"/>
      <c r="B4" s="1818" t="s">
        <v>482</v>
      </c>
      <c r="C4" s="1818" t="s">
        <v>227</v>
      </c>
      <c r="D4" s="1818" t="s">
        <v>228</v>
      </c>
      <c r="E4" s="1818" t="s">
        <v>86</v>
      </c>
      <c r="F4" s="1818" t="s">
        <v>1276</v>
      </c>
      <c r="G4" s="1818" t="s">
        <v>1275</v>
      </c>
      <c r="H4" s="1818" t="s">
        <v>87</v>
      </c>
      <c r="I4" s="1818" t="s">
        <v>510</v>
      </c>
      <c r="J4" s="1818" t="s">
        <v>1274</v>
      </c>
      <c r="K4" s="1818" t="s">
        <v>1277</v>
      </c>
      <c r="L4" s="1818" t="s">
        <v>1278</v>
      </c>
      <c r="M4" s="1818" t="s">
        <v>89</v>
      </c>
      <c r="N4" s="1818" t="s">
        <v>511</v>
      </c>
      <c r="O4" s="1818" t="s">
        <v>234</v>
      </c>
      <c r="P4" s="1818" t="s">
        <v>278</v>
      </c>
      <c r="Q4" s="1818" t="s">
        <v>90</v>
      </c>
      <c r="R4" s="2237"/>
    </row>
    <row r="5" spans="1:18" s="95" customFormat="1" ht="11.25" customHeight="1">
      <c r="A5" s="440" t="s">
        <v>81</v>
      </c>
      <c r="B5" s="295">
        <v>64408.3</v>
      </c>
      <c r="C5" s="441">
        <v>28352.9</v>
      </c>
      <c r="D5" s="295">
        <v>2723.1</v>
      </c>
      <c r="E5" s="295">
        <v>9507.7999999999993</v>
      </c>
      <c r="F5" s="295">
        <v>4335.1000000000004</v>
      </c>
      <c r="G5" s="295">
        <v>30142.7</v>
      </c>
      <c r="H5" s="295">
        <v>61.1</v>
      </c>
      <c r="I5" s="295">
        <v>6098</v>
      </c>
      <c r="J5" s="295">
        <v>16282.4</v>
      </c>
      <c r="K5" s="295">
        <v>85.9</v>
      </c>
      <c r="L5" s="295">
        <v>2684.7</v>
      </c>
      <c r="M5" s="295">
        <v>5476.9</v>
      </c>
      <c r="N5" s="295">
        <v>10591.1</v>
      </c>
      <c r="O5" s="295">
        <v>31826.6</v>
      </c>
      <c r="P5" s="295">
        <v>15064.2</v>
      </c>
      <c r="Q5" s="295">
        <v>227640.80000000005</v>
      </c>
      <c r="R5" s="442" t="s">
        <v>81</v>
      </c>
    </row>
    <row r="6" spans="1:18" s="250" customFormat="1" ht="11.25" customHeight="1">
      <c r="A6" s="581" t="s">
        <v>190</v>
      </c>
      <c r="B6" s="256">
        <v>68061.899999999994</v>
      </c>
      <c r="C6" s="582">
        <v>28715.5</v>
      </c>
      <c r="D6" s="256">
        <v>3595.5</v>
      </c>
      <c r="E6" s="256">
        <v>12054.8</v>
      </c>
      <c r="F6" s="256">
        <v>5342</v>
      </c>
      <c r="G6" s="256">
        <v>28931.4</v>
      </c>
      <c r="H6" s="256">
        <v>79</v>
      </c>
      <c r="I6" s="256">
        <v>8229.2000000000007</v>
      </c>
      <c r="J6" s="256">
        <v>18080.8</v>
      </c>
      <c r="K6" s="256">
        <v>90.6</v>
      </c>
      <c r="L6" s="256">
        <v>1871.8</v>
      </c>
      <c r="M6" s="256">
        <v>7703</v>
      </c>
      <c r="N6" s="256">
        <v>14010.4</v>
      </c>
      <c r="O6" s="256">
        <v>22131.4</v>
      </c>
      <c r="P6" s="256">
        <v>13804.3</v>
      </c>
      <c r="Q6" s="256">
        <v>232701.59999999998</v>
      </c>
      <c r="R6" s="583" t="s">
        <v>190</v>
      </c>
    </row>
    <row r="7" spans="1:18" s="95" customFormat="1" ht="11.25" customHeight="1">
      <c r="A7" s="440" t="s">
        <v>731</v>
      </c>
      <c r="B7" s="295">
        <v>51238.6</v>
      </c>
      <c r="C7" s="441">
        <v>18987.8</v>
      </c>
      <c r="D7" s="295">
        <v>3588.1</v>
      </c>
      <c r="E7" s="295">
        <v>8631.4</v>
      </c>
      <c r="F7" s="295">
        <v>5117.6000000000004</v>
      </c>
      <c r="G7" s="295">
        <v>24813</v>
      </c>
      <c r="H7" s="295">
        <v>49.8</v>
      </c>
      <c r="I7" s="295">
        <v>4585</v>
      </c>
      <c r="J7" s="295">
        <v>16465.8</v>
      </c>
      <c r="K7" s="295">
        <v>48.8</v>
      </c>
      <c r="L7" s="295">
        <v>1187.3</v>
      </c>
      <c r="M7" s="295">
        <v>8386.2999999999993</v>
      </c>
      <c r="N7" s="295">
        <v>10716.9</v>
      </c>
      <c r="O7" s="295">
        <v>28924.3</v>
      </c>
      <c r="P7" s="295">
        <v>10503.380000000001</v>
      </c>
      <c r="Q7" s="295">
        <v>193244.07999999996</v>
      </c>
      <c r="R7" s="442" t="s">
        <v>731</v>
      </c>
    </row>
    <row r="8" spans="1:18" s="250" customFormat="1" ht="11.25" customHeight="1">
      <c r="A8" s="581" t="s">
        <v>840</v>
      </c>
      <c r="B8" s="256">
        <v>41710.1</v>
      </c>
      <c r="C8" s="582">
        <v>16994.599999999999</v>
      </c>
      <c r="D8" s="256">
        <v>4130.8</v>
      </c>
      <c r="E8" s="256">
        <v>9567</v>
      </c>
      <c r="F8" s="256">
        <v>8581.6</v>
      </c>
      <c r="G8" s="256">
        <v>29036.7</v>
      </c>
      <c r="H8" s="256">
        <v>49.5</v>
      </c>
      <c r="I8" s="256">
        <v>6418.5</v>
      </c>
      <c r="J8" s="256">
        <v>19754.099999999999</v>
      </c>
      <c r="K8" s="256">
        <v>32.9</v>
      </c>
      <c r="L8" s="256">
        <v>954.1</v>
      </c>
      <c r="M8" s="256">
        <v>9156.1</v>
      </c>
      <c r="N8" s="256">
        <v>10675.2</v>
      </c>
      <c r="O8" s="256">
        <v>27168.2</v>
      </c>
      <c r="P8" s="256">
        <v>13513.613000000001</v>
      </c>
      <c r="Q8" s="256">
        <v>197743.01300000004</v>
      </c>
      <c r="R8" s="583" t="s">
        <v>840</v>
      </c>
    </row>
    <row r="9" spans="1:18" s="162" customFormat="1" ht="11.25" customHeight="1">
      <c r="A9" s="659" t="s">
        <v>1019</v>
      </c>
      <c r="B9" s="300">
        <v>39281.1</v>
      </c>
      <c r="C9" s="300">
        <v>15318.1</v>
      </c>
      <c r="D9" s="300">
        <v>3431.1</v>
      </c>
      <c r="E9" s="300">
        <v>9860.7000000000007</v>
      </c>
      <c r="F9" s="300">
        <v>18418.5</v>
      </c>
      <c r="G9" s="300">
        <v>29365.5</v>
      </c>
      <c r="H9" s="300">
        <v>66.900000000000006</v>
      </c>
      <c r="I9" s="300">
        <v>8245.7999999999993</v>
      </c>
      <c r="J9" s="300">
        <v>30676.799999999999</v>
      </c>
      <c r="K9" s="300">
        <v>50.9</v>
      </c>
      <c r="L9" s="300">
        <v>1002.3</v>
      </c>
      <c r="M9" s="300">
        <v>15672.4</v>
      </c>
      <c r="N9" s="300">
        <v>9972.4</v>
      </c>
      <c r="O9" s="300">
        <v>43364.9</v>
      </c>
      <c r="P9" s="300">
        <v>13898.900999999998</v>
      </c>
      <c r="Q9" s="300">
        <v>238626.30099999998</v>
      </c>
      <c r="R9" s="660" t="s">
        <v>1019</v>
      </c>
    </row>
    <row r="10" spans="1:18" s="162" customFormat="1" ht="11.25" customHeight="1">
      <c r="A10" s="548" t="s">
        <v>1070</v>
      </c>
      <c r="B10" s="256">
        <v>36607.300000000003</v>
      </c>
      <c r="C10" s="256">
        <v>15119.2</v>
      </c>
      <c r="D10" s="256">
        <v>2884.8</v>
      </c>
      <c r="E10" s="256">
        <v>13566.4</v>
      </c>
      <c r="F10" s="256">
        <v>23673.8</v>
      </c>
      <c r="G10" s="256">
        <v>38616.1</v>
      </c>
      <c r="H10" s="256">
        <v>71.099999999999994</v>
      </c>
      <c r="I10" s="256">
        <v>9181.1</v>
      </c>
      <c r="J10" s="256">
        <v>38646.1</v>
      </c>
      <c r="K10" s="256">
        <v>256.60000000000002</v>
      </c>
      <c r="L10" s="256">
        <v>2095.3000000000002</v>
      </c>
      <c r="M10" s="256">
        <v>19413.8</v>
      </c>
      <c r="N10" s="256">
        <v>7528.3</v>
      </c>
      <c r="O10" s="256">
        <v>46505.8</v>
      </c>
      <c r="P10" s="256">
        <v>16021.86</v>
      </c>
      <c r="Q10" s="256">
        <v>270187.56</v>
      </c>
      <c r="R10" s="545" t="s">
        <v>1070</v>
      </c>
    </row>
    <row r="11" spans="1:18" s="462" customFormat="1" ht="11.25" customHeight="1">
      <c r="A11" s="556" t="s">
        <v>1193</v>
      </c>
      <c r="B11" s="295">
        <v>39555.603000000003</v>
      </c>
      <c r="C11" s="295">
        <v>14567.243</v>
      </c>
      <c r="D11" s="295">
        <v>3028.4430000000002</v>
      </c>
      <c r="E11" s="295">
        <v>15529.823</v>
      </c>
      <c r="F11" s="295">
        <v>24410.638999999999</v>
      </c>
      <c r="G11" s="295">
        <v>35133.678</v>
      </c>
      <c r="H11" s="295">
        <v>79.346999999999994</v>
      </c>
      <c r="I11" s="295">
        <v>8184.8909999999996</v>
      </c>
      <c r="J11" s="295">
        <v>43424.767999999996</v>
      </c>
      <c r="K11" s="295">
        <v>150.286</v>
      </c>
      <c r="L11" s="295">
        <v>1834.0039999999999</v>
      </c>
      <c r="M11" s="295">
        <v>14872.710999999999</v>
      </c>
      <c r="N11" s="295">
        <v>7141.9579999999996</v>
      </c>
      <c r="O11" s="295">
        <v>36209.4</v>
      </c>
      <c r="P11" s="295">
        <v>17324.168000000005</v>
      </c>
      <c r="Q11" s="295">
        <v>261446.962</v>
      </c>
      <c r="R11" s="557" t="s">
        <v>1193</v>
      </c>
    </row>
    <row r="12" spans="1:18" s="162" customFormat="1" ht="11.25" customHeight="1">
      <c r="A12" s="548" t="s">
        <v>1225</v>
      </c>
      <c r="B12" s="256">
        <v>56058.838000000003</v>
      </c>
      <c r="C12" s="256">
        <v>23379.762999999999</v>
      </c>
      <c r="D12" s="256">
        <v>4250.0659999999998</v>
      </c>
      <c r="E12" s="256">
        <v>19062.416000000001</v>
      </c>
      <c r="F12" s="256">
        <v>24719.441999999999</v>
      </c>
      <c r="G12" s="256">
        <v>40486.985999999997</v>
      </c>
      <c r="H12" s="256">
        <v>154.69</v>
      </c>
      <c r="I12" s="256">
        <v>12634.067999999999</v>
      </c>
      <c r="J12" s="256">
        <v>50185.283000000003</v>
      </c>
      <c r="K12" s="256">
        <v>192.57</v>
      </c>
      <c r="L12" s="256">
        <v>2533.12</v>
      </c>
      <c r="M12" s="256">
        <v>13144.56</v>
      </c>
      <c r="N12" s="256">
        <v>8648.9599999999991</v>
      </c>
      <c r="O12" s="256">
        <v>48484.847999999998</v>
      </c>
      <c r="P12" s="256">
        <v>20005.729999999996</v>
      </c>
      <c r="Q12" s="256">
        <v>323941.33999999997</v>
      </c>
      <c r="R12" s="545" t="s">
        <v>1225</v>
      </c>
    </row>
    <row r="13" spans="1:18" s="162" customFormat="1" ht="11.25" customHeight="1">
      <c r="A13" s="556" t="s">
        <v>1350</v>
      </c>
      <c r="B13" s="295">
        <v>56693.462</v>
      </c>
      <c r="C13" s="295">
        <v>21015.174999999999</v>
      </c>
      <c r="D13" s="295">
        <v>4080.9349999999999</v>
      </c>
      <c r="E13" s="295">
        <v>19059.028999999999</v>
      </c>
      <c r="F13" s="295">
        <v>27614.215</v>
      </c>
      <c r="G13" s="295">
        <v>39752.845000000001</v>
      </c>
      <c r="H13" s="295">
        <v>194.55099999999999</v>
      </c>
      <c r="I13" s="295">
        <v>11658.181</v>
      </c>
      <c r="J13" s="295">
        <v>52211.76</v>
      </c>
      <c r="K13" s="295">
        <v>215.678</v>
      </c>
      <c r="L13" s="295">
        <v>1912.181</v>
      </c>
      <c r="M13" s="295">
        <v>11754.666999999999</v>
      </c>
      <c r="N13" s="295">
        <v>8559.2569999999996</v>
      </c>
      <c r="O13" s="295">
        <v>54210.046000000002</v>
      </c>
      <c r="P13" s="295">
        <v>17379.812999999998</v>
      </c>
      <c r="Q13" s="295">
        <v>326311.7950000001</v>
      </c>
      <c r="R13" s="557" t="s">
        <v>1350</v>
      </c>
    </row>
    <row r="14" spans="1:18" s="162" customFormat="1" ht="11.25" customHeight="1">
      <c r="A14" s="548" t="s">
        <v>1466</v>
      </c>
      <c r="B14" s="256">
        <v>59295.131999999998</v>
      </c>
      <c r="C14" s="256">
        <v>18180.312000000002</v>
      </c>
      <c r="D14" s="256">
        <v>3559.5810000000001</v>
      </c>
      <c r="E14" s="256">
        <v>20264.021000000001</v>
      </c>
      <c r="F14" s="256">
        <v>31438.42</v>
      </c>
      <c r="G14" s="256">
        <v>48004.101000000002</v>
      </c>
      <c r="H14" s="256">
        <v>399.38499999999999</v>
      </c>
      <c r="I14" s="256">
        <v>14014.406999999999</v>
      </c>
      <c r="J14" s="256">
        <v>52831.345999999998</v>
      </c>
      <c r="K14" s="256">
        <v>1446.3230000000001</v>
      </c>
      <c r="L14" s="256">
        <v>1783.4949999999999</v>
      </c>
      <c r="M14" s="256">
        <v>9048.1380000000008</v>
      </c>
      <c r="N14" s="256">
        <v>10918.987999999999</v>
      </c>
      <c r="O14" s="256">
        <v>51422.195</v>
      </c>
      <c r="P14" s="256">
        <v>21009.715</v>
      </c>
      <c r="Q14" s="256">
        <v>343615.55900000007</v>
      </c>
      <c r="R14" s="545" t="s">
        <v>1466</v>
      </c>
    </row>
    <row r="15" spans="1:18" s="162" customFormat="1" ht="11.25" customHeight="1">
      <c r="A15" s="585" t="s">
        <v>1550</v>
      </c>
      <c r="B15" s="295">
        <v>44910.99</v>
      </c>
      <c r="C15" s="295">
        <v>12542.67</v>
      </c>
      <c r="D15" s="295">
        <v>2950.95</v>
      </c>
      <c r="E15" s="295">
        <v>13189.19</v>
      </c>
      <c r="F15" s="295">
        <v>20835.34</v>
      </c>
      <c r="G15" s="295">
        <v>36533.269999999997</v>
      </c>
      <c r="H15" s="295">
        <v>179.79</v>
      </c>
      <c r="I15" s="295">
        <v>9589.89</v>
      </c>
      <c r="J15" s="295">
        <v>46746.83</v>
      </c>
      <c r="K15" s="295">
        <v>962.58</v>
      </c>
      <c r="L15" s="295">
        <v>1304.19</v>
      </c>
      <c r="M15" s="295">
        <v>7189.48</v>
      </c>
      <c r="N15" s="295">
        <v>9150.66</v>
      </c>
      <c r="O15" s="295">
        <v>33674.9</v>
      </c>
      <c r="P15" s="295">
        <v>17815.13</v>
      </c>
      <c r="Q15" s="295">
        <v>257575.86</v>
      </c>
      <c r="R15" s="557" t="s">
        <v>1550</v>
      </c>
    </row>
    <row r="16" spans="1:18" s="164" customFormat="1" ht="11.25" customHeight="1">
      <c r="A16" s="544" t="s">
        <v>1606</v>
      </c>
      <c r="B16" s="256">
        <v>67962.134999999995</v>
      </c>
      <c r="C16" s="256">
        <v>21199.138999999999</v>
      </c>
      <c r="D16" s="256">
        <v>4620.3789999999999</v>
      </c>
      <c r="E16" s="256">
        <v>60387.34</v>
      </c>
      <c r="F16" s="256">
        <v>38572.572</v>
      </c>
      <c r="G16" s="256">
        <v>46586.7</v>
      </c>
      <c r="H16" s="256">
        <v>198.36600000000001</v>
      </c>
      <c r="I16" s="256">
        <v>14741.874</v>
      </c>
      <c r="J16" s="256">
        <v>63825.078000000001</v>
      </c>
      <c r="K16" s="256">
        <v>1509.154</v>
      </c>
      <c r="L16" s="256">
        <v>2085.1729999999998</v>
      </c>
      <c r="M16" s="256">
        <v>11936.501</v>
      </c>
      <c r="N16" s="256">
        <v>22274.534</v>
      </c>
      <c r="O16" s="256">
        <v>73061.112999999998</v>
      </c>
      <c r="P16" s="256">
        <v>29821.007999999998</v>
      </c>
      <c r="Q16" s="256">
        <v>458781.06599999999</v>
      </c>
      <c r="R16" s="545" t="s">
        <v>1606</v>
      </c>
    </row>
    <row r="17" spans="1:18" s="164" customFormat="1" ht="11.25" customHeight="1">
      <c r="A17" s="621" t="s">
        <v>1927</v>
      </c>
      <c r="B17" s="338">
        <v>68002.862999999998</v>
      </c>
      <c r="C17" s="338">
        <v>19726.462</v>
      </c>
      <c r="D17" s="338">
        <v>3910.991</v>
      </c>
      <c r="E17" s="338">
        <v>55260.614000000001</v>
      </c>
      <c r="F17" s="338">
        <v>39234.875</v>
      </c>
      <c r="G17" s="338">
        <v>47496.468999999997</v>
      </c>
      <c r="H17" s="338">
        <v>197.02600000000001</v>
      </c>
      <c r="I17" s="338">
        <v>17301.597000000002</v>
      </c>
      <c r="J17" s="338">
        <v>71054.562000000005</v>
      </c>
      <c r="K17" s="338">
        <v>2750.3130000000001</v>
      </c>
      <c r="L17" s="338">
        <v>2611.3119999999999</v>
      </c>
      <c r="M17" s="338">
        <v>11890.557000000001</v>
      </c>
      <c r="N17" s="338">
        <v>16599.167000000001</v>
      </c>
      <c r="O17" s="338">
        <v>59091.580999999998</v>
      </c>
      <c r="P17" s="338">
        <v>41452.983999999997</v>
      </c>
      <c r="Q17" s="338">
        <v>456581.37300000008</v>
      </c>
      <c r="R17" s="549" t="s">
        <v>1927</v>
      </c>
    </row>
    <row r="18" spans="1:18" s="164" customFormat="1" ht="11.25" customHeight="1">
      <c r="A18" s="570" t="s">
        <v>2183</v>
      </c>
      <c r="B18" s="345">
        <f>B30</f>
        <v>67510.316000000006</v>
      </c>
      <c r="C18" s="345">
        <f t="shared" ref="C18:Q18" si="0">C30</f>
        <v>18741.575000000001</v>
      </c>
      <c r="D18" s="345">
        <f t="shared" si="0"/>
        <v>3764.1147000000001</v>
      </c>
      <c r="E18" s="345">
        <f t="shared" si="0"/>
        <v>53031.377999999997</v>
      </c>
      <c r="F18" s="345">
        <f t="shared" si="0"/>
        <v>39991.436999999998</v>
      </c>
      <c r="G18" s="345">
        <f t="shared" si="0"/>
        <v>45011.857000000004</v>
      </c>
      <c r="H18" s="345">
        <f t="shared" si="0"/>
        <v>371.97899999999998</v>
      </c>
      <c r="I18" s="345">
        <f t="shared" si="0"/>
        <v>17226.175999999999</v>
      </c>
      <c r="J18" s="345">
        <f t="shared" si="0"/>
        <v>72004.596999999994</v>
      </c>
      <c r="K18" s="345">
        <f t="shared" si="0"/>
        <v>4232.2730000000001</v>
      </c>
      <c r="L18" s="345">
        <f t="shared" si="0"/>
        <v>2931.1860000000001</v>
      </c>
      <c r="M18" s="345">
        <f t="shared" si="0"/>
        <v>12316.058000000001</v>
      </c>
      <c r="N18" s="345">
        <f t="shared" si="0"/>
        <v>18425.573</v>
      </c>
      <c r="O18" s="345">
        <f t="shared" si="0"/>
        <v>58023.178999999996</v>
      </c>
      <c r="P18" s="345">
        <f t="shared" si="0"/>
        <v>42995.048000000003</v>
      </c>
      <c r="Q18" s="345">
        <f t="shared" si="0"/>
        <v>456576.74669999996</v>
      </c>
      <c r="R18" s="571" t="s">
        <v>2183</v>
      </c>
    </row>
    <row r="19" spans="1:18" s="164" customFormat="1" ht="11.25" customHeight="1">
      <c r="A19" s="585" t="s">
        <v>565</v>
      </c>
      <c r="B19" s="605">
        <v>65457.334000000003</v>
      </c>
      <c r="C19" s="605">
        <v>18985.407999999999</v>
      </c>
      <c r="D19" s="605">
        <v>3850.0590000000002</v>
      </c>
      <c r="E19" s="605">
        <v>52964.053999999996</v>
      </c>
      <c r="F19" s="605">
        <v>38037.769</v>
      </c>
      <c r="G19" s="605">
        <v>44805.618000000002</v>
      </c>
      <c r="H19" s="605">
        <v>196.75800000000001</v>
      </c>
      <c r="I19" s="605">
        <v>17535.436000000002</v>
      </c>
      <c r="J19" s="605">
        <v>69161.164000000004</v>
      </c>
      <c r="K19" s="605">
        <v>3447.7049999999999</v>
      </c>
      <c r="L19" s="605">
        <v>2434.6590000000001</v>
      </c>
      <c r="M19" s="605">
        <v>11352.082</v>
      </c>
      <c r="N19" s="605">
        <v>16430.512999999999</v>
      </c>
      <c r="O19" s="605">
        <v>59130.521000000001</v>
      </c>
      <c r="P19" s="295">
        <f>3210.582+3302.53+3189.413+2561.261+22850.107+3637.19</f>
        <v>38751.082999999999</v>
      </c>
      <c r="Q19" s="295">
        <f t="shared" ref="Q19:Q21" si="1">SUM(B19:P19)</f>
        <v>442540.16299999994</v>
      </c>
      <c r="R19" s="557" t="s">
        <v>565</v>
      </c>
    </row>
    <row r="20" spans="1:18" s="164" customFormat="1" ht="11.25" customHeight="1">
      <c r="A20" s="544" t="s">
        <v>566</v>
      </c>
      <c r="B20" s="606">
        <v>67671.425000000003</v>
      </c>
      <c r="C20" s="606">
        <v>20685.25</v>
      </c>
      <c r="D20" s="606">
        <v>3923.8380000000002</v>
      </c>
      <c r="E20" s="606">
        <v>54469.815999999999</v>
      </c>
      <c r="F20" s="606">
        <v>38395.036</v>
      </c>
      <c r="G20" s="606">
        <v>46088.813000000002</v>
      </c>
      <c r="H20" s="606">
        <v>204.357</v>
      </c>
      <c r="I20" s="606">
        <v>18899.857</v>
      </c>
      <c r="J20" s="606">
        <v>72271.921000000002</v>
      </c>
      <c r="K20" s="606">
        <v>4103.2349999999997</v>
      </c>
      <c r="L20" s="606">
        <v>3172.3960000000002</v>
      </c>
      <c r="M20" s="606">
        <v>12998.727999999999</v>
      </c>
      <c r="N20" s="606">
        <v>16844.252</v>
      </c>
      <c r="O20" s="606">
        <v>58266.019</v>
      </c>
      <c r="P20" s="256">
        <f>3360.252+3342.231+3353.405+3090.845+24151.746+3744.02</f>
        <v>41042.498999999996</v>
      </c>
      <c r="Q20" s="256">
        <f t="shared" si="1"/>
        <v>459037.44199999998</v>
      </c>
      <c r="R20" s="545" t="s">
        <v>566</v>
      </c>
    </row>
    <row r="21" spans="1:18" s="164" customFormat="1" ht="11.25" customHeight="1">
      <c r="A21" s="585" t="s">
        <v>560</v>
      </c>
      <c r="B21" s="605">
        <v>66553.089000000007</v>
      </c>
      <c r="C21" s="605">
        <v>19717.593000000001</v>
      </c>
      <c r="D21" s="605">
        <v>3863.2179999999998</v>
      </c>
      <c r="E21" s="605">
        <v>53799.815999999999</v>
      </c>
      <c r="F21" s="605">
        <v>38101.561000000002</v>
      </c>
      <c r="G21" s="605">
        <v>45677.81</v>
      </c>
      <c r="H21" s="605">
        <v>257.709</v>
      </c>
      <c r="I21" s="605">
        <v>17639.59</v>
      </c>
      <c r="J21" s="605">
        <v>75228.61</v>
      </c>
      <c r="K21" s="605">
        <v>4404.4759999999997</v>
      </c>
      <c r="L21" s="605">
        <v>3334.9690000000001</v>
      </c>
      <c r="M21" s="605">
        <v>12421.821</v>
      </c>
      <c r="N21" s="605">
        <v>16050.281999999999</v>
      </c>
      <c r="O21" s="605">
        <v>58143.56</v>
      </c>
      <c r="P21" s="295">
        <f>3447.751+3388.372+3812.563+4287.395+26258.445+3713.11</f>
        <v>44907.635999999999</v>
      </c>
      <c r="Q21" s="295">
        <f t="shared" si="1"/>
        <v>460101.74</v>
      </c>
      <c r="R21" s="557" t="s">
        <v>560</v>
      </c>
    </row>
    <row r="22" spans="1:18" s="164" customFormat="1" ht="11.25" customHeight="1">
      <c r="A22" s="544" t="s">
        <v>567</v>
      </c>
      <c r="B22" s="606">
        <v>66068.740000000005</v>
      </c>
      <c r="C22" s="606">
        <v>18769.64</v>
      </c>
      <c r="D22" s="606">
        <v>3862.13</v>
      </c>
      <c r="E22" s="606">
        <v>52994.66</v>
      </c>
      <c r="F22" s="606">
        <v>37547.46</v>
      </c>
      <c r="G22" s="606">
        <v>44821.36</v>
      </c>
      <c r="H22" s="606">
        <v>280.33</v>
      </c>
      <c r="I22" s="606">
        <v>17198.599999999999</v>
      </c>
      <c r="J22" s="606">
        <v>74236.570000000007</v>
      </c>
      <c r="K22" s="606">
        <v>5011.3</v>
      </c>
      <c r="L22" s="606">
        <v>3025.29</v>
      </c>
      <c r="M22" s="606">
        <v>11147.35</v>
      </c>
      <c r="N22" s="606">
        <v>15846.87</v>
      </c>
      <c r="O22" s="606">
        <v>58023.18</v>
      </c>
      <c r="P22" s="256">
        <f>3203.67+3210+3946.8+4536.15+23366.17+3712.51</f>
        <v>41975.3</v>
      </c>
      <c r="Q22" s="256">
        <f t="shared" ref="Q22:Q27" si="2">SUM(B22:P22)</f>
        <v>450808.77999999991</v>
      </c>
      <c r="R22" s="545" t="s">
        <v>567</v>
      </c>
    </row>
    <row r="23" spans="1:18" s="164" customFormat="1" ht="11.25" customHeight="1">
      <c r="A23" s="585" t="s">
        <v>568</v>
      </c>
      <c r="B23" s="605">
        <v>66617.14</v>
      </c>
      <c r="C23" s="605">
        <v>18745.060000000001</v>
      </c>
      <c r="D23" s="605">
        <v>3861.05</v>
      </c>
      <c r="E23" s="605">
        <v>52191.35</v>
      </c>
      <c r="F23" s="605">
        <v>37734.639999999999</v>
      </c>
      <c r="G23" s="605">
        <v>44672.63</v>
      </c>
      <c r="H23" s="605">
        <v>303.95999999999998</v>
      </c>
      <c r="I23" s="605">
        <v>17150</v>
      </c>
      <c r="J23" s="605">
        <v>72294.53</v>
      </c>
      <c r="K23" s="605">
        <v>4160.53</v>
      </c>
      <c r="L23" s="605">
        <v>2772.13</v>
      </c>
      <c r="M23" s="605">
        <v>11285.57</v>
      </c>
      <c r="N23" s="605">
        <v>16281.88</v>
      </c>
      <c r="O23" s="605">
        <v>58023.18</v>
      </c>
      <c r="P23" s="295">
        <f>3246.17+3214.61+4070.61+4386.91+21922.89+3742</f>
        <v>40583.19</v>
      </c>
      <c r="Q23" s="295">
        <f t="shared" si="2"/>
        <v>446676.84</v>
      </c>
      <c r="R23" s="557" t="s">
        <v>568</v>
      </c>
    </row>
    <row r="24" spans="1:18" s="164" customFormat="1" ht="11.25" customHeight="1">
      <c r="A24" s="544" t="s">
        <v>561</v>
      </c>
      <c r="B24" s="606">
        <v>66662.7</v>
      </c>
      <c r="C24" s="606">
        <v>18801.560000000001</v>
      </c>
      <c r="D24" s="606">
        <v>3853.2</v>
      </c>
      <c r="E24" s="606">
        <v>52529.19</v>
      </c>
      <c r="F24" s="606">
        <v>37860.449999999997</v>
      </c>
      <c r="G24" s="606">
        <v>44624.46</v>
      </c>
      <c r="H24" s="606">
        <v>363.28</v>
      </c>
      <c r="I24" s="606">
        <v>17068.16</v>
      </c>
      <c r="J24" s="606">
        <v>72830.039999999994</v>
      </c>
      <c r="K24" s="606">
        <v>4002.44</v>
      </c>
      <c r="L24" s="606">
        <v>2712.27</v>
      </c>
      <c r="M24" s="606">
        <v>11106.53</v>
      </c>
      <c r="N24" s="606">
        <v>16242.39</v>
      </c>
      <c r="O24" s="606">
        <v>58023.18</v>
      </c>
      <c r="P24" s="256">
        <f>3259.47+3267.12+3935.21+4329.09+21943.23+3759.01</f>
        <v>40493.129999999997</v>
      </c>
      <c r="Q24" s="256">
        <f t="shared" si="2"/>
        <v>447172.98000000004</v>
      </c>
      <c r="R24" s="545" t="s">
        <v>561</v>
      </c>
    </row>
    <row r="25" spans="1:18" s="164" customFormat="1" ht="11.25" customHeight="1">
      <c r="A25" s="585" t="s">
        <v>569</v>
      </c>
      <c r="B25" s="605">
        <v>66871.94</v>
      </c>
      <c r="C25" s="605">
        <v>18846.669999999998</v>
      </c>
      <c r="D25" s="605">
        <v>3841.89</v>
      </c>
      <c r="E25" s="605">
        <v>52679.15</v>
      </c>
      <c r="F25" s="605">
        <v>37907.910000000003</v>
      </c>
      <c r="G25" s="605">
        <v>44663.57</v>
      </c>
      <c r="H25" s="605">
        <v>310.93</v>
      </c>
      <c r="I25" s="605">
        <v>16736.05</v>
      </c>
      <c r="J25" s="605">
        <v>72906.240000000005</v>
      </c>
      <c r="K25" s="605">
        <v>4098.8500000000004</v>
      </c>
      <c r="L25" s="605">
        <v>3026.11</v>
      </c>
      <c r="M25" s="605">
        <v>11118.8</v>
      </c>
      <c r="N25" s="605">
        <v>17551.09</v>
      </c>
      <c r="O25" s="605">
        <v>58023.18</v>
      </c>
      <c r="P25" s="295">
        <f>3220.19+3203.64+4314.26+5574.4+22038.34+3656.51</f>
        <v>42007.340000000004</v>
      </c>
      <c r="Q25" s="295">
        <f t="shared" si="2"/>
        <v>450589.72</v>
      </c>
      <c r="R25" s="557" t="s">
        <v>569</v>
      </c>
    </row>
    <row r="26" spans="1:18" s="164" customFormat="1" ht="11.25" customHeight="1">
      <c r="A26" s="544" t="s">
        <v>570</v>
      </c>
      <c r="B26" s="606">
        <v>66923.063999999998</v>
      </c>
      <c r="C26" s="606">
        <v>18769.088</v>
      </c>
      <c r="D26" s="606">
        <v>3751.027</v>
      </c>
      <c r="E26" s="606">
        <v>52619.106</v>
      </c>
      <c r="F26" s="606">
        <v>38130.510999999999</v>
      </c>
      <c r="G26" s="606">
        <v>44565.917000000001</v>
      </c>
      <c r="H26" s="606">
        <v>314.70400000000001</v>
      </c>
      <c r="I26" s="606">
        <v>16602.603999999999</v>
      </c>
      <c r="J26" s="606">
        <v>72479.353000000003</v>
      </c>
      <c r="K26" s="606">
        <v>4029.625</v>
      </c>
      <c r="L26" s="606">
        <v>2832.21</v>
      </c>
      <c r="M26" s="606">
        <v>11089.456</v>
      </c>
      <c r="N26" s="606">
        <v>16067.771000000001</v>
      </c>
      <c r="O26" s="606">
        <v>58023.178999999996</v>
      </c>
      <c r="P26" s="256">
        <f>3217.489+3238.811+4136.647+5619.79+21986.827+3661.905</f>
        <v>41861.468999999997</v>
      </c>
      <c r="Q26" s="256">
        <f t="shared" si="2"/>
        <v>448059.08399999997</v>
      </c>
      <c r="R26" s="545" t="s">
        <v>570</v>
      </c>
    </row>
    <row r="27" spans="1:18" s="164" customFormat="1" ht="11.25" customHeight="1">
      <c r="A27" s="585" t="s">
        <v>562</v>
      </c>
      <c r="B27" s="605">
        <v>67323.73</v>
      </c>
      <c r="C27" s="605">
        <v>18693.95</v>
      </c>
      <c r="D27" s="605">
        <v>3732.44</v>
      </c>
      <c r="E27" s="605">
        <v>52532.73</v>
      </c>
      <c r="F27" s="605">
        <v>38756.769999999997</v>
      </c>
      <c r="G27" s="605">
        <v>44667.34</v>
      </c>
      <c r="H27" s="605">
        <v>311.93</v>
      </c>
      <c r="I27" s="605">
        <v>16681.11</v>
      </c>
      <c r="J27" s="605">
        <v>71236.350000000006</v>
      </c>
      <c r="K27" s="605">
        <v>4009.91</v>
      </c>
      <c r="L27" s="605">
        <v>2996.56</v>
      </c>
      <c r="M27" s="605">
        <v>11094.23</v>
      </c>
      <c r="N27" s="605">
        <v>16060.22</v>
      </c>
      <c r="O27" s="605">
        <v>58023.18</v>
      </c>
      <c r="P27" s="295">
        <f>3309.84+4456.47+6182.81+3200.11+22054.58+3514.8</f>
        <v>42718.61</v>
      </c>
      <c r="Q27" s="295">
        <f t="shared" si="2"/>
        <v>448839.05999999988</v>
      </c>
      <c r="R27" s="557" t="s">
        <v>562</v>
      </c>
    </row>
    <row r="28" spans="1:18" s="164" customFormat="1" ht="11.25" customHeight="1">
      <c r="A28" s="544" t="s">
        <v>571</v>
      </c>
      <c r="B28" s="606">
        <v>67991.72</v>
      </c>
      <c r="C28" s="606">
        <v>18670.78</v>
      </c>
      <c r="D28" s="606">
        <v>3731.77</v>
      </c>
      <c r="E28" s="606">
        <v>52502.559999999998</v>
      </c>
      <c r="F28" s="606">
        <v>38277.57</v>
      </c>
      <c r="G28" s="606">
        <v>44833.84</v>
      </c>
      <c r="H28" s="606">
        <v>371.71</v>
      </c>
      <c r="I28" s="606">
        <v>16720.7</v>
      </c>
      <c r="J28" s="606">
        <v>71440.89</v>
      </c>
      <c r="K28" s="606">
        <v>4184.57</v>
      </c>
      <c r="L28" s="606">
        <v>3138.05</v>
      </c>
      <c r="M28" s="606">
        <v>11967.31</v>
      </c>
      <c r="N28" s="606">
        <v>16124.59</v>
      </c>
      <c r="O28" s="606">
        <v>58023.18</v>
      </c>
      <c r="P28" s="256">
        <f>3157.63+3366.46+4357.53+5996.83+22338.66+3514.04</f>
        <v>42731.15</v>
      </c>
      <c r="Q28" s="256">
        <f>SUM(B28:P28)</f>
        <v>450710.39000000007</v>
      </c>
      <c r="R28" s="545" t="s">
        <v>571</v>
      </c>
    </row>
    <row r="29" spans="1:18" s="164" customFormat="1" ht="11.25" customHeight="1">
      <c r="A29" s="585" t="s">
        <v>572</v>
      </c>
      <c r="B29" s="605">
        <v>66807.5</v>
      </c>
      <c r="C29" s="605">
        <v>18724.95</v>
      </c>
      <c r="D29" s="605">
        <v>3775.81</v>
      </c>
      <c r="E29" s="605">
        <v>52860.62</v>
      </c>
      <c r="F29" s="605">
        <v>39915.08</v>
      </c>
      <c r="G29" s="605">
        <v>45009.91</v>
      </c>
      <c r="H29" s="605">
        <v>392.51</v>
      </c>
      <c r="I29" s="605">
        <v>17000.939999999999</v>
      </c>
      <c r="J29" s="605">
        <v>71941.42</v>
      </c>
      <c r="K29" s="605">
        <v>4297.59</v>
      </c>
      <c r="L29" s="605">
        <v>3006.42</v>
      </c>
      <c r="M29" s="605">
        <v>12508.25</v>
      </c>
      <c r="N29" s="605">
        <v>18460.57</v>
      </c>
      <c r="O29" s="605">
        <v>58023.18</v>
      </c>
      <c r="P29" s="295">
        <f>3199.48+3424.32+4480.61+5265.58+22813.13+3528.9</f>
        <v>42712.020000000004</v>
      </c>
      <c r="Q29" s="295">
        <f>SUM(B29:P29)</f>
        <v>455436.77000000008</v>
      </c>
      <c r="R29" s="557" t="s">
        <v>572</v>
      </c>
    </row>
    <row r="30" spans="1:18" s="164" customFormat="1" ht="11.25" customHeight="1">
      <c r="A30" s="544" t="s">
        <v>563</v>
      </c>
      <c r="B30" s="606">
        <v>67510.316000000006</v>
      </c>
      <c r="C30" s="606">
        <v>18741.575000000001</v>
      </c>
      <c r="D30" s="606">
        <v>3764.1147000000001</v>
      </c>
      <c r="E30" s="606">
        <v>53031.377999999997</v>
      </c>
      <c r="F30" s="606">
        <v>39991.436999999998</v>
      </c>
      <c r="G30" s="606">
        <v>45011.857000000004</v>
      </c>
      <c r="H30" s="606">
        <v>371.97899999999998</v>
      </c>
      <c r="I30" s="606">
        <v>17226.175999999999</v>
      </c>
      <c r="J30" s="606">
        <v>72004.596999999994</v>
      </c>
      <c r="K30" s="606">
        <v>4232.2730000000001</v>
      </c>
      <c r="L30" s="606">
        <v>2931.1860000000001</v>
      </c>
      <c r="M30" s="606">
        <v>12316.058000000001</v>
      </c>
      <c r="N30" s="606">
        <v>18425.573</v>
      </c>
      <c r="O30" s="606">
        <v>58023.178999999996</v>
      </c>
      <c r="P30" s="256">
        <f>3203.225+3479.956+4325.231+5053.542+22843.839+4089.255</f>
        <v>42995.048000000003</v>
      </c>
      <c r="Q30" s="256">
        <f>SUM(B30:P30)</f>
        <v>456576.74669999996</v>
      </c>
      <c r="R30" s="545" t="s">
        <v>563</v>
      </c>
    </row>
    <row r="31" spans="1:18" s="164" customFormat="1" ht="11.25" customHeight="1">
      <c r="A31" s="621" t="s">
        <v>2345</v>
      </c>
      <c r="B31" s="338">
        <f>B43</f>
        <v>61502.328999999998</v>
      </c>
      <c r="C31" s="338">
        <f t="shared" ref="C31:Q31" si="3">C43</f>
        <v>10941.03</v>
      </c>
      <c r="D31" s="338">
        <f t="shared" si="3"/>
        <v>3123.9810000000002</v>
      </c>
      <c r="E31" s="338">
        <f t="shared" si="3"/>
        <v>35219.608999999997</v>
      </c>
      <c r="F31" s="338">
        <f t="shared" si="3"/>
        <v>29567.940999999999</v>
      </c>
      <c r="G31" s="338">
        <f t="shared" si="3"/>
        <v>32888.892</v>
      </c>
      <c r="H31" s="338">
        <f t="shared" si="3"/>
        <v>362.428</v>
      </c>
      <c r="I31" s="338">
        <f t="shared" si="3"/>
        <v>12582.056</v>
      </c>
      <c r="J31" s="338">
        <f t="shared" si="3"/>
        <v>60783.798999999999</v>
      </c>
      <c r="K31" s="338">
        <f t="shared" si="3"/>
        <v>3146.34</v>
      </c>
      <c r="L31" s="338">
        <f t="shared" si="3"/>
        <v>2338.8629999999998</v>
      </c>
      <c r="M31" s="338">
        <f t="shared" si="3"/>
        <v>11085.117</v>
      </c>
      <c r="N31" s="338">
        <f t="shared" si="3"/>
        <v>14177.669</v>
      </c>
      <c r="O31" s="338">
        <f t="shared" si="3"/>
        <v>47687.898000000001</v>
      </c>
      <c r="P31" s="338">
        <f t="shared" si="3"/>
        <v>41411.814000000006</v>
      </c>
      <c r="Q31" s="338">
        <f t="shared" si="3"/>
        <v>366819.766</v>
      </c>
      <c r="R31" s="549" t="s">
        <v>2345</v>
      </c>
    </row>
    <row r="32" spans="1:18" s="164" customFormat="1" ht="11.25" customHeight="1">
      <c r="A32" s="544" t="s">
        <v>565</v>
      </c>
      <c r="B32" s="606">
        <v>68558.23</v>
      </c>
      <c r="C32" s="606">
        <v>18692.868999999999</v>
      </c>
      <c r="D32" s="606">
        <v>3760.645</v>
      </c>
      <c r="E32" s="606">
        <v>52893.324000000001</v>
      </c>
      <c r="F32" s="606">
        <v>39755.911999999997</v>
      </c>
      <c r="G32" s="606">
        <v>44783.572999999997</v>
      </c>
      <c r="H32" s="606">
        <v>397.05700000000002</v>
      </c>
      <c r="I32" s="606">
        <v>17216.076000000001</v>
      </c>
      <c r="J32" s="606">
        <v>71831.267999999996</v>
      </c>
      <c r="K32" s="606">
        <v>4101.0129999999999</v>
      </c>
      <c r="L32" s="606">
        <v>2781.27</v>
      </c>
      <c r="M32" s="606">
        <v>12326.138000000001</v>
      </c>
      <c r="N32" s="606">
        <v>18567.451000000001</v>
      </c>
      <c r="O32" s="606">
        <v>58023.178999999996</v>
      </c>
      <c r="P32" s="256">
        <f>3159.836+3422.68+4119.144+4946.04+22838.594+4088.319</f>
        <v>42574.613000000005</v>
      </c>
      <c r="Q32" s="256">
        <f t="shared" ref="Q32:Q52" si="4">SUM(B32:P32)</f>
        <v>456262.61799999996</v>
      </c>
      <c r="R32" s="545" t="s">
        <v>565</v>
      </c>
    </row>
    <row r="33" spans="1:18" s="164" customFormat="1" ht="11.25" customHeight="1">
      <c r="A33" s="585" t="s">
        <v>566</v>
      </c>
      <c r="B33" s="605">
        <v>68493.937999999995</v>
      </c>
      <c r="C33" s="605">
        <v>18671.004000000001</v>
      </c>
      <c r="D33" s="605">
        <v>3746.0749999999998</v>
      </c>
      <c r="E33" s="605">
        <v>52781.805</v>
      </c>
      <c r="F33" s="605">
        <v>40086.315999999999</v>
      </c>
      <c r="G33" s="605">
        <v>44893.849000000002</v>
      </c>
      <c r="H33" s="605">
        <v>394.91899999999998</v>
      </c>
      <c r="I33" s="605">
        <v>17091.196</v>
      </c>
      <c r="J33" s="605">
        <v>72311.37</v>
      </c>
      <c r="K33" s="605">
        <v>4233.058</v>
      </c>
      <c r="L33" s="605">
        <v>2806.2779999999998</v>
      </c>
      <c r="M33" s="605">
        <v>12398.548000000001</v>
      </c>
      <c r="N33" s="605">
        <v>17446.334999999999</v>
      </c>
      <c r="O33" s="605">
        <v>58023.178999999996</v>
      </c>
      <c r="P33" s="295">
        <f>3144.596+3405.184+4148.163+4465.432+23044.062+4087.799</f>
        <v>42295.236000000004</v>
      </c>
      <c r="Q33" s="295">
        <f t="shared" si="4"/>
        <v>455673.10600000003</v>
      </c>
      <c r="R33" s="557" t="s">
        <v>566</v>
      </c>
    </row>
    <row r="34" spans="1:18" s="164" customFormat="1" ht="11.25" customHeight="1">
      <c r="A34" s="544" t="s">
        <v>560</v>
      </c>
      <c r="B34" s="606">
        <v>68069.134999999995</v>
      </c>
      <c r="C34" s="606">
        <v>18652.02</v>
      </c>
      <c r="D34" s="606">
        <v>3740.2579999999998</v>
      </c>
      <c r="E34" s="606">
        <v>52625.231</v>
      </c>
      <c r="F34" s="606">
        <v>39780.33</v>
      </c>
      <c r="G34" s="606">
        <v>44781.463000000003</v>
      </c>
      <c r="H34" s="606">
        <v>390.28100000000001</v>
      </c>
      <c r="I34" s="606">
        <v>16893.114000000001</v>
      </c>
      <c r="J34" s="606">
        <v>71773.731</v>
      </c>
      <c r="K34" s="606">
        <v>3970.431</v>
      </c>
      <c r="L34" s="606">
        <v>2851.0010000000002</v>
      </c>
      <c r="M34" s="606">
        <v>12272.478999999999</v>
      </c>
      <c r="N34" s="606">
        <v>18806.151000000002</v>
      </c>
      <c r="O34" s="606">
        <v>58023.178999999996</v>
      </c>
      <c r="P34" s="256">
        <f>3144.596+3597.07+4113.995+4655.642+22500.39+4087.599</f>
        <v>42099.292000000001</v>
      </c>
      <c r="Q34" s="256">
        <f t="shared" si="4"/>
        <v>454728.09599999996</v>
      </c>
      <c r="R34" s="545" t="s">
        <v>560</v>
      </c>
    </row>
    <row r="35" spans="1:18" s="164" customFormat="1" ht="11.25" customHeight="1">
      <c r="A35" s="585" t="s">
        <v>567</v>
      </c>
      <c r="B35" s="605">
        <v>68412.78</v>
      </c>
      <c r="C35" s="605">
        <v>18652.02</v>
      </c>
      <c r="D35" s="605">
        <v>4156.5060000000003</v>
      </c>
      <c r="E35" s="605">
        <v>52734.328000000001</v>
      </c>
      <c r="F35" s="605">
        <v>39762.521000000001</v>
      </c>
      <c r="G35" s="605">
        <v>44841.031999999999</v>
      </c>
      <c r="H35" s="605">
        <v>472.39499999999998</v>
      </c>
      <c r="I35" s="605">
        <v>16749.076000000001</v>
      </c>
      <c r="J35" s="605">
        <v>72060.051000000007</v>
      </c>
      <c r="K35" s="605">
        <v>3816.4659999999999</v>
      </c>
      <c r="L35" s="605">
        <v>2818.308</v>
      </c>
      <c r="M35" s="605">
        <v>12312.032999999999</v>
      </c>
      <c r="N35" s="605">
        <v>18030.512999999999</v>
      </c>
      <c r="O35" s="605">
        <v>58023.178999999996</v>
      </c>
      <c r="P35" s="295">
        <f>3144.596+3551.703+3889.352+4584.273+22596.734+4088.309</f>
        <v>41854.966999999997</v>
      </c>
      <c r="Q35" s="295">
        <f t="shared" si="4"/>
        <v>454696.17500000005</v>
      </c>
      <c r="R35" s="557" t="s">
        <v>567</v>
      </c>
    </row>
    <row r="36" spans="1:18" s="164" customFormat="1" ht="11.25" customHeight="1">
      <c r="A36" s="544" t="s">
        <v>568</v>
      </c>
      <c r="B36" s="606">
        <v>67952.573999999993</v>
      </c>
      <c r="C36" s="606">
        <v>18657.198</v>
      </c>
      <c r="D36" s="606">
        <v>3907.6260000000002</v>
      </c>
      <c r="E36" s="606">
        <v>52896.678</v>
      </c>
      <c r="F36" s="606">
        <v>39161.250999999997</v>
      </c>
      <c r="G36" s="606">
        <v>44787.432000000001</v>
      </c>
      <c r="H36" s="606">
        <v>439.06</v>
      </c>
      <c r="I36" s="606">
        <v>17276.647000000001</v>
      </c>
      <c r="J36" s="606">
        <v>71815.494999999995</v>
      </c>
      <c r="K36" s="606">
        <v>3922.0720000000001</v>
      </c>
      <c r="L36" s="606">
        <v>2745.8449999999998</v>
      </c>
      <c r="M36" s="606">
        <v>12040.441000000001</v>
      </c>
      <c r="N36" s="606">
        <v>17132.940999999999</v>
      </c>
      <c r="O36" s="606">
        <v>58023.178999999996</v>
      </c>
      <c r="P36" s="256">
        <f>3215.45+3492.616+3715.431+4259.053+22681.461+4138.309</f>
        <v>41502.32</v>
      </c>
      <c r="Q36" s="256">
        <f t="shared" si="4"/>
        <v>452260.75899999996</v>
      </c>
      <c r="R36" s="545" t="s">
        <v>568</v>
      </c>
    </row>
    <row r="37" spans="1:18" s="164" customFormat="1" ht="11.25" customHeight="1">
      <c r="A37" s="585" t="s">
        <v>561</v>
      </c>
      <c r="B37" s="605">
        <v>68651.072</v>
      </c>
      <c r="C37" s="605">
        <v>18694.316999999999</v>
      </c>
      <c r="D37" s="605">
        <v>4147.3810000000003</v>
      </c>
      <c r="E37" s="605">
        <v>53188.73</v>
      </c>
      <c r="F37" s="605">
        <v>39192.516000000003</v>
      </c>
      <c r="G37" s="605">
        <v>44645.279999999999</v>
      </c>
      <c r="H37" s="605">
        <v>402.577</v>
      </c>
      <c r="I37" s="605">
        <v>17172.57</v>
      </c>
      <c r="J37" s="605">
        <v>72148.035000000003</v>
      </c>
      <c r="K37" s="605">
        <v>3888.9949999999999</v>
      </c>
      <c r="L37" s="605">
        <v>2750.5160000000001</v>
      </c>
      <c r="M37" s="605">
        <v>12140.829</v>
      </c>
      <c r="N37" s="605">
        <v>17567.964</v>
      </c>
      <c r="O37" s="605">
        <v>58023.178999999996</v>
      </c>
      <c r="P37" s="295">
        <f>3212.365+3480.697+3804.317+3249.123+23250.796+4520.129</f>
        <v>41517.426999999996</v>
      </c>
      <c r="Q37" s="295">
        <f t="shared" si="4"/>
        <v>454131.38800000004</v>
      </c>
      <c r="R37" s="557" t="s">
        <v>561</v>
      </c>
    </row>
    <row r="38" spans="1:18" s="164" customFormat="1" ht="11.25" customHeight="1">
      <c r="A38" s="544" t="s">
        <v>569</v>
      </c>
      <c r="B38" s="606">
        <v>66732</v>
      </c>
      <c r="C38" s="606">
        <v>13949.92</v>
      </c>
      <c r="D38" s="606">
        <v>3625.89</v>
      </c>
      <c r="E38" s="606">
        <v>41866.589999999997</v>
      </c>
      <c r="F38" s="606">
        <v>39274.379999999997</v>
      </c>
      <c r="G38" s="606">
        <v>36961.82</v>
      </c>
      <c r="H38" s="606">
        <v>383.29</v>
      </c>
      <c r="I38" s="606">
        <v>13896.84</v>
      </c>
      <c r="J38" s="606">
        <v>71031.899999999994</v>
      </c>
      <c r="K38" s="606">
        <v>3624.61</v>
      </c>
      <c r="L38" s="606">
        <v>2499.04</v>
      </c>
      <c r="M38" s="606">
        <v>12569.16</v>
      </c>
      <c r="N38" s="606">
        <v>17143.59</v>
      </c>
      <c r="O38" s="606">
        <v>57060.13</v>
      </c>
      <c r="P38" s="256">
        <f>3114.2+3893.99+3354.96+2518.15+25041.51+4342.27</f>
        <v>42265.08</v>
      </c>
      <c r="Q38" s="256">
        <f>SUM(B38:P38)</f>
        <v>422884.24</v>
      </c>
      <c r="R38" s="545" t="s">
        <v>569</v>
      </c>
    </row>
    <row r="39" spans="1:18" s="164" customFormat="1" ht="11.25" customHeight="1">
      <c r="A39" s="585" t="s">
        <v>570</v>
      </c>
      <c r="B39" s="605">
        <v>70136.12</v>
      </c>
      <c r="C39" s="605">
        <v>14281.82</v>
      </c>
      <c r="D39" s="605">
        <v>3679.44</v>
      </c>
      <c r="E39" s="605">
        <v>42012.19</v>
      </c>
      <c r="F39" s="605">
        <v>39871.82</v>
      </c>
      <c r="G39" s="605">
        <v>36556.339999999997</v>
      </c>
      <c r="H39" s="605">
        <v>432.07</v>
      </c>
      <c r="I39" s="605">
        <v>15524.35</v>
      </c>
      <c r="J39" s="605">
        <v>68605.72</v>
      </c>
      <c r="K39" s="605">
        <v>4675.16</v>
      </c>
      <c r="L39" s="605">
        <v>2665.69</v>
      </c>
      <c r="M39" s="605">
        <v>12937.87</v>
      </c>
      <c r="N39" s="605">
        <v>17519.29</v>
      </c>
      <c r="O39" s="605">
        <v>56896.87</v>
      </c>
      <c r="P39" s="295">
        <f>2943.62+3154.07+3991.33+7390.49+24911.17+4344.73</f>
        <v>46735.41</v>
      </c>
      <c r="Q39" s="295">
        <f t="shared" si="4"/>
        <v>432530.15999999992</v>
      </c>
      <c r="R39" s="557" t="s">
        <v>570</v>
      </c>
    </row>
    <row r="40" spans="1:18" s="164" customFormat="1" ht="11.25" customHeight="1">
      <c r="A40" s="544" t="s">
        <v>562</v>
      </c>
      <c r="B40" s="606">
        <v>67789.17</v>
      </c>
      <c r="C40" s="606">
        <v>12519.24</v>
      </c>
      <c r="D40" s="606">
        <v>3394.39</v>
      </c>
      <c r="E40" s="606">
        <v>37908.33</v>
      </c>
      <c r="F40" s="606">
        <v>33052.050000000003</v>
      </c>
      <c r="G40" s="606">
        <v>33893.370000000003</v>
      </c>
      <c r="H40" s="606">
        <v>417</v>
      </c>
      <c r="I40" s="606">
        <v>14219.49</v>
      </c>
      <c r="J40" s="606">
        <v>63661.14</v>
      </c>
      <c r="K40" s="606">
        <v>4129.49</v>
      </c>
      <c r="L40" s="606">
        <v>2414.02</v>
      </c>
      <c r="M40" s="606">
        <v>11774.28</v>
      </c>
      <c r="N40" s="606">
        <v>15687.23</v>
      </c>
      <c r="O40" s="606">
        <v>48817.79</v>
      </c>
      <c r="P40" s="256">
        <f>2763.975+2936.603+3823.74+7038.679+24302.145+4308.454</f>
        <v>45173.595999999998</v>
      </c>
      <c r="Q40" s="256">
        <f t="shared" si="4"/>
        <v>394850.58600000001</v>
      </c>
      <c r="R40" s="545" t="s">
        <v>562</v>
      </c>
    </row>
    <row r="41" spans="1:18" s="164" customFormat="1" ht="11.25" customHeight="1">
      <c r="A41" s="585" t="s">
        <v>571</v>
      </c>
      <c r="B41" s="605">
        <v>65740.97</v>
      </c>
      <c r="C41" s="605">
        <v>10791.044</v>
      </c>
      <c r="D41" s="605">
        <v>3186.0169999999998</v>
      </c>
      <c r="E41" s="605">
        <v>35691.875</v>
      </c>
      <c r="F41" s="605">
        <v>30773.7</v>
      </c>
      <c r="G41" s="605">
        <v>64116.934000000001</v>
      </c>
      <c r="H41" s="605">
        <v>414.24</v>
      </c>
      <c r="I41" s="605">
        <v>13685.728999999999</v>
      </c>
      <c r="J41" s="605">
        <v>62542.012000000002</v>
      </c>
      <c r="K41" s="605">
        <v>3760.3780000000002</v>
      </c>
      <c r="L41" s="605">
        <v>2222.0830000000001</v>
      </c>
      <c r="M41" s="605">
        <v>11370.233</v>
      </c>
      <c r="N41" s="605">
        <v>14494.8</v>
      </c>
      <c r="O41" s="605">
        <v>46805.237999999998</v>
      </c>
      <c r="P41" s="295">
        <f>2514.703+2744.472+3760.499+6800.924+23506.337+4311.919</f>
        <v>43638.853999999999</v>
      </c>
      <c r="Q41" s="295">
        <f t="shared" si="4"/>
        <v>409234.10700000002</v>
      </c>
      <c r="R41" s="1614" t="s">
        <v>571</v>
      </c>
    </row>
    <row r="42" spans="1:18" s="162" customFormat="1" ht="11.25" customHeight="1">
      <c r="A42" s="544" t="s">
        <v>572</v>
      </c>
      <c r="B42" s="606">
        <v>62392.298000000003</v>
      </c>
      <c r="C42" s="606">
        <v>10570.156000000001</v>
      </c>
      <c r="D42" s="606">
        <v>3250.1439999999998</v>
      </c>
      <c r="E42" s="606">
        <v>31467.956999999999</v>
      </c>
      <c r="F42" s="606">
        <v>28385.133999999998</v>
      </c>
      <c r="G42" s="606">
        <v>31517.954000000002</v>
      </c>
      <c r="H42" s="606">
        <v>368.54300000000001</v>
      </c>
      <c r="I42" s="606">
        <v>13157.212</v>
      </c>
      <c r="J42" s="606">
        <v>57728.514000000003</v>
      </c>
      <c r="K42" s="606">
        <v>3111.3389999999999</v>
      </c>
      <c r="L42" s="606">
        <v>2241.7190000000001</v>
      </c>
      <c r="M42" s="606">
        <v>10280.204</v>
      </c>
      <c r="N42" s="606">
        <v>13839.726000000001</v>
      </c>
      <c r="O42" s="606">
        <v>43569.866000000002</v>
      </c>
      <c r="P42" s="256">
        <f>2242.421+2521.348+3220.347+6423.324+22936.463+4308.146</f>
        <v>41652.048999999999</v>
      </c>
      <c r="Q42" s="256">
        <f t="shared" si="4"/>
        <v>353532.815</v>
      </c>
      <c r="R42" s="1649" t="s">
        <v>572</v>
      </c>
    </row>
    <row r="43" spans="1:18" s="162" customFormat="1" ht="11.25" customHeight="1">
      <c r="A43" s="585" t="s">
        <v>563</v>
      </c>
      <c r="B43" s="605">
        <v>61502.328999999998</v>
      </c>
      <c r="C43" s="605">
        <v>10941.03</v>
      </c>
      <c r="D43" s="605">
        <v>3123.9810000000002</v>
      </c>
      <c r="E43" s="605">
        <v>35219.608999999997</v>
      </c>
      <c r="F43" s="605">
        <v>29567.940999999999</v>
      </c>
      <c r="G43" s="605">
        <v>32888.892</v>
      </c>
      <c r="H43" s="605">
        <v>362.428</v>
      </c>
      <c r="I43" s="605">
        <v>12582.056</v>
      </c>
      <c r="J43" s="605">
        <v>60783.798999999999</v>
      </c>
      <c r="K43" s="605">
        <v>3146.34</v>
      </c>
      <c r="L43" s="605">
        <v>2338.8629999999998</v>
      </c>
      <c r="M43" s="605">
        <v>11085.117</v>
      </c>
      <c r="N43" s="605">
        <v>14177.669</v>
      </c>
      <c r="O43" s="605">
        <v>47687.898000000001</v>
      </c>
      <c r="P43" s="295">
        <f>2204.188+2661.643+3307.592+5913.513+23093.895+4230.983</f>
        <v>41411.814000000006</v>
      </c>
      <c r="Q43" s="295">
        <f t="shared" si="4"/>
        <v>366819.766</v>
      </c>
      <c r="R43" s="1614" t="s">
        <v>563</v>
      </c>
    </row>
    <row r="44" spans="1:18" s="162" customFormat="1" ht="11.25" customHeight="1">
      <c r="A44" s="570" t="s">
        <v>2681</v>
      </c>
      <c r="B44" s="606"/>
      <c r="C44" s="606"/>
      <c r="D44" s="606"/>
      <c r="E44" s="606"/>
      <c r="F44" s="606"/>
      <c r="G44" s="606"/>
      <c r="H44" s="606"/>
      <c r="I44" s="606"/>
      <c r="J44" s="606"/>
      <c r="K44" s="606"/>
      <c r="L44" s="606"/>
      <c r="M44" s="606"/>
      <c r="N44" s="606"/>
      <c r="O44" s="606"/>
      <c r="P44" s="256"/>
      <c r="Q44" s="256"/>
      <c r="R44" s="571" t="s">
        <v>2681</v>
      </c>
    </row>
    <row r="45" spans="1:18" s="162" customFormat="1" ht="11.25" customHeight="1">
      <c r="A45" s="585" t="s">
        <v>565</v>
      </c>
      <c r="B45" s="605">
        <v>64135.667999999998</v>
      </c>
      <c r="C45" s="605">
        <v>10559.447</v>
      </c>
      <c r="D45" s="605">
        <v>2951.9490000000001</v>
      </c>
      <c r="E45" s="605">
        <v>33818.101999999999</v>
      </c>
      <c r="F45" s="605">
        <v>29224.21</v>
      </c>
      <c r="G45" s="605">
        <v>31235.287</v>
      </c>
      <c r="H45" s="605">
        <v>377.96199999999999</v>
      </c>
      <c r="I45" s="605">
        <v>12121.950999999999</v>
      </c>
      <c r="J45" s="605">
        <v>60123.77</v>
      </c>
      <c r="K45" s="605">
        <v>2920.0059999999999</v>
      </c>
      <c r="L45" s="605">
        <v>2155.3110000000001</v>
      </c>
      <c r="M45" s="605">
        <v>10557.96</v>
      </c>
      <c r="N45" s="605">
        <v>13810.766</v>
      </c>
      <c r="O45" s="605">
        <v>48404.218999999997</v>
      </c>
      <c r="P45" s="295">
        <f>2089.01+2558.936+3259.767+5334.087+23007.252+4144.825</f>
        <v>40393.876999999993</v>
      </c>
      <c r="Q45" s="295">
        <f t="shared" si="4"/>
        <v>362790.48499999993</v>
      </c>
      <c r="R45" s="1614" t="s">
        <v>565</v>
      </c>
    </row>
    <row r="46" spans="1:18" s="162" customFormat="1" ht="11.25" customHeight="1">
      <c r="A46" s="544" t="s">
        <v>566</v>
      </c>
      <c r="B46" s="606">
        <v>75073.558000000005</v>
      </c>
      <c r="C46" s="606">
        <v>13598.210999999999</v>
      </c>
      <c r="D46" s="606">
        <v>3306.5329999999999</v>
      </c>
      <c r="E46" s="606">
        <v>38306.201000000001</v>
      </c>
      <c r="F46" s="606">
        <v>36200.235000000001</v>
      </c>
      <c r="G46" s="606">
        <v>34767.072999999997</v>
      </c>
      <c r="H46" s="606">
        <v>357.35500000000002</v>
      </c>
      <c r="I46" s="606">
        <v>13703.477000000001</v>
      </c>
      <c r="J46" s="606">
        <v>60795.749000000003</v>
      </c>
      <c r="K46" s="606">
        <v>2526.6669999999999</v>
      </c>
      <c r="L46" s="606">
        <v>2185.2629999999999</v>
      </c>
      <c r="M46" s="606">
        <v>12158.49</v>
      </c>
      <c r="N46" s="606">
        <v>15263.13</v>
      </c>
      <c r="O46" s="606">
        <v>64845.267</v>
      </c>
      <c r="P46" s="256">
        <f>2202.77+2560.252+3368.986+5257.213+22746.555+3492.612</f>
        <v>39628.387999999999</v>
      </c>
      <c r="Q46" s="256">
        <f t="shared" si="4"/>
        <v>412715.59700000001</v>
      </c>
      <c r="R46" s="1649" t="s">
        <v>566</v>
      </c>
    </row>
    <row r="47" spans="1:18" s="162" customFormat="1" ht="11.25" customHeight="1">
      <c r="A47" s="585" t="s">
        <v>560</v>
      </c>
      <c r="B47" s="605">
        <v>75819.95</v>
      </c>
      <c r="C47" s="605">
        <v>11915.909</v>
      </c>
      <c r="D47" s="605">
        <v>2826.77</v>
      </c>
      <c r="E47" s="605">
        <v>32561.758999999998</v>
      </c>
      <c r="F47" s="605">
        <v>33891.19</v>
      </c>
      <c r="G47" s="605">
        <v>31394.887999999999</v>
      </c>
      <c r="H47" s="605">
        <v>414.84100000000001</v>
      </c>
      <c r="I47" s="605">
        <v>12021.911</v>
      </c>
      <c r="J47" s="605">
        <v>58318.669000000002</v>
      </c>
      <c r="K47" s="605">
        <v>2283.913</v>
      </c>
      <c r="L47" s="605">
        <v>1863.3340000000001</v>
      </c>
      <c r="M47" s="605">
        <v>11090.01</v>
      </c>
      <c r="N47" s="605">
        <v>13753.93</v>
      </c>
      <c r="O47" s="605">
        <v>64416.987000000001</v>
      </c>
      <c r="P47" s="295">
        <f>1761.706+2343.288+3038.138+4651.553+22918.89+3586.601</f>
        <v>38300.175999999999</v>
      </c>
      <c r="Q47" s="295">
        <f t="shared" si="4"/>
        <v>390874.23699999996</v>
      </c>
      <c r="R47" s="1614" t="s">
        <v>560</v>
      </c>
    </row>
    <row r="48" spans="1:18" s="162" customFormat="1" ht="11.25" customHeight="1">
      <c r="A48" s="544" t="s">
        <v>567</v>
      </c>
      <c r="B48" s="606">
        <v>69916.97</v>
      </c>
      <c r="C48" s="606">
        <v>12089.174000000001</v>
      </c>
      <c r="D48" s="606">
        <v>2878.3609999999999</v>
      </c>
      <c r="E48" s="606">
        <v>28873.510999999999</v>
      </c>
      <c r="F48" s="606">
        <v>31772.047999999999</v>
      </c>
      <c r="G48" s="606">
        <v>29152.66</v>
      </c>
      <c r="H48" s="606">
        <v>390.10399999999998</v>
      </c>
      <c r="I48" s="606">
        <v>11074.632</v>
      </c>
      <c r="J48" s="606">
        <v>55414.209000000003</v>
      </c>
      <c r="K48" s="606">
        <v>1834.7739999999999</v>
      </c>
      <c r="L48" s="606">
        <v>1640.9839999999999</v>
      </c>
      <c r="M48" s="606">
        <v>9837.4940000000006</v>
      </c>
      <c r="N48" s="606">
        <v>12452.406999999999</v>
      </c>
      <c r="O48" s="606">
        <v>59258.523000000001</v>
      </c>
      <c r="P48" s="256">
        <f>1576.202+2181.041+2774.039+4246.704+22613.722+3481.042</f>
        <v>36872.75</v>
      </c>
      <c r="Q48" s="256">
        <f t="shared" si="4"/>
        <v>363458.60100000002</v>
      </c>
      <c r="R48" s="1649" t="s">
        <v>567</v>
      </c>
    </row>
    <row r="49" spans="1:18" s="162" customFormat="1" ht="11.25" customHeight="1">
      <c r="A49" s="585" t="s">
        <v>568</v>
      </c>
      <c r="B49" s="605">
        <v>68672.650999999998</v>
      </c>
      <c r="C49" s="605">
        <v>12405.322</v>
      </c>
      <c r="D49" s="605">
        <v>2789.2910000000002</v>
      </c>
      <c r="E49" s="605">
        <v>28400.405999999999</v>
      </c>
      <c r="F49" s="605">
        <v>30829.15</v>
      </c>
      <c r="G49" s="605">
        <v>30550.804</v>
      </c>
      <c r="H49" s="605">
        <v>343.04</v>
      </c>
      <c r="I49" s="605">
        <v>11245.513000000001</v>
      </c>
      <c r="J49" s="605">
        <v>55351.864999999998</v>
      </c>
      <c r="K49" s="605">
        <v>1865.1420000000001</v>
      </c>
      <c r="L49" s="605">
        <v>1766.1790000000001</v>
      </c>
      <c r="M49" s="605">
        <v>9513.3919999999998</v>
      </c>
      <c r="N49" s="605">
        <v>13284.472</v>
      </c>
      <c r="O49" s="605">
        <v>59084.563000000002</v>
      </c>
      <c r="P49" s="295">
        <f>1634.529+2195.86+2741.339+4085.721+22793.37+3430.119</f>
        <v>36880.938000000002</v>
      </c>
      <c r="Q49" s="295">
        <f t="shared" si="4"/>
        <v>362982.72800000006</v>
      </c>
      <c r="R49" s="1614" t="s">
        <v>568</v>
      </c>
    </row>
    <row r="50" spans="1:18" s="162" customFormat="1" ht="11.25" customHeight="1">
      <c r="A50" s="544" t="s">
        <v>561</v>
      </c>
      <c r="B50" s="606">
        <v>67644.684999999998</v>
      </c>
      <c r="C50" s="606">
        <v>11322.665999999999</v>
      </c>
      <c r="D50" s="606">
        <v>2772.8560000000002</v>
      </c>
      <c r="E50" s="606">
        <v>28171.013999999999</v>
      </c>
      <c r="F50" s="606">
        <v>31430.341</v>
      </c>
      <c r="G50" s="606">
        <v>29367.057000000001</v>
      </c>
      <c r="H50" s="606">
        <v>318.202</v>
      </c>
      <c r="I50" s="606">
        <v>11386.762000000001</v>
      </c>
      <c r="J50" s="606">
        <v>56031.021000000001</v>
      </c>
      <c r="K50" s="606">
        <v>1806.32</v>
      </c>
      <c r="L50" s="606">
        <v>1747.6869999999999</v>
      </c>
      <c r="M50" s="606">
        <v>9327.5069999999996</v>
      </c>
      <c r="N50" s="606">
        <v>12775.6</v>
      </c>
      <c r="O50" s="606">
        <v>60810.103999999999</v>
      </c>
      <c r="P50" s="256">
        <f>1611.112+2250.94+2631.254+3827.06+23093.552+3406.46</f>
        <v>36820.377999999997</v>
      </c>
      <c r="Q50" s="256">
        <f t="shared" si="4"/>
        <v>361732.19999999995</v>
      </c>
      <c r="R50" s="1649" t="s">
        <v>561</v>
      </c>
    </row>
    <row r="51" spans="1:18" s="162" customFormat="1" ht="11.25" customHeight="1">
      <c r="A51" s="585" t="s">
        <v>569</v>
      </c>
      <c r="B51" s="605">
        <v>67007.115000000005</v>
      </c>
      <c r="C51" s="605">
        <v>10094.859</v>
      </c>
      <c r="D51" s="605">
        <v>2572.107</v>
      </c>
      <c r="E51" s="605">
        <v>27920.936000000002</v>
      </c>
      <c r="F51" s="605">
        <v>30389.521000000001</v>
      </c>
      <c r="G51" s="605">
        <v>28398.546999999999</v>
      </c>
      <c r="H51" s="605">
        <v>276.142</v>
      </c>
      <c r="I51" s="605">
        <v>11618.625</v>
      </c>
      <c r="J51" s="605">
        <v>53479.502999999997</v>
      </c>
      <c r="K51" s="605">
        <v>1824.6120000000001</v>
      </c>
      <c r="L51" s="605">
        <v>1742.6569999999999</v>
      </c>
      <c r="M51" s="605">
        <v>8642.7620000000006</v>
      </c>
      <c r="N51" s="605">
        <v>12081.218000000001</v>
      </c>
      <c r="O51" s="605">
        <v>62472.851000000002</v>
      </c>
      <c r="P51" s="295">
        <f>1630.134+2189.528+2608.119+3714.914+23314.66+3376.033</f>
        <v>36833.387999999999</v>
      </c>
      <c r="Q51" s="295">
        <f t="shared" si="4"/>
        <v>355354.84299999994</v>
      </c>
      <c r="R51" s="1614" t="s">
        <v>569</v>
      </c>
    </row>
    <row r="52" spans="1:18" s="1778" customFormat="1" ht="11.25" customHeight="1" thickBot="1">
      <c r="A52" s="1773" t="s">
        <v>570</v>
      </c>
      <c r="B52" s="1846">
        <v>68714.92</v>
      </c>
      <c r="C52" s="1846">
        <v>10585.65</v>
      </c>
      <c r="D52" s="1846">
        <v>2689.07</v>
      </c>
      <c r="E52" s="1846">
        <v>28330.74</v>
      </c>
      <c r="F52" s="1846">
        <v>29388.97</v>
      </c>
      <c r="G52" s="1846">
        <v>29286.46</v>
      </c>
      <c r="H52" s="1846">
        <v>281.44</v>
      </c>
      <c r="I52" s="1846">
        <v>12438.77</v>
      </c>
      <c r="J52" s="1846">
        <v>54384.47</v>
      </c>
      <c r="K52" s="1846">
        <v>2197.7199999999998</v>
      </c>
      <c r="L52" s="1846">
        <v>1809.31</v>
      </c>
      <c r="M52" s="1846">
        <v>8843.49</v>
      </c>
      <c r="N52" s="1846">
        <v>12151.17</v>
      </c>
      <c r="O52" s="1846">
        <v>61663.37</v>
      </c>
      <c r="P52" s="719">
        <f>1819.19+2201.11+2760.07+3908.74+23194.48+3288.08</f>
        <v>37171.67</v>
      </c>
      <c r="Q52" s="719">
        <f t="shared" si="4"/>
        <v>359937.22</v>
      </c>
      <c r="R52" s="1847" t="s">
        <v>570</v>
      </c>
    </row>
    <row r="53" spans="1:18" s="164" customFormat="1" ht="11.25" customHeight="1">
      <c r="A53" s="52" t="s">
        <v>1387</v>
      </c>
      <c r="B53" s="657" t="s">
        <v>1347</v>
      </c>
      <c r="C53" s="656"/>
      <c r="D53" s="656"/>
      <c r="E53" s="656"/>
      <c r="F53" s="656"/>
      <c r="G53" s="656"/>
      <c r="H53" s="97"/>
      <c r="I53" s="63"/>
      <c r="J53" s="2353" t="s">
        <v>2329</v>
      </c>
      <c r="K53" s="2353"/>
      <c r="L53" s="2353"/>
      <c r="M53" s="2353"/>
      <c r="N53" s="2353"/>
      <c r="O53" s="2353"/>
      <c r="P53" s="2353"/>
      <c r="Q53" s="2353"/>
      <c r="R53" s="2353"/>
    </row>
    <row r="54" spans="1:18" s="164" customFormat="1" ht="11.25" customHeight="1">
      <c r="A54" s="42"/>
      <c r="B54" s="2000"/>
      <c r="C54" s="2000"/>
      <c r="D54" s="176"/>
      <c r="E54" s="176"/>
      <c r="F54" s="176"/>
      <c r="G54" s="176"/>
      <c r="H54" s="16"/>
      <c r="I54" s="16"/>
      <c r="J54" s="2344" t="s">
        <v>2328</v>
      </c>
      <c r="K54" s="2344"/>
      <c r="L54" s="2344"/>
      <c r="M54" s="2344"/>
      <c r="N54" s="8"/>
      <c r="O54" s="16"/>
      <c r="P54" s="16"/>
      <c r="Q54" s="16"/>
      <c r="R54" s="69"/>
    </row>
    <row r="55" spans="1:18" s="164" customFormat="1" ht="11.1" customHeight="1">
      <c r="A55" s="17"/>
      <c r="B55" s="8"/>
      <c r="C55" s="8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17"/>
    </row>
    <row r="56" spans="1:18" s="164" customFormat="1" ht="11.1" customHeight="1">
      <c r="A56" s="564"/>
      <c r="D56" s="490"/>
      <c r="Q56" s="490"/>
      <c r="R56" s="522"/>
    </row>
    <row r="57" spans="1:18" s="164" customFormat="1" ht="11.1" customHeight="1">
      <c r="A57" s="559"/>
      <c r="Q57" s="792"/>
      <c r="R57" s="522"/>
    </row>
    <row r="58" spans="1:18" s="164" customFormat="1" ht="11.1" customHeight="1">
      <c r="A58" s="42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5"/>
      <c r="Q58" s="85"/>
      <c r="R58" s="17"/>
    </row>
    <row r="59" spans="1:18" s="164" customFormat="1" ht="11.1" customHeight="1">
      <c r="A59" s="42"/>
      <c r="B59" s="8"/>
      <c r="C59" s="8"/>
      <c r="D59" s="8"/>
      <c r="E59" s="85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17"/>
    </row>
    <row r="60" spans="1:18" s="164" customFormat="1" ht="11.1" customHeight="1">
      <c r="A60" s="17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17"/>
    </row>
    <row r="61" spans="1:18" s="164" customFormat="1" ht="11.1" customHeight="1">
      <c r="A61" s="1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17"/>
    </row>
    <row r="62" spans="1:18" s="164" customFormat="1" ht="11.1" customHeight="1">
      <c r="A62" s="1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17"/>
    </row>
    <row r="63" spans="1:18" s="164" customFormat="1" ht="11.1" customHeight="1">
      <c r="A63" s="1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17"/>
    </row>
    <row r="64" spans="1:18" s="164" customFormat="1" ht="11.1" customHeight="1">
      <c r="A64" s="1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17"/>
    </row>
    <row r="65" spans="1:18" ht="9.75" customHeight="1">
      <c r="R65" s="17"/>
    </row>
    <row r="66" spans="1:18" ht="9.75" customHeight="1">
      <c r="R66" s="17"/>
    </row>
    <row r="67" spans="1:18">
      <c r="R67" s="17"/>
    </row>
    <row r="68" spans="1:18" s="164" customFormat="1">
      <c r="A68" s="17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17"/>
    </row>
    <row r="69" spans="1:18" s="164" customFormat="1">
      <c r="A69" s="1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</sheetData>
  <customSheetViews>
    <customSheetView guid="{A374FC54-96E3-45F0-9C12-8450400C12DF}" scale="150">
      <pane xSplit="1" ySplit="4" topLeftCell="I37" activePane="bottomRight" state="frozen"/>
      <selection pane="bottomRight" activeCell="Q2" sqref="Q2:R2"/>
      <pageMargins left="0.62992125984252001" right="0.55118110236220497" top="0.511811023622047" bottom="0.31496062992126" header="0.25" footer="0"/>
      <pageSetup paperSize="132" firstPageNumber="54" orientation="portrait" useFirstPageNumber="1" r:id="rId1"/>
      <headerFooter>
        <oddFooter>&amp;C&amp;"Times New Roman,Regular"&amp;8&amp;P</oddFooter>
      </headerFooter>
    </customSheetView>
  </customSheetViews>
  <mergeCells count="10">
    <mergeCell ref="B54:C54"/>
    <mergeCell ref="J54:M54"/>
    <mergeCell ref="J1:P1"/>
    <mergeCell ref="A1:I1"/>
    <mergeCell ref="Q1:R1"/>
    <mergeCell ref="B3:Q3"/>
    <mergeCell ref="Q2:R2"/>
    <mergeCell ref="R3:R4"/>
    <mergeCell ref="A3:A4"/>
    <mergeCell ref="J53:R53"/>
  </mergeCells>
  <phoneticPr fontId="43" type="noConversion"/>
  <pageMargins left="0.62992125984252001" right="0.55118110236220497" top="0.511811023622047" bottom="0.31496062992126" header="0.25" footer="0"/>
  <pageSetup paperSize="448" firstPageNumber="58" orientation="portrait" useFirstPageNumber="1" r:id="rId2"/>
  <headerFooter>
    <oddFooter>&amp;C&amp;"Times New Roman,Regular"&amp;8&amp;P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5"/>
  <dimension ref="A1:BT216"/>
  <sheetViews>
    <sheetView topLeftCell="O25" zoomScale="140" zoomScaleNormal="140" zoomScaleSheetLayoutView="120" workbookViewId="0">
      <selection activeCell="BT54" sqref="BT54"/>
    </sheetView>
  </sheetViews>
  <sheetFormatPr defaultColWidth="9.140625" defaultRowHeight="11.25"/>
  <cols>
    <col min="1" max="1" width="4.140625" style="8" customWidth="1"/>
    <col min="2" max="2" width="14" style="37" customWidth="1"/>
    <col min="3" max="3" width="5.5703125" style="8" customWidth="1"/>
    <col min="4" max="4" width="8.28515625" style="8" customWidth="1"/>
    <col min="5" max="5" width="9" style="8" customWidth="1"/>
    <col min="6" max="6" width="6" style="8" customWidth="1"/>
    <col min="7" max="7" width="8.42578125" style="8" customWidth="1"/>
    <col min="8" max="8" width="7.28515625" style="37" customWidth="1"/>
    <col min="9" max="9" width="14.28515625" style="8" customWidth="1"/>
    <col min="10" max="10" width="4.85546875" style="262" customWidth="1"/>
    <col min="11" max="11" width="13.42578125" style="164" customWidth="1"/>
    <col min="12" max="12" width="5.42578125" style="164" customWidth="1"/>
    <col min="13" max="13" width="9.7109375" style="164" customWidth="1"/>
    <col min="14" max="14" width="10.28515625" style="164" customWidth="1"/>
    <col min="15" max="15" width="6.85546875" style="263" customWidth="1"/>
    <col min="16" max="16" width="9" style="164" customWidth="1"/>
    <col min="17" max="17" width="7.85546875" style="164" customWidth="1"/>
    <col min="18" max="18" width="14.7109375" style="262" customWidth="1"/>
    <col min="19" max="19" width="4.28515625" style="164" customWidth="1"/>
    <col min="20" max="20" width="11.5703125" style="164" customWidth="1"/>
    <col min="21" max="21" width="5.5703125" style="164" customWidth="1"/>
    <col min="22" max="22" width="9.85546875" style="164" customWidth="1"/>
    <col min="23" max="23" width="10.140625" style="263" customWidth="1"/>
    <col min="24" max="24" width="6.85546875" style="164" customWidth="1"/>
    <col min="25" max="25" width="10.7109375" style="164" customWidth="1"/>
    <col min="26" max="26" width="8.42578125" style="264" customWidth="1"/>
    <col min="27" max="27" width="17.7109375" style="164" customWidth="1"/>
    <col min="28" max="28" width="3.85546875" style="164" customWidth="1"/>
    <col min="29" max="29" width="14" style="164" customWidth="1"/>
    <col min="30" max="30" width="4.5703125" style="164" customWidth="1"/>
    <col min="31" max="32" width="9.42578125" style="164" customWidth="1"/>
    <col min="33" max="33" width="6.140625" style="164" customWidth="1"/>
    <col min="34" max="34" width="8.85546875" style="164" customWidth="1"/>
    <col min="35" max="35" width="6" style="164" customWidth="1"/>
    <col min="36" max="36" width="13.7109375" style="164" customWidth="1"/>
    <col min="37" max="37" width="4.28515625" style="264" customWidth="1"/>
    <col min="38" max="38" width="12.7109375" style="164" customWidth="1"/>
    <col min="39" max="39" width="6.140625" style="164" customWidth="1"/>
    <col min="40" max="40" width="9.28515625" style="164" customWidth="1"/>
    <col min="41" max="41" width="10" style="164" customWidth="1"/>
    <col min="42" max="42" width="6.7109375" style="164" customWidth="1"/>
    <col min="43" max="43" width="9.140625" style="164"/>
    <col min="44" max="44" width="5.85546875" style="164" customWidth="1"/>
    <col min="45" max="45" width="15.140625" style="264" customWidth="1"/>
    <col min="46" max="46" width="4.42578125" style="164" customWidth="1"/>
    <col min="47" max="47" width="11.85546875" style="164" customWidth="1"/>
    <col min="48" max="48" width="4.5703125" style="164" customWidth="1"/>
    <col min="49" max="49" width="8.42578125" style="164" customWidth="1"/>
    <col min="50" max="50" width="9.5703125" style="164" customWidth="1"/>
    <col min="51" max="51" width="8.5703125" style="164" customWidth="1"/>
    <col min="52" max="52" width="9.28515625" style="164" customWidth="1"/>
    <col min="53" max="53" width="8.140625" style="164" customWidth="1"/>
    <col min="54" max="54" width="16.140625" style="264" customWidth="1"/>
    <col min="55" max="55" width="4.42578125" style="164" customWidth="1"/>
    <col min="56" max="56" width="14.5703125" style="164" customWidth="1"/>
    <col min="57" max="57" width="4.5703125" style="164" customWidth="1"/>
    <col min="58" max="58" width="8.28515625" style="164" customWidth="1"/>
    <col min="59" max="59" width="9.140625" style="164"/>
    <col min="60" max="60" width="9.7109375" style="164" customWidth="1"/>
    <col min="61" max="61" width="7.5703125" style="164" customWidth="1"/>
    <col min="62" max="62" width="9.85546875" style="164" customWidth="1"/>
    <col min="63" max="63" width="15.28515625" style="264" customWidth="1"/>
    <col min="64" max="64" width="3.140625" style="164" customWidth="1"/>
    <col min="65" max="65" width="16.28515625" style="164" customWidth="1"/>
    <col min="66" max="66" width="6.140625" style="164" customWidth="1"/>
    <col min="67" max="67" width="8.7109375" style="164" customWidth="1"/>
    <col min="68" max="68" width="9.5703125" style="164" customWidth="1"/>
    <col min="69" max="69" width="8.28515625" style="164" customWidth="1"/>
    <col min="70" max="70" width="7" style="8" customWidth="1"/>
    <col min="71" max="71" width="8.85546875" style="8" customWidth="1"/>
    <col min="72" max="72" width="12" style="8" customWidth="1"/>
    <col min="73" max="16384" width="9.140625" style="8"/>
  </cols>
  <sheetData>
    <row r="1" spans="1:72" s="105" customFormat="1" ht="21" customHeight="1">
      <c r="A1" s="2367" t="s">
        <v>906</v>
      </c>
      <c r="B1" s="2367"/>
      <c r="C1" s="2367"/>
      <c r="D1" s="2367"/>
      <c r="E1" s="2367"/>
      <c r="F1" s="2367"/>
      <c r="G1" s="2367"/>
      <c r="H1" s="2367"/>
      <c r="I1" s="2367"/>
      <c r="J1" s="2364" t="s">
        <v>908</v>
      </c>
      <c r="K1" s="2364"/>
      <c r="L1" s="2364"/>
      <c r="M1" s="2364"/>
      <c r="N1" s="2364"/>
      <c r="O1" s="913"/>
      <c r="P1" s="2366" t="s">
        <v>1617</v>
      </c>
      <c r="Q1" s="2366"/>
      <c r="R1" s="2366"/>
      <c r="X1" s="913"/>
      <c r="Y1" s="2363" t="s">
        <v>907</v>
      </c>
      <c r="Z1" s="2363"/>
      <c r="AA1" s="2363"/>
      <c r="AB1" s="2364" t="s">
        <v>908</v>
      </c>
      <c r="AC1" s="2364"/>
      <c r="AD1" s="2364"/>
      <c r="AE1" s="2364"/>
      <c r="AF1" s="2364"/>
      <c r="AG1" s="913"/>
      <c r="AH1" s="913"/>
      <c r="AI1" s="2366" t="s">
        <v>1618</v>
      </c>
      <c r="AJ1" s="2366"/>
      <c r="AK1" s="248"/>
      <c r="AL1" s="913"/>
      <c r="AM1" s="913"/>
      <c r="AN1" s="913"/>
      <c r="AO1" s="913"/>
      <c r="AP1" s="2363" t="s">
        <v>907</v>
      </c>
      <c r="AQ1" s="2363"/>
      <c r="AR1" s="2363"/>
      <c r="AS1" s="2363"/>
      <c r="AT1" s="2364" t="s">
        <v>908</v>
      </c>
      <c r="AU1" s="2364"/>
      <c r="AV1" s="2364"/>
      <c r="AW1" s="2364"/>
      <c r="AX1" s="2364"/>
      <c r="AY1" s="913"/>
      <c r="AZ1" s="913"/>
      <c r="BA1" s="2363" t="s">
        <v>1618</v>
      </c>
      <c r="BB1" s="2365"/>
      <c r="BC1" s="913"/>
      <c r="BD1" s="913"/>
      <c r="BE1" s="913"/>
      <c r="BF1" s="913"/>
      <c r="BG1" s="913"/>
      <c r="BH1" s="2363" t="s">
        <v>907</v>
      </c>
      <c r="BI1" s="2363"/>
      <c r="BJ1" s="2363"/>
      <c r="BK1" s="2363"/>
      <c r="BL1" s="2364" t="s">
        <v>908</v>
      </c>
      <c r="BM1" s="2364"/>
      <c r="BN1" s="2364"/>
      <c r="BO1" s="2364"/>
      <c r="BP1" s="2364"/>
      <c r="BQ1" s="913"/>
      <c r="BR1" s="2363" t="s">
        <v>1107</v>
      </c>
      <c r="BS1" s="2363"/>
      <c r="BT1" s="2363"/>
    </row>
    <row r="2" spans="1:72" s="105" customFormat="1" ht="12.75" customHeight="1">
      <c r="A2" s="1016"/>
      <c r="B2" s="1314"/>
      <c r="C2" s="1016"/>
      <c r="D2" s="1016"/>
      <c r="E2" s="1016"/>
      <c r="F2" s="1016"/>
      <c r="G2" s="1016"/>
      <c r="H2" s="1016"/>
      <c r="I2" s="1016"/>
      <c r="J2" s="1017"/>
      <c r="K2" s="1017"/>
      <c r="L2" s="1017"/>
      <c r="M2" s="1017"/>
      <c r="N2" s="1017"/>
      <c r="O2" s="1018"/>
      <c r="P2" s="1019"/>
      <c r="Q2" s="1019"/>
      <c r="R2" s="1020" t="s">
        <v>1619</v>
      </c>
      <c r="S2" s="1021"/>
      <c r="T2" s="1021"/>
      <c r="U2" s="1021"/>
      <c r="V2" s="1021"/>
      <c r="W2" s="1021"/>
      <c r="X2" s="1018"/>
      <c r="Y2" s="1022"/>
      <c r="Z2" s="1022"/>
      <c r="AA2" s="1022"/>
      <c r="AB2" s="1017"/>
      <c r="AC2" s="1017"/>
      <c r="AD2" s="1017"/>
      <c r="AE2" s="1017"/>
      <c r="AF2" s="1017"/>
      <c r="AG2" s="1018"/>
      <c r="AH2" s="1018"/>
      <c r="AI2" s="1019"/>
      <c r="AJ2" s="1020" t="s">
        <v>1620</v>
      </c>
      <c r="AK2" s="1023"/>
      <c r="AL2" s="1018"/>
      <c r="AM2" s="1018"/>
      <c r="AN2" s="1018"/>
      <c r="AO2" s="1018"/>
      <c r="AP2" s="1022"/>
      <c r="AQ2" s="1022"/>
      <c r="AR2" s="1022"/>
      <c r="AS2" s="1022"/>
      <c r="AT2" s="1017"/>
      <c r="AU2" s="1017"/>
      <c r="AV2" s="1017"/>
      <c r="AW2" s="1017"/>
      <c r="AX2" s="1017"/>
      <c r="AY2" s="1018"/>
      <c r="AZ2" s="1018"/>
      <c r="BA2" s="1022"/>
      <c r="BB2" s="1024" t="s">
        <v>24</v>
      </c>
      <c r="BC2" s="1018"/>
      <c r="BD2" s="1018"/>
      <c r="BE2" s="1018"/>
      <c r="BF2" s="1018"/>
      <c r="BG2" s="1018"/>
      <c r="BH2" s="1022"/>
      <c r="BI2" s="1022"/>
      <c r="BJ2" s="1022"/>
      <c r="BK2" s="1022"/>
      <c r="BL2" s="1017"/>
      <c r="BM2" s="1017"/>
      <c r="BN2" s="1017"/>
      <c r="BO2" s="1017"/>
      <c r="BP2" s="1017"/>
      <c r="BQ2" s="1018"/>
      <c r="BR2" s="1022"/>
      <c r="BS2" s="1022"/>
      <c r="BT2" s="1024" t="s">
        <v>24</v>
      </c>
    </row>
    <row r="3" spans="1:72" s="217" customFormat="1" ht="17.25" customHeight="1">
      <c r="A3" s="2356" t="s">
        <v>1621</v>
      </c>
      <c r="B3" s="2356" t="s">
        <v>1622</v>
      </c>
      <c r="C3" s="2356" t="s">
        <v>1623</v>
      </c>
      <c r="D3" s="2354" t="s">
        <v>1624</v>
      </c>
      <c r="E3" s="2354" t="s">
        <v>1625</v>
      </c>
      <c r="F3" s="2354" t="s">
        <v>1903</v>
      </c>
      <c r="G3" s="2354" t="s">
        <v>1626</v>
      </c>
      <c r="H3" s="2354" t="s">
        <v>1869</v>
      </c>
      <c r="I3" s="2354" t="s">
        <v>1627</v>
      </c>
      <c r="J3" s="2356" t="s">
        <v>1621</v>
      </c>
      <c r="K3" s="2356" t="s">
        <v>1622</v>
      </c>
      <c r="L3" s="2356" t="s">
        <v>1623</v>
      </c>
      <c r="M3" s="2354" t="s">
        <v>1624</v>
      </c>
      <c r="N3" s="2354" t="s">
        <v>1625</v>
      </c>
      <c r="O3" s="2354" t="s">
        <v>1903</v>
      </c>
      <c r="P3" s="2354" t="s">
        <v>1628</v>
      </c>
      <c r="Q3" s="2354" t="s">
        <v>1869</v>
      </c>
      <c r="R3" s="2354" t="s">
        <v>1627</v>
      </c>
      <c r="S3" s="2356" t="s">
        <v>1621</v>
      </c>
      <c r="T3" s="2356" t="s">
        <v>1622</v>
      </c>
      <c r="U3" s="2356" t="s">
        <v>1623</v>
      </c>
      <c r="V3" s="2354" t="s">
        <v>1624</v>
      </c>
      <c r="W3" s="2354" t="s">
        <v>1625</v>
      </c>
      <c r="X3" s="2354" t="s">
        <v>2014</v>
      </c>
      <c r="Y3" s="2354" t="s">
        <v>1626</v>
      </c>
      <c r="Z3" s="2354" t="s">
        <v>1869</v>
      </c>
      <c r="AA3" s="2354" t="s">
        <v>1627</v>
      </c>
      <c r="AB3" s="2356" t="s">
        <v>1621</v>
      </c>
      <c r="AC3" s="2356" t="s">
        <v>1622</v>
      </c>
      <c r="AD3" s="2356" t="s">
        <v>1623</v>
      </c>
      <c r="AE3" s="2354" t="s">
        <v>1624</v>
      </c>
      <c r="AF3" s="2354" t="s">
        <v>1625</v>
      </c>
      <c r="AG3" s="2354" t="s">
        <v>1903</v>
      </c>
      <c r="AH3" s="2354" t="s">
        <v>1626</v>
      </c>
      <c r="AI3" s="2354" t="s">
        <v>1869</v>
      </c>
      <c r="AJ3" s="2354" t="s">
        <v>1627</v>
      </c>
      <c r="AK3" s="2356" t="s">
        <v>1621</v>
      </c>
      <c r="AL3" s="2356" t="s">
        <v>1622</v>
      </c>
      <c r="AM3" s="2356" t="s">
        <v>1623</v>
      </c>
      <c r="AN3" s="2354" t="s">
        <v>1624</v>
      </c>
      <c r="AO3" s="2354" t="s">
        <v>1625</v>
      </c>
      <c r="AP3" s="2354" t="s">
        <v>1903</v>
      </c>
      <c r="AQ3" s="2354" t="s">
        <v>1626</v>
      </c>
      <c r="AR3" s="2354" t="s">
        <v>2015</v>
      </c>
      <c r="AS3" s="2354" t="s">
        <v>1627</v>
      </c>
      <c r="AT3" s="2356" t="s">
        <v>1621</v>
      </c>
      <c r="AU3" s="2356" t="s">
        <v>1622</v>
      </c>
      <c r="AV3" s="2356" t="s">
        <v>1623</v>
      </c>
      <c r="AW3" s="2354" t="s">
        <v>1624</v>
      </c>
      <c r="AX3" s="2354" t="s">
        <v>1625</v>
      </c>
      <c r="AY3" s="2354" t="s">
        <v>2014</v>
      </c>
      <c r="AZ3" s="2354" t="s">
        <v>1626</v>
      </c>
      <c r="BA3" s="2354" t="s">
        <v>2015</v>
      </c>
      <c r="BB3" s="2354" t="s">
        <v>1627</v>
      </c>
      <c r="BC3" s="2356" t="s">
        <v>1621</v>
      </c>
      <c r="BD3" s="2356" t="s">
        <v>2535</v>
      </c>
      <c r="BE3" s="2356" t="s">
        <v>1623</v>
      </c>
      <c r="BF3" s="2354" t="s">
        <v>1624</v>
      </c>
      <c r="BG3" s="2354" t="s">
        <v>1625</v>
      </c>
      <c r="BH3" s="2358" t="s">
        <v>2016</v>
      </c>
      <c r="BI3" s="2354" t="s">
        <v>1626</v>
      </c>
      <c r="BJ3" s="2354" t="s">
        <v>2017</v>
      </c>
      <c r="BK3" s="2354" t="s">
        <v>1627</v>
      </c>
      <c r="BL3" s="2361" t="s">
        <v>1621</v>
      </c>
      <c r="BM3" s="2361" t="s">
        <v>1870</v>
      </c>
      <c r="BN3" s="2356" t="s">
        <v>1623</v>
      </c>
      <c r="BO3" s="2354" t="s">
        <v>1624</v>
      </c>
      <c r="BP3" s="2354" t="s">
        <v>1625</v>
      </c>
      <c r="BQ3" s="2354" t="s">
        <v>1903</v>
      </c>
      <c r="BR3" s="2354" t="s">
        <v>1626</v>
      </c>
      <c r="BS3" s="2354" t="s">
        <v>1869</v>
      </c>
      <c r="BT3" s="2354" t="s">
        <v>1627</v>
      </c>
    </row>
    <row r="4" spans="1:72" s="65" customFormat="1" ht="27.75" customHeight="1">
      <c r="A4" s="2357"/>
      <c r="B4" s="2357"/>
      <c r="C4" s="2357"/>
      <c r="D4" s="2358"/>
      <c r="E4" s="2358"/>
      <c r="F4" s="2358"/>
      <c r="G4" s="2355"/>
      <c r="H4" s="2355"/>
      <c r="I4" s="2355"/>
      <c r="J4" s="2357"/>
      <c r="K4" s="2357"/>
      <c r="L4" s="2357"/>
      <c r="M4" s="2358"/>
      <c r="N4" s="2358"/>
      <c r="O4" s="2358"/>
      <c r="P4" s="2355"/>
      <c r="Q4" s="2355"/>
      <c r="R4" s="2355"/>
      <c r="S4" s="2357"/>
      <c r="T4" s="2357"/>
      <c r="U4" s="2357"/>
      <c r="V4" s="2358"/>
      <c r="W4" s="2358"/>
      <c r="X4" s="2358"/>
      <c r="Y4" s="2355"/>
      <c r="Z4" s="2355"/>
      <c r="AA4" s="2355"/>
      <c r="AB4" s="2357"/>
      <c r="AC4" s="2357"/>
      <c r="AD4" s="2357"/>
      <c r="AE4" s="2358"/>
      <c r="AF4" s="2358"/>
      <c r="AG4" s="2358"/>
      <c r="AH4" s="2355"/>
      <c r="AI4" s="2355"/>
      <c r="AJ4" s="2355"/>
      <c r="AK4" s="2357"/>
      <c r="AL4" s="2357"/>
      <c r="AM4" s="2357"/>
      <c r="AN4" s="2358"/>
      <c r="AO4" s="2358"/>
      <c r="AP4" s="2358"/>
      <c r="AQ4" s="2355"/>
      <c r="AR4" s="2355"/>
      <c r="AS4" s="2355"/>
      <c r="AT4" s="2357"/>
      <c r="AU4" s="2357"/>
      <c r="AV4" s="2357"/>
      <c r="AW4" s="2358"/>
      <c r="AX4" s="2358"/>
      <c r="AY4" s="2358"/>
      <c r="AZ4" s="2355"/>
      <c r="BA4" s="2355"/>
      <c r="BB4" s="2355"/>
      <c r="BC4" s="2357"/>
      <c r="BD4" s="2357"/>
      <c r="BE4" s="2357"/>
      <c r="BF4" s="2358"/>
      <c r="BG4" s="2358"/>
      <c r="BH4" s="2358"/>
      <c r="BI4" s="2355"/>
      <c r="BJ4" s="2355"/>
      <c r="BK4" s="2355"/>
      <c r="BL4" s="2362"/>
      <c r="BM4" s="2362"/>
      <c r="BN4" s="2357"/>
      <c r="BO4" s="2358"/>
      <c r="BP4" s="2358"/>
      <c r="BQ4" s="2358"/>
      <c r="BR4" s="2355"/>
      <c r="BS4" s="2355"/>
      <c r="BT4" s="2355"/>
    </row>
    <row r="5" spans="1:72" s="253" customFormat="1" ht="12.6" customHeight="1">
      <c r="A5" s="2359" t="s">
        <v>1629</v>
      </c>
      <c r="B5" s="2360"/>
      <c r="C5" s="2360"/>
      <c r="D5" s="2360"/>
      <c r="E5" s="2360"/>
      <c r="F5" s="921"/>
      <c r="G5" s="921"/>
      <c r="H5" s="921"/>
      <c r="I5" s="921"/>
      <c r="J5" s="803">
        <v>45</v>
      </c>
      <c r="K5" s="803" t="s">
        <v>1805</v>
      </c>
      <c r="L5" s="803">
        <v>10</v>
      </c>
      <c r="M5" s="835" t="s">
        <v>1208</v>
      </c>
      <c r="N5" s="835" t="s">
        <v>1209</v>
      </c>
      <c r="O5" s="835">
        <v>7.39</v>
      </c>
      <c r="P5" s="803" t="s">
        <v>961</v>
      </c>
      <c r="Q5" s="835">
        <v>7.29</v>
      </c>
      <c r="R5" s="835">
        <v>2600</v>
      </c>
      <c r="S5" s="821">
        <v>90</v>
      </c>
      <c r="T5" s="821" t="s">
        <v>1698</v>
      </c>
      <c r="U5" s="821">
        <v>15</v>
      </c>
      <c r="V5" s="848" t="s">
        <v>995</v>
      </c>
      <c r="W5" s="821" t="s">
        <v>996</v>
      </c>
      <c r="X5" s="542">
        <v>9.65</v>
      </c>
      <c r="Y5" s="821" t="s">
        <v>295</v>
      </c>
      <c r="Z5" s="542">
        <v>9.65</v>
      </c>
      <c r="AA5" s="542">
        <v>150</v>
      </c>
      <c r="AB5" s="821">
        <v>135</v>
      </c>
      <c r="AC5" s="821" t="s">
        <v>1722</v>
      </c>
      <c r="AD5" s="821">
        <v>15</v>
      </c>
      <c r="AE5" s="848" t="s">
        <v>1600</v>
      </c>
      <c r="AF5" s="821" t="s">
        <v>1601</v>
      </c>
      <c r="AG5" s="542">
        <v>8.6999999999999993</v>
      </c>
      <c r="AH5" s="821" t="s">
        <v>2436</v>
      </c>
      <c r="AI5" s="542">
        <v>12</v>
      </c>
      <c r="AJ5" s="542">
        <v>5316.0899999999992</v>
      </c>
      <c r="AK5" s="821">
        <v>180</v>
      </c>
      <c r="AL5" s="821" t="s">
        <v>1723</v>
      </c>
      <c r="AM5" s="821">
        <v>20</v>
      </c>
      <c r="AN5" s="848" t="s">
        <v>697</v>
      </c>
      <c r="AO5" s="821" t="s">
        <v>698</v>
      </c>
      <c r="AP5" s="542">
        <v>9.6</v>
      </c>
      <c r="AQ5" s="821" t="s">
        <v>295</v>
      </c>
      <c r="AR5" s="542">
        <v>9.6</v>
      </c>
      <c r="AS5" s="542">
        <v>150</v>
      </c>
      <c r="AT5" s="821">
        <v>225</v>
      </c>
      <c r="AU5" s="821" t="s">
        <v>1744</v>
      </c>
      <c r="AV5" s="821">
        <v>20</v>
      </c>
      <c r="AW5" s="848" t="s">
        <v>1089</v>
      </c>
      <c r="AX5" s="821" t="s">
        <v>1091</v>
      </c>
      <c r="AY5" s="542">
        <v>11.98</v>
      </c>
      <c r="AZ5" s="821" t="s">
        <v>1687</v>
      </c>
      <c r="BA5" s="542">
        <v>11.97</v>
      </c>
      <c r="BB5" s="542">
        <v>680</v>
      </c>
      <c r="BC5" s="821">
        <v>26</v>
      </c>
      <c r="BD5" s="1707" t="s">
        <v>2515</v>
      </c>
      <c r="BE5" s="821">
        <v>8</v>
      </c>
      <c r="BF5" s="848" t="s">
        <v>2490</v>
      </c>
      <c r="BG5" s="821" t="s">
        <v>2514</v>
      </c>
      <c r="BH5" s="542" t="s">
        <v>2480</v>
      </c>
      <c r="BI5" s="821" t="s">
        <v>295</v>
      </c>
      <c r="BJ5" s="542" t="s">
        <v>2480</v>
      </c>
      <c r="BK5" s="542">
        <v>623.30999999999995</v>
      </c>
      <c r="BL5" s="803">
        <v>71</v>
      </c>
      <c r="BM5" s="1607" t="s">
        <v>2663</v>
      </c>
      <c r="BN5" s="803">
        <v>10</v>
      </c>
      <c r="BO5" s="803" t="s">
        <v>2660</v>
      </c>
      <c r="BP5" s="803" t="s">
        <v>2661</v>
      </c>
      <c r="BQ5" s="1603" t="s">
        <v>2480</v>
      </c>
      <c r="BR5" s="1605" t="s">
        <v>295</v>
      </c>
      <c r="BS5" s="1603" t="s">
        <v>2480</v>
      </c>
      <c r="BT5" s="835">
        <v>12.002700000000001</v>
      </c>
    </row>
    <row r="6" spans="1:72" s="253" customFormat="1" ht="12.6" customHeight="1">
      <c r="A6" s="767">
        <v>1</v>
      </c>
      <c r="B6" s="851" t="s">
        <v>2277</v>
      </c>
      <c r="C6" s="1779">
        <v>2</v>
      </c>
      <c r="D6" s="1779" t="s">
        <v>2278</v>
      </c>
      <c r="E6" s="1779" t="s">
        <v>2279</v>
      </c>
      <c r="F6" s="649">
        <v>8.0299999999999994</v>
      </c>
      <c r="G6" s="779" t="s">
        <v>2284</v>
      </c>
      <c r="H6" s="649">
        <v>8.0299999999999994</v>
      </c>
      <c r="I6" s="649">
        <v>6000</v>
      </c>
      <c r="J6" s="779">
        <v>46</v>
      </c>
      <c r="K6" s="779" t="s">
        <v>1812</v>
      </c>
      <c r="L6" s="779">
        <v>10</v>
      </c>
      <c r="M6" s="779" t="s">
        <v>1227</v>
      </c>
      <c r="N6" s="779" t="s">
        <v>1228</v>
      </c>
      <c r="O6" s="649">
        <v>7.59</v>
      </c>
      <c r="P6" s="779" t="s">
        <v>1250</v>
      </c>
      <c r="Q6" s="649">
        <v>6.89</v>
      </c>
      <c r="R6" s="649">
        <v>2700</v>
      </c>
      <c r="S6" s="767">
        <v>91</v>
      </c>
      <c r="T6" s="851" t="s">
        <v>1702</v>
      </c>
      <c r="U6" s="834">
        <v>15</v>
      </c>
      <c r="V6" s="834" t="s">
        <v>997</v>
      </c>
      <c r="W6" s="770" t="s">
        <v>998</v>
      </c>
      <c r="X6" s="770">
        <v>10.3</v>
      </c>
      <c r="Y6" s="834" t="s">
        <v>295</v>
      </c>
      <c r="Z6" s="770">
        <v>10.3</v>
      </c>
      <c r="AA6" s="770">
        <v>150</v>
      </c>
      <c r="AB6" s="255">
        <v>136</v>
      </c>
      <c r="AC6" s="851" t="s">
        <v>1930</v>
      </c>
      <c r="AD6" s="834">
        <v>15</v>
      </c>
      <c r="AE6" s="834" t="s">
        <v>1931</v>
      </c>
      <c r="AF6" s="770" t="s">
        <v>1932</v>
      </c>
      <c r="AG6" s="770">
        <v>5.65</v>
      </c>
      <c r="AH6" s="834" t="s">
        <v>295</v>
      </c>
      <c r="AI6" s="770">
        <v>5.65</v>
      </c>
      <c r="AJ6" s="770">
        <v>4500</v>
      </c>
      <c r="AK6" s="767">
        <v>181</v>
      </c>
      <c r="AL6" s="851" t="s">
        <v>1729</v>
      </c>
      <c r="AM6" s="834">
        <v>20</v>
      </c>
      <c r="AN6" s="834" t="s">
        <v>699</v>
      </c>
      <c r="AO6" s="770" t="s">
        <v>700</v>
      </c>
      <c r="AP6" s="770">
        <v>9.6300000000000008</v>
      </c>
      <c r="AQ6" s="834" t="s">
        <v>295</v>
      </c>
      <c r="AR6" s="770">
        <v>9.6300000000000008</v>
      </c>
      <c r="AS6" s="770">
        <v>160</v>
      </c>
      <c r="AT6" s="767">
        <v>226</v>
      </c>
      <c r="AU6" s="851" t="s">
        <v>1748</v>
      </c>
      <c r="AV6" s="834">
        <v>20</v>
      </c>
      <c r="AW6" s="834" t="s">
        <v>1195</v>
      </c>
      <c r="AX6" s="770" t="s">
        <v>1196</v>
      </c>
      <c r="AY6" s="770">
        <v>10.36</v>
      </c>
      <c r="AZ6" s="834" t="s">
        <v>1467</v>
      </c>
      <c r="BA6" s="770">
        <v>8.09</v>
      </c>
      <c r="BB6" s="770">
        <v>2600</v>
      </c>
      <c r="BC6" s="767">
        <v>27</v>
      </c>
      <c r="BD6" s="1708" t="s">
        <v>2516</v>
      </c>
      <c r="BE6" s="834">
        <v>8</v>
      </c>
      <c r="BF6" s="834" t="s">
        <v>2490</v>
      </c>
      <c r="BG6" s="770" t="s">
        <v>2514</v>
      </c>
      <c r="BH6" s="770" t="s">
        <v>2480</v>
      </c>
      <c r="BI6" s="834" t="s">
        <v>295</v>
      </c>
      <c r="BJ6" s="770" t="s">
        <v>2480</v>
      </c>
      <c r="BK6" s="770">
        <v>172.17</v>
      </c>
      <c r="BL6" s="779">
        <v>72</v>
      </c>
      <c r="BM6" s="1608" t="s">
        <v>2664</v>
      </c>
      <c r="BN6" s="914">
        <v>9</v>
      </c>
      <c r="BO6" s="866" t="s">
        <v>2660</v>
      </c>
      <c r="BP6" s="779" t="s">
        <v>2662</v>
      </c>
      <c r="BQ6" s="1604" t="s">
        <v>2480</v>
      </c>
      <c r="BR6" s="1606" t="s">
        <v>295</v>
      </c>
      <c r="BS6" s="1604" t="s">
        <v>2480</v>
      </c>
      <c r="BT6" s="541">
        <v>72.0214</v>
      </c>
    </row>
    <row r="7" spans="1:72" s="253" customFormat="1" ht="12.6" customHeight="1">
      <c r="A7" s="821">
        <v>2</v>
      </c>
      <c r="B7" s="853" t="s">
        <v>2291</v>
      </c>
      <c r="C7" s="1780">
        <v>2</v>
      </c>
      <c r="D7" s="1780" t="s">
        <v>2292</v>
      </c>
      <c r="E7" s="1780" t="s">
        <v>2293</v>
      </c>
      <c r="F7" s="835">
        <v>8.15</v>
      </c>
      <c r="G7" s="803" t="s">
        <v>2330</v>
      </c>
      <c r="H7" s="835">
        <v>8.16</v>
      </c>
      <c r="I7" s="835">
        <v>6000</v>
      </c>
      <c r="J7" s="803">
        <v>47</v>
      </c>
      <c r="K7" s="803" t="s">
        <v>1818</v>
      </c>
      <c r="L7" s="803">
        <v>10</v>
      </c>
      <c r="M7" s="803" t="s">
        <v>1253</v>
      </c>
      <c r="N7" s="803" t="s">
        <v>1002</v>
      </c>
      <c r="O7" s="835">
        <v>6.77</v>
      </c>
      <c r="P7" s="803" t="s">
        <v>1349</v>
      </c>
      <c r="Q7" s="835">
        <v>6.96</v>
      </c>
      <c r="R7" s="835">
        <v>2600</v>
      </c>
      <c r="S7" s="821">
        <v>92</v>
      </c>
      <c r="T7" s="821" t="s">
        <v>1706</v>
      </c>
      <c r="U7" s="821">
        <v>15</v>
      </c>
      <c r="V7" s="848" t="s">
        <v>1707</v>
      </c>
      <c r="W7" s="821" t="s">
        <v>1708</v>
      </c>
      <c r="X7" s="542">
        <v>10.99</v>
      </c>
      <c r="Y7" s="821" t="s">
        <v>295</v>
      </c>
      <c r="Z7" s="542">
        <v>10.99</v>
      </c>
      <c r="AA7" s="542">
        <v>200</v>
      </c>
      <c r="AB7" s="821">
        <v>137</v>
      </c>
      <c r="AC7" s="821" t="s">
        <v>2148</v>
      </c>
      <c r="AD7" s="821">
        <v>15</v>
      </c>
      <c r="AE7" s="848" t="s">
        <v>2149</v>
      </c>
      <c r="AF7" s="821" t="s">
        <v>2150</v>
      </c>
      <c r="AG7" s="542">
        <v>7.98</v>
      </c>
      <c r="AH7" s="821" t="s">
        <v>2945</v>
      </c>
      <c r="AI7" s="542">
        <v>11.36</v>
      </c>
      <c r="AJ7" s="542">
        <f>1500+5266.66</f>
        <v>6766.66</v>
      </c>
      <c r="AK7" s="821">
        <v>182</v>
      </c>
      <c r="AL7" s="821" t="s">
        <v>1735</v>
      </c>
      <c r="AM7" s="821">
        <v>20</v>
      </c>
      <c r="AN7" s="848" t="s">
        <v>703</v>
      </c>
      <c r="AO7" s="821" t="s">
        <v>704</v>
      </c>
      <c r="AP7" s="542">
        <v>9.65</v>
      </c>
      <c r="AQ7" s="821" t="s">
        <v>295</v>
      </c>
      <c r="AR7" s="542">
        <v>9.65</v>
      </c>
      <c r="AS7" s="542">
        <v>175</v>
      </c>
      <c r="AT7" s="821">
        <v>227</v>
      </c>
      <c r="AU7" s="821" t="s">
        <v>1752</v>
      </c>
      <c r="AV7" s="821">
        <v>20</v>
      </c>
      <c r="AW7" s="848" t="s">
        <v>1202</v>
      </c>
      <c r="AX7" s="821" t="s">
        <v>1203</v>
      </c>
      <c r="AY7" s="542">
        <v>8.6999999999999993</v>
      </c>
      <c r="AZ7" s="821" t="s">
        <v>1560</v>
      </c>
      <c r="BA7" s="542">
        <v>9.43</v>
      </c>
      <c r="BB7" s="542">
        <v>3950</v>
      </c>
      <c r="BC7" s="821">
        <v>28</v>
      </c>
      <c r="BD7" s="1707" t="s">
        <v>2517</v>
      </c>
      <c r="BE7" s="821">
        <v>8</v>
      </c>
      <c r="BF7" s="848" t="s">
        <v>2490</v>
      </c>
      <c r="BG7" s="821" t="s">
        <v>2514</v>
      </c>
      <c r="BH7" s="542" t="s">
        <v>2480</v>
      </c>
      <c r="BI7" s="821" t="s">
        <v>295</v>
      </c>
      <c r="BJ7" s="542" t="s">
        <v>2480</v>
      </c>
      <c r="BK7" s="542">
        <v>120.95</v>
      </c>
      <c r="BL7" s="803">
        <v>73</v>
      </c>
      <c r="BM7" s="1607" t="s">
        <v>2617</v>
      </c>
      <c r="BN7" s="803">
        <v>10</v>
      </c>
      <c r="BO7" s="803" t="s">
        <v>2660</v>
      </c>
      <c r="BP7" s="803" t="s">
        <v>2661</v>
      </c>
      <c r="BQ7" s="1603" t="s">
        <v>2480</v>
      </c>
      <c r="BR7" s="1605" t="s">
        <v>295</v>
      </c>
      <c r="BS7" s="1603" t="s">
        <v>2480</v>
      </c>
      <c r="BT7" s="835">
        <v>68.582800000000006</v>
      </c>
    </row>
    <row r="8" spans="1:72" s="253" customFormat="1" ht="12.6" customHeight="1">
      <c r="A8" s="767">
        <v>3</v>
      </c>
      <c r="B8" s="851" t="s">
        <v>2339</v>
      </c>
      <c r="C8" s="1779">
        <v>2</v>
      </c>
      <c r="D8" s="1779" t="s">
        <v>2340</v>
      </c>
      <c r="E8" s="1779" t="s">
        <v>2341</v>
      </c>
      <c r="F8" s="649">
        <v>8.9</v>
      </c>
      <c r="G8" s="779" t="s">
        <v>2346</v>
      </c>
      <c r="H8" s="649">
        <v>9</v>
      </c>
      <c r="I8" s="649">
        <v>6000</v>
      </c>
      <c r="J8" s="779">
        <v>48</v>
      </c>
      <c r="K8" s="834" t="s">
        <v>1825</v>
      </c>
      <c r="L8" s="834">
        <v>10</v>
      </c>
      <c r="M8" s="834" t="s">
        <v>1415</v>
      </c>
      <c r="N8" s="834" t="s">
        <v>1416</v>
      </c>
      <c r="O8" s="770">
        <v>7</v>
      </c>
      <c r="P8" s="834" t="s">
        <v>1452</v>
      </c>
      <c r="Q8" s="770">
        <v>7.11</v>
      </c>
      <c r="R8" s="770">
        <v>2800</v>
      </c>
      <c r="S8" s="767">
        <v>93</v>
      </c>
      <c r="T8" s="851" t="s">
        <v>1713</v>
      </c>
      <c r="U8" s="834">
        <v>15</v>
      </c>
      <c r="V8" s="834" t="s">
        <v>999</v>
      </c>
      <c r="W8" s="770" t="s">
        <v>1000</v>
      </c>
      <c r="X8" s="770">
        <v>11</v>
      </c>
      <c r="Y8" s="834" t="s">
        <v>295</v>
      </c>
      <c r="Z8" s="770">
        <v>11</v>
      </c>
      <c r="AA8" s="770">
        <v>200</v>
      </c>
      <c r="AB8" s="255">
        <v>138</v>
      </c>
      <c r="AC8" s="851" t="s">
        <v>2181</v>
      </c>
      <c r="AD8" s="834">
        <v>15</v>
      </c>
      <c r="AE8" s="834" t="s">
        <v>2179</v>
      </c>
      <c r="AF8" s="770" t="s">
        <v>2182</v>
      </c>
      <c r="AG8" s="770">
        <v>8.5500000000000007</v>
      </c>
      <c r="AH8" s="834" t="s">
        <v>2899</v>
      </c>
      <c r="AI8" s="770">
        <v>11.92</v>
      </c>
      <c r="AJ8" s="770">
        <v>8154.22</v>
      </c>
      <c r="AK8" s="767">
        <v>183</v>
      </c>
      <c r="AL8" s="851" t="s">
        <v>1739</v>
      </c>
      <c r="AM8" s="834">
        <v>20</v>
      </c>
      <c r="AN8" s="834" t="s">
        <v>1231</v>
      </c>
      <c r="AO8" s="770" t="s">
        <v>1224</v>
      </c>
      <c r="AP8" s="770">
        <v>9.65</v>
      </c>
      <c r="AQ8" s="834" t="s">
        <v>295</v>
      </c>
      <c r="AR8" s="770">
        <v>9.65</v>
      </c>
      <c r="AS8" s="770">
        <v>175</v>
      </c>
      <c r="AT8" s="767">
        <v>228</v>
      </c>
      <c r="AU8" s="851" t="s">
        <v>1756</v>
      </c>
      <c r="AV8" s="834">
        <v>20</v>
      </c>
      <c r="AW8" s="834" t="s">
        <v>1221</v>
      </c>
      <c r="AX8" s="770" t="s">
        <v>1222</v>
      </c>
      <c r="AY8" s="770">
        <v>8.24</v>
      </c>
      <c r="AZ8" s="834" t="s">
        <v>1494</v>
      </c>
      <c r="BA8" s="770">
        <v>7.97</v>
      </c>
      <c r="BB8" s="770">
        <v>2850</v>
      </c>
      <c r="BC8" s="767">
        <v>29</v>
      </c>
      <c r="BD8" s="1708" t="s">
        <v>2518</v>
      </c>
      <c r="BE8" s="834">
        <v>8</v>
      </c>
      <c r="BF8" s="834" t="s">
        <v>2496</v>
      </c>
      <c r="BG8" s="770" t="s">
        <v>2519</v>
      </c>
      <c r="BH8" s="770" t="s">
        <v>2480</v>
      </c>
      <c r="BI8" s="834" t="s">
        <v>295</v>
      </c>
      <c r="BJ8" s="770" t="s">
        <v>2480</v>
      </c>
      <c r="BK8" s="770">
        <v>21.68</v>
      </c>
      <c r="BL8" s="779">
        <v>74</v>
      </c>
      <c r="BM8" s="1608" t="s">
        <v>2613</v>
      </c>
      <c r="BN8" s="914">
        <v>9</v>
      </c>
      <c r="BO8" s="866" t="s">
        <v>2660</v>
      </c>
      <c r="BP8" s="779" t="s">
        <v>2662</v>
      </c>
      <c r="BQ8" s="1604" t="s">
        <v>1914</v>
      </c>
      <c r="BR8" s="1606" t="s">
        <v>295</v>
      </c>
      <c r="BS8" s="1604" t="s">
        <v>1914</v>
      </c>
      <c r="BT8" s="541">
        <v>747.0127</v>
      </c>
    </row>
    <row r="9" spans="1:72" s="253" customFormat="1" ht="12.6" customHeight="1">
      <c r="A9" s="821">
        <v>4</v>
      </c>
      <c r="B9" s="853" t="s">
        <v>2374</v>
      </c>
      <c r="C9" s="1780">
        <v>2</v>
      </c>
      <c r="D9" s="1780" t="s">
        <v>2375</v>
      </c>
      <c r="E9" s="1780" t="s">
        <v>2376</v>
      </c>
      <c r="F9" s="835">
        <v>8.69</v>
      </c>
      <c r="G9" s="803" t="s">
        <v>2418</v>
      </c>
      <c r="H9" s="835">
        <v>10.26</v>
      </c>
      <c r="I9" s="835">
        <v>5596.16</v>
      </c>
      <c r="J9" s="803">
        <v>49</v>
      </c>
      <c r="K9" s="803" t="s">
        <v>1832</v>
      </c>
      <c r="L9" s="803">
        <v>10</v>
      </c>
      <c r="M9" s="835" t="s">
        <v>1457</v>
      </c>
      <c r="N9" s="835" t="s">
        <v>1458</v>
      </c>
      <c r="O9" s="835">
        <v>7.5</v>
      </c>
      <c r="P9" s="803" t="s">
        <v>1540</v>
      </c>
      <c r="Q9" s="835">
        <v>7.6</v>
      </c>
      <c r="R9" s="835">
        <v>2800</v>
      </c>
      <c r="S9" s="821">
        <v>94</v>
      </c>
      <c r="T9" s="821" t="s">
        <v>1719</v>
      </c>
      <c r="U9" s="821">
        <v>15</v>
      </c>
      <c r="V9" s="848" t="s">
        <v>1720</v>
      </c>
      <c r="W9" s="821" t="s">
        <v>1721</v>
      </c>
      <c r="X9" s="542">
        <v>11</v>
      </c>
      <c r="Y9" s="821" t="s">
        <v>295</v>
      </c>
      <c r="Z9" s="542">
        <v>11</v>
      </c>
      <c r="AA9" s="542">
        <v>200</v>
      </c>
      <c r="AB9" s="821">
        <v>139</v>
      </c>
      <c r="AC9" s="821" t="s">
        <v>2537</v>
      </c>
      <c r="AD9" s="821">
        <v>15</v>
      </c>
      <c r="AE9" s="848" t="s">
        <v>2538</v>
      </c>
      <c r="AF9" s="821" t="s">
        <v>2539</v>
      </c>
      <c r="AG9" s="542">
        <v>12.15</v>
      </c>
      <c r="AH9" s="821" t="s">
        <v>2872</v>
      </c>
      <c r="AI9" s="542">
        <v>12.63</v>
      </c>
      <c r="AJ9" s="542">
        <v>8257.2800000000007</v>
      </c>
      <c r="AK9" s="821">
        <v>184</v>
      </c>
      <c r="AL9" s="821" t="s">
        <v>1743</v>
      </c>
      <c r="AM9" s="821">
        <v>20</v>
      </c>
      <c r="AN9" s="848" t="s">
        <v>1232</v>
      </c>
      <c r="AO9" s="821" t="s">
        <v>1229</v>
      </c>
      <c r="AP9" s="542">
        <v>9.65</v>
      </c>
      <c r="AQ9" s="821" t="s">
        <v>295</v>
      </c>
      <c r="AR9" s="542">
        <v>9.65</v>
      </c>
      <c r="AS9" s="542">
        <v>185</v>
      </c>
      <c r="AT9" s="821">
        <v>229</v>
      </c>
      <c r="AU9" s="821" t="s">
        <v>1760</v>
      </c>
      <c r="AV9" s="821">
        <v>20</v>
      </c>
      <c r="AW9" s="848" t="s">
        <v>1536</v>
      </c>
      <c r="AX9" s="821" t="s">
        <v>1538</v>
      </c>
      <c r="AY9" s="542">
        <v>8.24</v>
      </c>
      <c r="AZ9" s="821" t="s">
        <v>1544</v>
      </c>
      <c r="BA9" s="542">
        <v>8.68</v>
      </c>
      <c r="BB9" s="542">
        <v>3000</v>
      </c>
      <c r="BC9" s="821">
        <v>30</v>
      </c>
      <c r="BD9" s="1707" t="s">
        <v>2520</v>
      </c>
      <c r="BE9" s="821">
        <v>8</v>
      </c>
      <c r="BF9" s="848" t="s">
        <v>2496</v>
      </c>
      <c r="BG9" s="821" t="s">
        <v>2519</v>
      </c>
      <c r="BH9" s="542" t="s">
        <v>2480</v>
      </c>
      <c r="BI9" s="821" t="s">
        <v>295</v>
      </c>
      <c r="BJ9" s="542" t="s">
        <v>2480</v>
      </c>
      <c r="BK9" s="542">
        <v>57.67</v>
      </c>
      <c r="BL9" s="803">
        <v>75</v>
      </c>
      <c r="BM9" s="1607" t="s">
        <v>2665</v>
      </c>
      <c r="BN9" s="803">
        <v>10</v>
      </c>
      <c r="BO9" s="803" t="s">
        <v>2660</v>
      </c>
      <c r="BP9" s="803" t="s">
        <v>2661</v>
      </c>
      <c r="BQ9" s="1603" t="s">
        <v>1914</v>
      </c>
      <c r="BR9" s="1605" t="s">
        <v>295</v>
      </c>
      <c r="BS9" s="1603" t="s">
        <v>1914</v>
      </c>
      <c r="BT9" s="835">
        <v>125.4759</v>
      </c>
    </row>
    <row r="10" spans="1:72" s="253" customFormat="1" ht="12.6" customHeight="1">
      <c r="A10" s="779">
        <v>5</v>
      </c>
      <c r="B10" s="767" t="s">
        <v>2390</v>
      </c>
      <c r="C10" s="767">
        <v>2</v>
      </c>
      <c r="D10" s="767" t="s">
        <v>2391</v>
      </c>
      <c r="E10" s="767" t="s">
        <v>2392</v>
      </c>
      <c r="F10" s="770">
        <v>10.9</v>
      </c>
      <c r="G10" s="767" t="s">
        <v>2454</v>
      </c>
      <c r="H10" s="770">
        <v>11.8</v>
      </c>
      <c r="I10" s="541">
        <v>2763.6499999999996</v>
      </c>
      <c r="J10" s="779">
        <v>50</v>
      </c>
      <c r="K10" s="779" t="s">
        <v>1839</v>
      </c>
      <c r="L10" s="779">
        <v>10</v>
      </c>
      <c r="M10" s="649" t="s">
        <v>1534</v>
      </c>
      <c r="N10" s="649" t="s">
        <v>1535</v>
      </c>
      <c r="O10" s="649">
        <v>7.15</v>
      </c>
      <c r="P10" s="779" t="s">
        <v>1552</v>
      </c>
      <c r="Q10" s="649">
        <v>8.89</v>
      </c>
      <c r="R10" s="649">
        <v>3000</v>
      </c>
      <c r="S10" s="767">
        <v>95</v>
      </c>
      <c r="T10" s="851" t="s">
        <v>1725</v>
      </c>
      <c r="U10" s="834">
        <v>15</v>
      </c>
      <c r="V10" s="834" t="s">
        <v>1001</v>
      </c>
      <c r="W10" s="770" t="s">
        <v>1002</v>
      </c>
      <c r="X10" s="770">
        <v>11.5</v>
      </c>
      <c r="Y10" s="834" t="s">
        <v>295</v>
      </c>
      <c r="Z10" s="770">
        <v>11.5</v>
      </c>
      <c r="AA10" s="770">
        <v>275</v>
      </c>
      <c r="AB10" s="255">
        <v>140</v>
      </c>
      <c r="AC10" s="851" t="s">
        <v>1726</v>
      </c>
      <c r="AD10" s="834">
        <v>20</v>
      </c>
      <c r="AE10" s="834" t="s">
        <v>1727</v>
      </c>
      <c r="AF10" s="770" t="s">
        <v>1728</v>
      </c>
      <c r="AG10" s="770">
        <v>15.950000000000001</v>
      </c>
      <c r="AH10" s="834" t="s">
        <v>295</v>
      </c>
      <c r="AI10" s="770">
        <v>15.950000000000001</v>
      </c>
      <c r="AJ10" s="770">
        <v>50</v>
      </c>
      <c r="AK10" s="767">
        <v>185</v>
      </c>
      <c r="AL10" s="851" t="s">
        <v>1747</v>
      </c>
      <c r="AM10" s="834">
        <v>20</v>
      </c>
      <c r="AN10" s="834" t="s">
        <v>1233</v>
      </c>
      <c r="AO10" s="770" t="s">
        <v>1230</v>
      </c>
      <c r="AP10" s="770">
        <v>10</v>
      </c>
      <c r="AQ10" s="834" t="s">
        <v>295</v>
      </c>
      <c r="AR10" s="770">
        <v>10</v>
      </c>
      <c r="AS10" s="770">
        <v>150</v>
      </c>
      <c r="AT10" s="767">
        <v>230</v>
      </c>
      <c r="AU10" s="851" t="s">
        <v>1763</v>
      </c>
      <c r="AV10" s="834">
        <v>20</v>
      </c>
      <c r="AW10" s="834" t="s">
        <v>1548</v>
      </c>
      <c r="AX10" s="770" t="s">
        <v>1549</v>
      </c>
      <c r="AY10" s="770">
        <v>9.2899999999999991</v>
      </c>
      <c r="AZ10" s="834" t="s">
        <v>1710</v>
      </c>
      <c r="BA10" s="770">
        <v>8.77</v>
      </c>
      <c r="BB10" s="770">
        <v>3650</v>
      </c>
      <c r="BC10" s="767">
        <v>31</v>
      </c>
      <c r="BD10" s="1708" t="s">
        <v>2521</v>
      </c>
      <c r="BE10" s="834">
        <v>9</v>
      </c>
      <c r="BF10" s="834" t="s">
        <v>2522</v>
      </c>
      <c r="BG10" s="770" t="s">
        <v>2523</v>
      </c>
      <c r="BH10" s="770" t="s">
        <v>2480</v>
      </c>
      <c r="BI10" s="834" t="s">
        <v>295</v>
      </c>
      <c r="BJ10" s="770" t="s">
        <v>2480</v>
      </c>
      <c r="BK10" s="770">
        <v>447.22</v>
      </c>
      <c r="BL10" s="779">
        <v>76</v>
      </c>
      <c r="BM10" s="1608" t="s">
        <v>2592</v>
      </c>
      <c r="BN10" s="914">
        <v>10</v>
      </c>
      <c r="BO10" s="866" t="s">
        <v>2655</v>
      </c>
      <c r="BP10" s="779" t="s">
        <v>2656</v>
      </c>
      <c r="BQ10" s="1604" t="s">
        <v>2480</v>
      </c>
      <c r="BR10" s="1606" t="s">
        <v>295</v>
      </c>
      <c r="BS10" s="1604" t="s">
        <v>2480</v>
      </c>
      <c r="BT10" s="541">
        <v>300</v>
      </c>
    </row>
    <row r="11" spans="1:72" s="253" customFormat="1" ht="12.6" customHeight="1">
      <c r="A11" s="803">
        <v>6</v>
      </c>
      <c r="B11" s="821" t="s">
        <v>2432</v>
      </c>
      <c r="C11" s="821">
        <v>2</v>
      </c>
      <c r="D11" s="821" t="s">
        <v>2433</v>
      </c>
      <c r="E11" s="821" t="s">
        <v>2434</v>
      </c>
      <c r="F11" s="715">
        <v>11.6</v>
      </c>
      <c r="G11" s="821" t="s">
        <v>2536</v>
      </c>
      <c r="H11" s="715">
        <v>12</v>
      </c>
      <c r="I11" s="542">
        <v>4055.28</v>
      </c>
      <c r="J11" s="803">
        <v>51</v>
      </c>
      <c r="K11" s="803" t="s">
        <v>1845</v>
      </c>
      <c r="L11" s="803">
        <v>10</v>
      </c>
      <c r="M11" s="835" t="s">
        <v>1541</v>
      </c>
      <c r="N11" s="835" t="s">
        <v>1542</v>
      </c>
      <c r="O11" s="835">
        <v>7.74</v>
      </c>
      <c r="P11" s="803" t="s">
        <v>1555</v>
      </c>
      <c r="Q11" s="835">
        <v>9.0500000000000007</v>
      </c>
      <c r="R11" s="835">
        <v>2675</v>
      </c>
      <c r="S11" s="821">
        <v>96</v>
      </c>
      <c r="T11" s="821" t="s">
        <v>1731</v>
      </c>
      <c r="U11" s="821">
        <v>15</v>
      </c>
      <c r="V11" s="848" t="s">
        <v>1003</v>
      </c>
      <c r="W11" s="821" t="s">
        <v>1004</v>
      </c>
      <c r="X11" s="542">
        <v>11.6</v>
      </c>
      <c r="Y11" s="821" t="s">
        <v>295</v>
      </c>
      <c r="Z11" s="542">
        <v>11.6</v>
      </c>
      <c r="AA11" s="542">
        <v>275</v>
      </c>
      <c r="AB11" s="821">
        <v>141</v>
      </c>
      <c r="AC11" s="821" t="s">
        <v>1732</v>
      </c>
      <c r="AD11" s="821">
        <v>20</v>
      </c>
      <c r="AE11" s="848" t="s">
        <v>1733</v>
      </c>
      <c r="AF11" s="821" t="s">
        <v>1734</v>
      </c>
      <c r="AG11" s="542">
        <v>15.440000000000001</v>
      </c>
      <c r="AH11" s="821" t="s">
        <v>295</v>
      </c>
      <c r="AI11" s="542">
        <v>15.440000000000001</v>
      </c>
      <c r="AJ11" s="542">
        <v>50</v>
      </c>
      <c r="AK11" s="821">
        <v>186</v>
      </c>
      <c r="AL11" s="821" t="s">
        <v>1751</v>
      </c>
      <c r="AM11" s="821">
        <v>20</v>
      </c>
      <c r="AN11" s="848" t="s">
        <v>1242</v>
      </c>
      <c r="AO11" s="821" t="s">
        <v>1234</v>
      </c>
      <c r="AP11" s="542">
        <v>10.25</v>
      </c>
      <c r="AQ11" s="821" t="s">
        <v>295</v>
      </c>
      <c r="AR11" s="542">
        <v>10.25</v>
      </c>
      <c r="AS11" s="542">
        <v>150</v>
      </c>
      <c r="AT11" s="821">
        <v>231</v>
      </c>
      <c r="AU11" s="821" t="s">
        <v>1767</v>
      </c>
      <c r="AV11" s="821">
        <v>20</v>
      </c>
      <c r="AW11" s="848" t="s">
        <v>1768</v>
      </c>
      <c r="AX11" s="821" t="s">
        <v>1769</v>
      </c>
      <c r="AY11" s="542">
        <v>9.1999999999999993</v>
      </c>
      <c r="AZ11" s="821" t="s">
        <v>2436</v>
      </c>
      <c r="BA11" s="542">
        <v>12.1</v>
      </c>
      <c r="BB11" s="542">
        <v>5029.96</v>
      </c>
      <c r="BC11" s="821">
        <v>32</v>
      </c>
      <c r="BD11" s="1707" t="s">
        <v>1352</v>
      </c>
      <c r="BE11" s="821">
        <v>9</v>
      </c>
      <c r="BF11" s="848" t="s">
        <v>2522</v>
      </c>
      <c r="BG11" s="821" t="s">
        <v>2523</v>
      </c>
      <c r="BH11" s="542" t="s">
        <v>2480</v>
      </c>
      <c r="BI11" s="821" t="s">
        <v>295</v>
      </c>
      <c r="BJ11" s="542" t="s">
        <v>2480</v>
      </c>
      <c r="BK11" s="542">
        <v>282.3</v>
      </c>
      <c r="BL11" s="803">
        <v>77</v>
      </c>
      <c r="BM11" s="1607" t="s">
        <v>2595</v>
      </c>
      <c r="BN11" s="803">
        <v>9</v>
      </c>
      <c r="BO11" s="803" t="s">
        <v>2655</v>
      </c>
      <c r="BP11" s="803" t="s">
        <v>2666</v>
      </c>
      <c r="BQ11" s="1603" t="s">
        <v>2480</v>
      </c>
      <c r="BR11" s="1605" t="s">
        <v>295</v>
      </c>
      <c r="BS11" s="1603" t="s">
        <v>2480</v>
      </c>
      <c r="BT11" s="835">
        <v>129.35480000000001</v>
      </c>
    </row>
    <row r="12" spans="1:72" s="253" customFormat="1" ht="12.6" customHeight="1">
      <c r="A12" s="767">
        <v>7</v>
      </c>
      <c r="B12" s="767" t="s">
        <v>2556</v>
      </c>
      <c r="C12" s="767">
        <v>2</v>
      </c>
      <c r="D12" s="767" t="s">
        <v>2557</v>
      </c>
      <c r="E12" s="767" t="s">
        <v>2558</v>
      </c>
      <c r="F12" s="770">
        <v>12</v>
      </c>
      <c r="G12" s="541" t="s">
        <v>295</v>
      </c>
      <c r="H12" s="770">
        <v>12</v>
      </c>
      <c r="I12" s="541">
        <v>2336.5700000000002</v>
      </c>
      <c r="J12" s="779">
        <v>52</v>
      </c>
      <c r="K12" s="779" t="s">
        <v>1852</v>
      </c>
      <c r="L12" s="779">
        <v>10</v>
      </c>
      <c r="M12" s="649" t="s">
        <v>1546</v>
      </c>
      <c r="N12" s="649" t="s">
        <v>1547</v>
      </c>
      <c r="O12" s="649">
        <v>8.44</v>
      </c>
      <c r="P12" s="779" t="s">
        <v>1552</v>
      </c>
      <c r="Q12" s="649">
        <v>8.89</v>
      </c>
      <c r="R12" s="649">
        <v>3000</v>
      </c>
      <c r="S12" s="767">
        <v>97</v>
      </c>
      <c r="T12" s="851" t="s">
        <v>1737</v>
      </c>
      <c r="U12" s="834">
        <v>15</v>
      </c>
      <c r="V12" s="834" t="s">
        <v>1005</v>
      </c>
      <c r="W12" s="770" t="s">
        <v>1006</v>
      </c>
      <c r="X12" s="770">
        <v>11.65</v>
      </c>
      <c r="Y12" s="834" t="s">
        <v>295</v>
      </c>
      <c r="Z12" s="770">
        <v>11.65</v>
      </c>
      <c r="AA12" s="770">
        <v>275</v>
      </c>
      <c r="AB12" s="255">
        <v>142</v>
      </c>
      <c r="AC12" s="851" t="s">
        <v>1738</v>
      </c>
      <c r="AD12" s="834">
        <v>20</v>
      </c>
      <c r="AE12" s="834" t="s">
        <v>471</v>
      </c>
      <c r="AF12" s="770" t="s">
        <v>474</v>
      </c>
      <c r="AG12" s="770">
        <v>14.23</v>
      </c>
      <c r="AH12" s="834" t="s">
        <v>295</v>
      </c>
      <c r="AI12" s="770">
        <v>14.23</v>
      </c>
      <c r="AJ12" s="770">
        <v>50</v>
      </c>
      <c r="AK12" s="767">
        <v>187</v>
      </c>
      <c r="AL12" s="851" t="s">
        <v>1755</v>
      </c>
      <c r="AM12" s="834">
        <v>20</v>
      </c>
      <c r="AN12" s="834" t="s">
        <v>1243</v>
      </c>
      <c r="AO12" s="770" t="s">
        <v>1240</v>
      </c>
      <c r="AP12" s="770">
        <v>10.85</v>
      </c>
      <c r="AQ12" s="834" t="s">
        <v>295</v>
      </c>
      <c r="AR12" s="770">
        <v>10.85</v>
      </c>
      <c r="AS12" s="770">
        <v>150</v>
      </c>
      <c r="AT12" s="767">
        <v>232</v>
      </c>
      <c r="AU12" s="851" t="s">
        <v>1774</v>
      </c>
      <c r="AV12" s="834">
        <v>20</v>
      </c>
      <c r="AW12" s="834" t="s">
        <v>1600</v>
      </c>
      <c r="AX12" s="770" t="s">
        <v>1602</v>
      </c>
      <c r="AY12" s="770">
        <v>8.94</v>
      </c>
      <c r="AZ12" s="834" t="s">
        <v>2396</v>
      </c>
      <c r="BA12" s="770">
        <v>11.26</v>
      </c>
      <c r="BB12" s="770">
        <v>5184.3499999999995</v>
      </c>
      <c r="BC12" s="767">
        <v>33</v>
      </c>
      <c r="BD12" s="1708" t="s">
        <v>2524</v>
      </c>
      <c r="BE12" s="834">
        <v>10</v>
      </c>
      <c r="BF12" s="834" t="s">
        <v>2522</v>
      </c>
      <c r="BG12" s="770" t="s">
        <v>2525</v>
      </c>
      <c r="BH12" s="770" t="s">
        <v>2480</v>
      </c>
      <c r="BI12" s="834" t="s">
        <v>295</v>
      </c>
      <c r="BJ12" s="770" t="s">
        <v>2480</v>
      </c>
      <c r="BK12" s="770">
        <v>190.29</v>
      </c>
      <c r="BL12" s="779">
        <v>78</v>
      </c>
      <c r="BM12" s="1608" t="s">
        <v>2591</v>
      </c>
      <c r="BN12" s="914">
        <v>10</v>
      </c>
      <c r="BO12" s="866" t="s">
        <v>2655</v>
      </c>
      <c r="BP12" s="779" t="s">
        <v>2656</v>
      </c>
      <c r="BQ12" s="1604" t="s">
        <v>2480</v>
      </c>
      <c r="BR12" s="1606" t="s">
        <v>295</v>
      </c>
      <c r="BS12" s="1604" t="s">
        <v>2480</v>
      </c>
      <c r="BT12" s="541">
        <v>1353.855</v>
      </c>
    </row>
    <row r="13" spans="1:72" s="253" customFormat="1" ht="12.6" customHeight="1">
      <c r="A13" s="821">
        <v>8</v>
      </c>
      <c r="B13" s="821" t="s">
        <v>2567</v>
      </c>
      <c r="C13" s="821">
        <v>2</v>
      </c>
      <c r="D13" s="821" t="s">
        <v>2568</v>
      </c>
      <c r="E13" s="821" t="s">
        <v>2569</v>
      </c>
      <c r="F13" s="715">
        <v>12.05</v>
      </c>
      <c r="G13" s="821" t="s">
        <v>295</v>
      </c>
      <c r="H13" s="715">
        <v>12.05</v>
      </c>
      <c r="I13" s="542">
        <v>3007.67</v>
      </c>
      <c r="J13" s="803">
        <v>53</v>
      </c>
      <c r="K13" s="803" t="s">
        <v>1859</v>
      </c>
      <c r="L13" s="803">
        <v>10</v>
      </c>
      <c r="M13" s="803" t="s">
        <v>1553</v>
      </c>
      <c r="N13" s="803" t="s">
        <v>1554</v>
      </c>
      <c r="O13" s="835">
        <v>9.27</v>
      </c>
      <c r="P13" s="803" t="s">
        <v>1557</v>
      </c>
      <c r="Q13" s="835">
        <v>9.19</v>
      </c>
      <c r="R13" s="835">
        <v>4000</v>
      </c>
      <c r="S13" s="821">
        <v>98</v>
      </c>
      <c r="T13" s="821" t="s">
        <v>1741</v>
      </c>
      <c r="U13" s="821">
        <v>15</v>
      </c>
      <c r="V13" s="848" t="s">
        <v>962</v>
      </c>
      <c r="W13" s="821" t="s">
        <v>963</v>
      </c>
      <c r="X13" s="542">
        <v>11.7</v>
      </c>
      <c r="Y13" s="821" t="s">
        <v>295</v>
      </c>
      <c r="Z13" s="542">
        <v>11.7</v>
      </c>
      <c r="AA13" s="542">
        <v>500</v>
      </c>
      <c r="AB13" s="821">
        <v>143</v>
      </c>
      <c r="AC13" s="821" t="s">
        <v>1742</v>
      </c>
      <c r="AD13" s="821">
        <v>20</v>
      </c>
      <c r="AE13" s="848" t="s">
        <v>472</v>
      </c>
      <c r="AF13" s="821" t="s">
        <v>475</v>
      </c>
      <c r="AG13" s="542">
        <v>13.88</v>
      </c>
      <c r="AH13" s="821" t="s">
        <v>295</v>
      </c>
      <c r="AI13" s="542">
        <v>13.88</v>
      </c>
      <c r="AJ13" s="542">
        <v>50</v>
      </c>
      <c r="AK13" s="821">
        <v>188</v>
      </c>
      <c r="AL13" s="821" t="s">
        <v>1759</v>
      </c>
      <c r="AM13" s="821">
        <v>20</v>
      </c>
      <c r="AN13" s="848" t="s">
        <v>1241</v>
      </c>
      <c r="AO13" s="821" t="s">
        <v>1244</v>
      </c>
      <c r="AP13" s="542">
        <v>11.5</v>
      </c>
      <c r="AQ13" s="821" t="s">
        <v>295</v>
      </c>
      <c r="AR13" s="542">
        <v>11.5</v>
      </c>
      <c r="AS13" s="542">
        <v>175</v>
      </c>
      <c r="AT13" s="821">
        <v>233</v>
      </c>
      <c r="AU13" s="821" t="s">
        <v>1921</v>
      </c>
      <c r="AV13" s="821">
        <v>20</v>
      </c>
      <c r="AW13" s="848" t="s">
        <v>1920</v>
      </c>
      <c r="AX13" s="821" t="s">
        <v>1922</v>
      </c>
      <c r="AY13" s="542">
        <v>6.07</v>
      </c>
      <c r="AZ13" s="821" t="s">
        <v>2109</v>
      </c>
      <c r="BA13" s="542">
        <v>7.64</v>
      </c>
      <c r="BB13" s="542">
        <v>4400</v>
      </c>
      <c r="BC13" s="821">
        <v>34</v>
      </c>
      <c r="BD13" s="1707" t="s">
        <v>2526</v>
      </c>
      <c r="BE13" s="821">
        <v>10</v>
      </c>
      <c r="BF13" s="848" t="s">
        <v>2522</v>
      </c>
      <c r="BG13" s="821" t="s">
        <v>2525</v>
      </c>
      <c r="BH13" s="542" t="s">
        <v>2480</v>
      </c>
      <c r="BI13" s="821" t="s">
        <v>295</v>
      </c>
      <c r="BJ13" s="542" t="s">
        <v>2480</v>
      </c>
      <c r="BK13" s="542">
        <v>56.52</v>
      </c>
      <c r="BL13" s="803">
        <v>79</v>
      </c>
      <c r="BM13" s="1607" t="s">
        <v>2667</v>
      </c>
      <c r="BN13" s="803">
        <v>10</v>
      </c>
      <c r="BO13" s="803" t="s">
        <v>2655</v>
      </c>
      <c r="BP13" s="803" t="s">
        <v>2656</v>
      </c>
      <c r="BQ13" s="1603" t="s">
        <v>2480</v>
      </c>
      <c r="BR13" s="1605" t="s">
        <v>295</v>
      </c>
      <c r="BS13" s="1603" t="s">
        <v>2480</v>
      </c>
      <c r="BT13" s="835">
        <v>323.9889</v>
      </c>
    </row>
    <row r="14" spans="1:72" s="253" customFormat="1" ht="12.6" customHeight="1">
      <c r="A14" s="767">
        <v>9</v>
      </c>
      <c r="B14" s="767" t="s">
        <v>2651</v>
      </c>
      <c r="C14" s="767">
        <v>2</v>
      </c>
      <c r="D14" s="541" t="s">
        <v>2652</v>
      </c>
      <c r="E14" s="541" t="s">
        <v>2653</v>
      </c>
      <c r="F14" s="770">
        <v>12.3</v>
      </c>
      <c r="G14" s="541" t="s">
        <v>2682</v>
      </c>
      <c r="H14" s="770">
        <v>12.31</v>
      </c>
      <c r="I14" s="541">
        <v>4422.22</v>
      </c>
      <c r="J14" s="779">
        <v>54</v>
      </c>
      <c r="K14" s="779" t="s">
        <v>1630</v>
      </c>
      <c r="L14" s="779">
        <v>10</v>
      </c>
      <c r="M14" s="649" t="s">
        <v>1558</v>
      </c>
      <c r="N14" s="649" t="s">
        <v>1559</v>
      </c>
      <c r="O14" s="649">
        <v>9.23</v>
      </c>
      <c r="P14" s="779" t="s">
        <v>1631</v>
      </c>
      <c r="Q14" s="649">
        <v>8.64</v>
      </c>
      <c r="R14" s="649">
        <v>4000</v>
      </c>
      <c r="S14" s="767">
        <v>99</v>
      </c>
      <c r="T14" s="851" t="s">
        <v>1745</v>
      </c>
      <c r="U14" s="834">
        <v>15</v>
      </c>
      <c r="V14" s="834" t="s">
        <v>964</v>
      </c>
      <c r="W14" s="770" t="s">
        <v>965</v>
      </c>
      <c r="X14" s="770">
        <v>11.75</v>
      </c>
      <c r="Y14" s="834" t="s">
        <v>295</v>
      </c>
      <c r="Z14" s="770">
        <v>11.75</v>
      </c>
      <c r="AA14" s="770">
        <v>500</v>
      </c>
      <c r="AB14" s="255">
        <v>144</v>
      </c>
      <c r="AC14" s="851" t="s">
        <v>1746</v>
      </c>
      <c r="AD14" s="834">
        <v>20</v>
      </c>
      <c r="AE14" s="834" t="s">
        <v>473</v>
      </c>
      <c r="AF14" s="770" t="s">
        <v>476</v>
      </c>
      <c r="AG14" s="770">
        <v>13.489999999999998</v>
      </c>
      <c r="AH14" s="834" t="s">
        <v>295</v>
      </c>
      <c r="AI14" s="770">
        <v>13.489999999999998</v>
      </c>
      <c r="AJ14" s="770">
        <v>50</v>
      </c>
      <c r="AK14" s="767">
        <v>189</v>
      </c>
      <c r="AL14" s="851" t="s">
        <v>1762</v>
      </c>
      <c r="AM14" s="834">
        <v>20</v>
      </c>
      <c r="AN14" s="834" t="s">
        <v>976</v>
      </c>
      <c r="AO14" s="770" t="s">
        <v>977</v>
      </c>
      <c r="AP14" s="770">
        <v>11.5</v>
      </c>
      <c r="AQ14" s="834" t="s">
        <v>295</v>
      </c>
      <c r="AR14" s="770">
        <v>11.5</v>
      </c>
      <c r="AS14" s="770">
        <v>175</v>
      </c>
      <c r="AT14" s="767">
        <v>234</v>
      </c>
      <c r="AU14" s="851" t="s">
        <v>2126</v>
      </c>
      <c r="AV14" s="834">
        <v>20</v>
      </c>
      <c r="AW14" s="834" t="s">
        <v>2125</v>
      </c>
      <c r="AX14" s="770" t="s">
        <v>2127</v>
      </c>
      <c r="AY14" s="770">
        <v>7.75</v>
      </c>
      <c r="AZ14" s="834" t="s">
        <v>2241</v>
      </c>
      <c r="BA14" s="770">
        <v>8.9</v>
      </c>
      <c r="BB14" s="770">
        <v>4500</v>
      </c>
      <c r="BC14" s="767">
        <v>35</v>
      </c>
      <c r="BD14" s="1708" t="s">
        <v>2527</v>
      </c>
      <c r="BE14" s="834">
        <v>10</v>
      </c>
      <c r="BF14" s="834" t="s">
        <v>2522</v>
      </c>
      <c r="BG14" s="770" t="s">
        <v>2525</v>
      </c>
      <c r="BH14" s="770" t="s">
        <v>2480</v>
      </c>
      <c r="BI14" s="834" t="s">
        <v>295</v>
      </c>
      <c r="BJ14" s="770" t="s">
        <v>2480</v>
      </c>
      <c r="BK14" s="770">
        <v>392.91</v>
      </c>
      <c r="BL14" s="779">
        <v>80</v>
      </c>
      <c r="BM14" s="1608" t="s">
        <v>2590</v>
      </c>
      <c r="BN14" s="914">
        <v>10</v>
      </c>
      <c r="BO14" s="866" t="s">
        <v>2655</v>
      </c>
      <c r="BP14" s="779" t="s">
        <v>2656</v>
      </c>
      <c r="BQ14" s="1604" t="s">
        <v>2480</v>
      </c>
      <c r="BR14" s="1606" t="s">
        <v>295</v>
      </c>
      <c r="BS14" s="1604" t="s">
        <v>2480</v>
      </c>
      <c r="BT14" s="541">
        <v>3246.145</v>
      </c>
    </row>
    <row r="15" spans="1:72" s="253" customFormat="1" ht="12.6" customHeight="1">
      <c r="A15" s="821">
        <v>10</v>
      </c>
      <c r="B15" s="821" t="s">
        <v>2732</v>
      </c>
      <c r="C15" s="821">
        <v>2</v>
      </c>
      <c r="D15" s="821" t="s">
        <v>2733</v>
      </c>
      <c r="E15" s="821" t="s">
        <v>2734</v>
      </c>
      <c r="F15" s="715">
        <v>12.25</v>
      </c>
      <c r="G15" s="821" t="s">
        <v>2764</v>
      </c>
      <c r="H15" s="715">
        <v>12.24</v>
      </c>
      <c r="I15" s="542">
        <v>8280.77</v>
      </c>
      <c r="J15" s="803">
        <v>55</v>
      </c>
      <c r="K15" s="803" t="s">
        <v>1638</v>
      </c>
      <c r="L15" s="803">
        <v>10</v>
      </c>
      <c r="M15" s="835" t="s">
        <v>1566</v>
      </c>
      <c r="N15" s="835" t="s">
        <v>1567</v>
      </c>
      <c r="O15" s="835">
        <v>9.15</v>
      </c>
      <c r="P15" s="803" t="s">
        <v>1875</v>
      </c>
      <c r="Q15" s="835">
        <v>6.64</v>
      </c>
      <c r="R15" s="835">
        <v>4000</v>
      </c>
      <c r="S15" s="821">
        <v>100</v>
      </c>
      <c r="T15" s="821" t="s">
        <v>1749</v>
      </c>
      <c r="U15" s="821">
        <v>15</v>
      </c>
      <c r="V15" s="848" t="s">
        <v>966</v>
      </c>
      <c r="W15" s="821" t="s">
        <v>967</v>
      </c>
      <c r="X15" s="542">
        <v>11.8</v>
      </c>
      <c r="Y15" s="821" t="s">
        <v>295</v>
      </c>
      <c r="Z15" s="542">
        <v>11.8</v>
      </c>
      <c r="AA15" s="542">
        <v>500</v>
      </c>
      <c r="AB15" s="821">
        <v>145</v>
      </c>
      <c r="AC15" s="821" t="s">
        <v>1750</v>
      </c>
      <c r="AD15" s="821">
        <v>20</v>
      </c>
      <c r="AE15" s="848" t="s">
        <v>1895</v>
      </c>
      <c r="AF15" s="821" t="s">
        <v>1896</v>
      </c>
      <c r="AG15" s="542">
        <v>13.29</v>
      </c>
      <c r="AH15" s="821" t="s">
        <v>295</v>
      </c>
      <c r="AI15" s="542">
        <v>13.29</v>
      </c>
      <c r="AJ15" s="542">
        <v>50</v>
      </c>
      <c r="AK15" s="821">
        <v>190</v>
      </c>
      <c r="AL15" s="821" t="s">
        <v>1766</v>
      </c>
      <c r="AM15" s="821">
        <v>20</v>
      </c>
      <c r="AN15" s="848" t="s">
        <v>1245</v>
      </c>
      <c r="AO15" s="821" t="s">
        <v>1251</v>
      </c>
      <c r="AP15" s="542">
        <v>11.5</v>
      </c>
      <c r="AQ15" s="821" t="s">
        <v>295</v>
      </c>
      <c r="AR15" s="542">
        <v>11.5</v>
      </c>
      <c r="AS15" s="542">
        <v>175</v>
      </c>
      <c r="AT15" s="821">
        <v>235</v>
      </c>
      <c r="AU15" s="821" t="s">
        <v>2178</v>
      </c>
      <c r="AV15" s="821">
        <v>20</v>
      </c>
      <c r="AW15" s="848" t="s">
        <v>2179</v>
      </c>
      <c r="AX15" s="821" t="s">
        <v>2180</v>
      </c>
      <c r="AY15" s="542">
        <v>8.65</v>
      </c>
      <c r="AZ15" s="821" t="s">
        <v>2234</v>
      </c>
      <c r="BA15" s="542">
        <v>8.83</v>
      </c>
      <c r="BB15" s="542">
        <v>5161.28</v>
      </c>
      <c r="BC15" s="821">
        <v>36</v>
      </c>
      <c r="BD15" s="1707" t="s">
        <v>2528</v>
      </c>
      <c r="BE15" s="821">
        <v>10</v>
      </c>
      <c r="BF15" s="848" t="s">
        <v>2522</v>
      </c>
      <c r="BG15" s="821" t="s">
        <v>2525</v>
      </c>
      <c r="BH15" s="542" t="s">
        <v>2480</v>
      </c>
      <c r="BI15" s="821" t="s">
        <v>295</v>
      </c>
      <c r="BJ15" s="542" t="s">
        <v>2480</v>
      </c>
      <c r="BK15" s="542">
        <v>397.43</v>
      </c>
      <c r="BL15" s="803">
        <v>81</v>
      </c>
      <c r="BM15" s="1607" t="s">
        <v>2613</v>
      </c>
      <c r="BN15" s="803">
        <v>10</v>
      </c>
      <c r="BO15" s="803" t="s">
        <v>2668</v>
      </c>
      <c r="BP15" s="803" t="s">
        <v>2669</v>
      </c>
      <c r="BQ15" s="1603" t="s">
        <v>1914</v>
      </c>
      <c r="BR15" s="1605" t="s">
        <v>295</v>
      </c>
      <c r="BS15" s="1603" t="s">
        <v>1914</v>
      </c>
      <c r="BT15" s="835">
        <v>2568</v>
      </c>
    </row>
    <row r="16" spans="1:72" s="253" customFormat="1" ht="12.6" customHeight="1">
      <c r="A16" s="767">
        <v>11</v>
      </c>
      <c r="B16" s="851" t="s">
        <v>2779</v>
      </c>
      <c r="C16" s="767">
        <v>2</v>
      </c>
      <c r="D16" s="767" t="s">
        <v>2780</v>
      </c>
      <c r="E16" s="767" t="s">
        <v>2781</v>
      </c>
      <c r="F16" s="770">
        <v>12.2</v>
      </c>
      <c r="G16" s="834" t="s">
        <v>295</v>
      </c>
      <c r="H16" s="770">
        <v>12.2</v>
      </c>
      <c r="I16" s="770">
        <v>4926.24</v>
      </c>
      <c r="J16" s="779">
        <v>56</v>
      </c>
      <c r="K16" s="779" t="s">
        <v>1645</v>
      </c>
      <c r="L16" s="779">
        <v>10</v>
      </c>
      <c r="M16" s="649" t="s">
        <v>1646</v>
      </c>
      <c r="N16" s="649" t="s">
        <v>1647</v>
      </c>
      <c r="O16" s="649">
        <v>8.74</v>
      </c>
      <c r="P16" s="779" t="s">
        <v>295</v>
      </c>
      <c r="Q16" s="649">
        <v>8.74</v>
      </c>
      <c r="R16" s="649">
        <v>4500</v>
      </c>
      <c r="S16" s="767">
        <v>101</v>
      </c>
      <c r="T16" s="851" t="s">
        <v>1753</v>
      </c>
      <c r="U16" s="834">
        <v>15</v>
      </c>
      <c r="V16" s="834" t="s">
        <v>968</v>
      </c>
      <c r="W16" s="770" t="s">
        <v>969</v>
      </c>
      <c r="X16" s="770">
        <v>11.85</v>
      </c>
      <c r="Y16" s="834" t="s">
        <v>295</v>
      </c>
      <c r="Z16" s="770">
        <v>11.85</v>
      </c>
      <c r="AA16" s="770">
        <v>350</v>
      </c>
      <c r="AB16" s="255">
        <v>146</v>
      </c>
      <c r="AC16" s="851" t="s">
        <v>1754</v>
      </c>
      <c r="AD16" s="834">
        <v>20</v>
      </c>
      <c r="AE16" s="834" t="s">
        <v>31</v>
      </c>
      <c r="AF16" s="770" t="s">
        <v>43</v>
      </c>
      <c r="AG16" s="770">
        <v>13.19</v>
      </c>
      <c r="AH16" s="834" t="s">
        <v>295</v>
      </c>
      <c r="AI16" s="770">
        <v>13.19</v>
      </c>
      <c r="AJ16" s="770">
        <v>50</v>
      </c>
      <c r="AK16" s="767">
        <v>191</v>
      </c>
      <c r="AL16" s="851" t="s">
        <v>1772</v>
      </c>
      <c r="AM16" s="834">
        <v>20</v>
      </c>
      <c r="AN16" s="834" t="s">
        <v>1773</v>
      </c>
      <c r="AO16" s="770" t="s">
        <v>1254</v>
      </c>
      <c r="AP16" s="770">
        <v>11.95</v>
      </c>
      <c r="AQ16" s="834" t="s">
        <v>295</v>
      </c>
      <c r="AR16" s="770">
        <v>11.95</v>
      </c>
      <c r="AS16" s="770">
        <v>250</v>
      </c>
      <c r="AT16" s="767">
        <v>236</v>
      </c>
      <c r="AU16" s="851" t="s">
        <v>2256</v>
      </c>
      <c r="AV16" s="834">
        <v>20</v>
      </c>
      <c r="AW16" s="834" t="s">
        <v>2255</v>
      </c>
      <c r="AX16" s="770" t="s">
        <v>2257</v>
      </c>
      <c r="AY16" s="770">
        <v>8.9499999999999993</v>
      </c>
      <c r="AZ16" s="834" t="s">
        <v>2945</v>
      </c>
      <c r="BA16" s="770">
        <v>12.05</v>
      </c>
      <c r="BB16" s="770">
        <f>1500+4943.23</f>
        <v>6443.23</v>
      </c>
      <c r="BC16" s="767">
        <v>37</v>
      </c>
      <c r="BD16" s="1708" t="s">
        <v>166</v>
      </c>
      <c r="BE16" s="834">
        <v>10</v>
      </c>
      <c r="BF16" s="834" t="s">
        <v>2522</v>
      </c>
      <c r="BG16" s="770" t="s">
        <v>2525</v>
      </c>
      <c r="BH16" s="770" t="s">
        <v>2480</v>
      </c>
      <c r="BI16" s="834" t="s">
        <v>295</v>
      </c>
      <c r="BJ16" s="770" t="s">
        <v>2480</v>
      </c>
      <c r="BK16" s="770">
        <v>919.83</v>
      </c>
      <c r="BL16" s="779">
        <v>82</v>
      </c>
      <c r="BM16" s="1608" t="s">
        <v>2613</v>
      </c>
      <c r="BN16" s="914">
        <v>10</v>
      </c>
      <c r="BO16" s="866" t="s">
        <v>2736</v>
      </c>
      <c r="BP16" s="779" t="s">
        <v>2737</v>
      </c>
      <c r="BQ16" s="1604" t="s">
        <v>1914</v>
      </c>
      <c r="BR16" s="1606" t="s">
        <v>295</v>
      </c>
      <c r="BS16" s="1604" t="s">
        <v>1914</v>
      </c>
      <c r="BT16" s="541">
        <v>969.86509999999998</v>
      </c>
    </row>
    <row r="17" spans="1:72" s="253" customFormat="1" ht="12.6" customHeight="1">
      <c r="A17" s="821">
        <v>12</v>
      </c>
      <c r="B17" s="821" t="s">
        <v>2837</v>
      </c>
      <c r="C17" s="821">
        <v>2</v>
      </c>
      <c r="D17" s="821" t="s">
        <v>2838</v>
      </c>
      <c r="E17" s="821" t="s">
        <v>2839</v>
      </c>
      <c r="F17" s="715">
        <v>12.3</v>
      </c>
      <c r="G17" s="821" t="s">
        <v>2867</v>
      </c>
      <c r="H17" s="715">
        <v>12.298999999999999</v>
      </c>
      <c r="I17" s="542">
        <v>6666.58</v>
      </c>
      <c r="J17" s="803">
        <v>57</v>
      </c>
      <c r="K17" s="803" t="s">
        <v>1654</v>
      </c>
      <c r="L17" s="803">
        <v>10</v>
      </c>
      <c r="M17" s="835" t="s">
        <v>1598</v>
      </c>
      <c r="N17" s="835" t="s">
        <v>1599</v>
      </c>
      <c r="O17" s="835">
        <v>8.66</v>
      </c>
      <c r="P17" s="803" t="s">
        <v>1893</v>
      </c>
      <c r="Q17" s="835">
        <v>5.75</v>
      </c>
      <c r="R17" s="835">
        <v>4500</v>
      </c>
      <c r="S17" s="821">
        <v>102</v>
      </c>
      <c r="T17" s="821" t="s">
        <v>1757</v>
      </c>
      <c r="U17" s="821">
        <v>15</v>
      </c>
      <c r="V17" s="848" t="s">
        <v>970</v>
      </c>
      <c r="W17" s="821" t="s">
        <v>971</v>
      </c>
      <c r="X17" s="542">
        <v>11.88</v>
      </c>
      <c r="Y17" s="821" t="s">
        <v>295</v>
      </c>
      <c r="Z17" s="542">
        <v>11.88</v>
      </c>
      <c r="AA17" s="542">
        <v>350</v>
      </c>
      <c r="AB17" s="821">
        <v>147</v>
      </c>
      <c r="AC17" s="821" t="s">
        <v>1758</v>
      </c>
      <c r="AD17" s="821">
        <v>20</v>
      </c>
      <c r="AE17" s="848" t="s">
        <v>32</v>
      </c>
      <c r="AF17" s="821" t="s">
        <v>44</v>
      </c>
      <c r="AG17" s="542">
        <v>13.139999999999999</v>
      </c>
      <c r="AH17" s="821" t="s">
        <v>295</v>
      </c>
      <c r="AI17" s="542">
        <v>13.139999999999999</v>
      </c>
      <c r="AJ17" s="542">
        <v>50</v>
      </c>
      <c r="AK17" s="821">
        <v>192</v>
      </c>
      <c r="AL17" s="821" t="s">
        <v>1955</v>
      </c>
      <c r="AM17" s="821">
        <v>20</v>
      </c>
      <c r="AN17" s="848" t="s">
        <v>1956</v>
      </c>
      <c r="AO17" s="821" t="s">
        <v>1957</v>
      </c>
      <c r="AP17" s="542">
        <v>12</v>
      </c>
      <c r="AQ17" s="821" t="s">
        <v>295</v>
      </c>
      <c r="AR17" s="542">
        <v>12</v>
      </c>
      <c r="AS17" s="542">
        <v>250</v>
      </c>
      <c r="AT17" s="821">
        <v>237</v>
      </c>
      <c r="AU17" s="821" t="s">
        <v>2265</v>
      </c>
      <c r="AV17" s="821">
        <v>20</v>
      </c>
      <c r="AW17" s="848" t="s">
        <v>2264</v>
      </c>
      <c r="AX17" s="821" t="s">
        <v>2266</v>
      </c>
      <c r="AY17" s="542">
        <v>8.89</v>
      </c>
      <c r="AZ17" s="821" t="s">
        <v>2899</v>
      </c>
      <c r="BA17" s="542">
        <v>11.95</v>
      </c>
      <c r="BB17" s="542">
        <v>4324.8099999999995</v>
      </c>
      <c r="BC17" s="821">
        <v>38</v>
      </c>
      <c r="BD17" s="1707" t="s">
        <v>2529</v>
      </c>
      <c r="BE17" s="821">
        <v>10</v>
      </c>
      <c r="BF17" s="848" t="s">
        <v>2435</v>
      </c>
      <c r="BG17" s="821" t="s">
        <v>2530</v>
      </c>
      <c r="BH17" s="542" t="s">
        <v>1914</v>
      </c>
      <c r="BI17" s="821" t="s">
        <v>295</v>
      </c>
      <c r="BJ17" s="542" t="s">
        <v>1914</v>
      </c>
      <c r="BK17" s="542">
        <v>2482.1799999999998</v>
      </c>
      <c r="BL17" s="803">
        <v>83</v>
      </c>
      <c r="BM17" s="1607" t="s">
        <v>2665</v>
      </c>
      <c r="BN17" s="803">
        <v>10</v>
      </c>
      <c r="BO17" s="803" t="s">
        <v>2736</v>
      </c>
      <c r="BP17" s="803" t="s">
        <v>2737</v>
      </c>
      <c r="BQ17" s="1603" t="s">
        <v>1914</v>
      </c>
      <c r="BR17" s="1605" t="s">
        <v>295</v>
      </c>
      <c r="BS17" s="1603" t="s">
        <v>1914</v>
      </c>
      <c r="BT17" s="835">
        <v>162.9084</v>
      </c>
    </row>
    <row r="18" spans="1:72" s="253" customFormat="1" ht="12.6" customHeight="1">
      <c r="A18" s="767">
        <v>13</v>
      </c>
      <c r="B18" s="851" t="s">
        <v>2891</v>
      </c>
      <c r="C18" s="767">
        <v>2</v>
      </c>
      <c r="D18" s="767" t="s">
        <v>2892</v>
      </c>
      <c r="E18" s="767" t="s">
        <v>2893</v>
      </c>
      <c r="F18" s="770">
        <v>12.12</v>
      </c>
      <c r="G18" s="834" t="s">
        <v>295</v>
      </c>
      <c r="H18" s="770">
        <v>12.12</v>
      </c>
      <c r="I18" s="770">
        <v>4500</v>
      </c>
      <c r="J18" s="779">
        <v>58</v>
      </c>
      <c r="K18" s="851" t="s">
        <v>1661</v>
      </c>
      <c r="L18" s="851">
        <v>10</v>
      </c>
      <c r="M18" s="770" t="s">
        <v>1610</v>
      </c>
      <c r="N18" s="770" t="s">
        <v>1662</v>
      </c>
      <c r="O18" s="770">
        <v>7.89</v>
      </c>
      <c r="P18" s="851" t="s">
        <v>2343</v>
      </c>
      <c r="Q18" s="770">
        <v>8.91</v>
      </c>
      <c r="R18" s="770">
        <v>6000</v>
      </c>
      <c r="S18" s="767">
        <v>103</v>
      </c>
      <c r="T18" s="851" t="s">
        <v>2235</v>
      </c>
      <c r="U18" s="834">
        <v>15</v>
      </c>
      <c r="V18" s="834" t="s">
        <v>2236</v>
      </c>
      <c r="W18" s="770" t="s">
        <v>2237</v>
      </c>
      <c r="X18" s="770">
        <v>11.93</v>
      </c>
      <c r="Y18" s="834" t="s">
        <v>295</v>
      </c>
      <c r="Z18" s="770">
        <v>11.93</v>
      </c>
      <c r="AA18" s="770">
        <v>100</v>
      </c>
      <c r="AB18" s="255">
        <v>148</v>
      </c>
      <c r="AC18" s="851" t="s">
        <v>1761</v>
      </c>
      <c r="AD18" s="834">
        <v>20</v>
      </c>
      <c r="AE18" s="834" t="s">
        <v>33</v>
      </c>
      <c r="AF18" s="770" t="s">
        <v>45</v>
      </c>
      <c r="AG18" s="770">
        <v>13.139999999999999</v>
      </c>
      <c r="AH18" s="834" t="s">
        <v>295</v>
      </c>
      <c r="AI18" s="770">
        <v>13.139999999999999</v>
      </c>
      <c r="AJ18" s="770">
        <v>50</v>
      </c>
      <c r="AK18" s="767">
        <v>193</v>
      </c>
      <c r="AL18" s="851" t="s">
        <v>1958</v>
      </c>
      <c r="AM18" s="834">
        <v>20</v>
      </c>
      <c r="AN18" s="834" t="s">
        <v>1959</v>
      </c>
      <c r="AO18" s="770" t="s">
        <v>1960</v>
      </c>
      <c r="AP18" s="770">
        <v>12.03</v>
      </c>
      <c r="AQ18" s="834" t="s">
        <v>295</v>
      </c>
      <c r="AR18" s="770">
        <v>12.03</v>
      </c>
      <c r="AS18" s="770">
        <v>250</v>
      </c>
      <c r="AT18" s="767">
        <v>238</v>
      </c>
      <c r="AU18" s="851" t="s">
        <v>2684</v>
      </c>
      <c r="AV18" s="834">
        <v>20</v>
      </c>
      <c r="AW18" s="834" t="s">
        <v>2683</v>
      </c>
      <c r="AX18" s="770" t="s">
        <v>2685</v>
      </c>
      <c r="AY18" s="770">
        <v>12.75</v>
      </c>
      <c r="AZ18" s="834" t="s">
        <v>2872</v>
      </c>
      <c r="BA18" s="770">
        <v>12.675000000000001</v>
      </c>
      <c r="BB18" s="770">
        <v>8374.2900000000009</v>
      </c>
      <c r="BC18" s="779">
        <v>39</v>
      </c>
      <c r="BD18" s="1708" t="s">
        <v>2531</v>
      </c>
      <c r="BE18" s="779">
        <v>10</v>
      </c>
      <c r="BF18" s="779" t="s">
        <v>2487</v>
      </c>
      <c r="BG18" s="779" t="s">
        <v>2505</v>
      </c>
      <c r="BH18" s="1601" t="s">
        <v>1914</v>
      </c>
      <c r="BI18" s="779" t="s">
        <v>295</v>
      </c>
      <c r="BJ18" s="1604" t="s">
        <v>1914</v>
      </c>
      <c r="BK18" s="649">
        <v>23.04</v>
      </c>
      <c r="BL18" s="779">
        <v>84</v>
      </c>
      <c r="BM18" s="1608" t="s">
        <v>2590</v>
      </c>
      <c r="BN18" s="914">
        <v>10</v>
      </c>
      <c r="BO18" s="866" t="s">
        <v>2736</v>
      </c>
      <c r="BP18" s="779" t="s">
        <v>2737</v>
      </c>
      <c r="BQ18" s="1604" t="s">
        <v>2480</v>
      </c>
      <c r="BR18" s="1606" t="s">
        <v>295</v>
      </c>
      <c r="BS18" s="1604" t="s">
        <v>2480</v>
      </c>
      <c r="BT18" s="541">
        <v>2121.2341000000001</v>
      </c>
    </row>
    <row r="19" spans="1:72" s="253" customFormat="1" ht="12.6" customHeight="1">
      <c r="A19" s="821">
        <v>14</v>
      </c>
      <c r="B19" s="821" t="s">
        <v>2938</v>
      </c>
      <c r="C19" s="821">
        <v>2</v>
      </c>
      <c r="D19" s="821" t="s">
        <v>2939</v>
      </c>
      <c r="E19" s="821" t="s">
        <v>2940</v>
      </c>
      <c r="F19" s="715">
        <v>10.98</v>
      </c>
      <c r="G19" s="821" t="s">
        <v>295</v>
      </c>
      <c r="H19" s="715">
        <v>10.98</v>
      </c>
      <c r="I19" s="542">
        <v>4500</v>
      </c>
      <c r="J19" s="803">
        <v>59</v>
      </c>
      <c r="K19" s="803" t="s">
        <v>1876</v>
      </c>
      <c r="L19" s="803">
        <v>10</v>
      </c>
      <c r="M19" s="803" t="s">
        <v>1877</v>
      </c>
      <c r="N19" s="803" t="s">
        <v>1894</v>
      </c>
      <c r="O19" s="835">
        <v>5.63</v>
      </c>
      <c r="P19" s="803" t="s">
        <v>1886</v>
      </c>
      <c r="Q19" s="835">
        <v>5.77</v>
      </c>
      <c r="R19" s="835">
        <v>4500</v>
      </c>
      <c r="S19" s="821">
        <v>104</v>
      </c>
      <c r="T19" s="821" t="s">
        <v>1764</v>
      </c>
      <c r="U19" s="821">
        <v>15</v>
      </c>
      <c r="V19" s="848" t="s">
        <v>972</v>
      </c>
      <c r="W19" s="821" t="s">
        <v>973</v>
      </c>
      <c r="X19" s="542">
        <v>12</v>
      </c>
      <c r="Y19" s="821" t="s">
        <v>295</v>
      </c>
      <c r="Z19" s="542">
        <v>12</v>
      </c>
      <c r="AA19" s="542">
        <v>100</v>
      </c>
      <c r="AB19" s="821">
        <v>149</v>
      </c>
      <c r="AC19" s="821" t="s">
        <v>1765</v>
      </c>
      <c r="AD19" s="821">
        <v>20</v>
      </c>
      <c r="AE19" s="848" t="s">
        <v>34</v>
      </c>
      <c r="AF19" s="821" t="s">
        <v>46</v>
      </c>
      <c r="AG19" s="542">
        <v>13.139999999999999</v>
      </c>
      <c r="AH19" s="821" t="s">
        <v>295</v>
      </c>
      <c r="AI19" s="542">
        <v>13.139999999999999</v>
      </c>
      <c r="AJ19" s="542">
        <v>50</v>
      </c>
      <c r="AK19" s="821">
        <v>194</v>
      </c>
      <c r="AL19" s="821" t="s">
        <v>1777</v>
      </c>
      <c r="AM19" s="821">
        <v>20</v>
      </c>
      <c r="AN19" s="848" t="s">
        <v>1778</v>
      </c>
      <c r="AO19" s="821" t="s">
        <v>1779</v>
      </c>
      <c r="AP19" s="542">
        <v>12.07</v>
      </c>
      <c r="AQ19" s="821" t="s">
        <v>295</v>
      </c>
      <c r="AR19" s="542">
        <v>12.07</v>
      </c>
      <c r="AS19" s="542">
        <v>325</v>
      </c>
      <c r="AT19" s="2360" t="s">
        <v>2000</v>
      </c>
      <c r="AU19" s="2360"/>
      <c r="AV19" s="2360"/>
      <c r="AW19" s="2360"/>
      <c r="AX19" s="2360"/>
      <c r="AY19" s="542"/>
      <c r="AZ19" s="821"/>
      <c r="BA19" s="542"/>
      <c r="BB19" s="542"/>
      <c r="BC19" s="803">
        <v>40</v>
      </c>
      <c r="BD19" s="1707" t="s">
        <v>2532</v>
      </c>
      <c r="BE19" s="803">
        <v>10</v>
      </c>
      <c r="BF19" s="803" t="s">
        <v>2487</v>
      </c>
      <c r="BG19" s="803" t="s">
        <v>2505</v>
      </c>
      <c r="BH19" s="1602" t="s">
        <v>1914</v>
      </c>
      <c r="BI19" s="803" t="s">
        <v>295</v>
      </c>
      <c r="BJ19" s="1603" t="s">
        <v>1914</v>
      </c>
      <c r="BK19" s="835">
        <v>56.47</v>
      </c>
      <c r="BL19" s="803">
        <v>85</v>
      </c>
      <c r="BM19" s="1607" t="s">
        <v>2592</v>
      </c>
      <c r="BN19" s="803">
        <v>10</v>
      </c>
      <c r="BO19" s="803" t="s">
        <v>2736</v>
      </c>
      <c r="BP19" s="803" t="s">
        <v>2737</v>
      </c>
      <c r="BQ19" s="1603" t="s">
        <v>2480</v>
      </c>
      <c r="BR19" s="1605" t="s">
        <v>295</v>
      </c>
      <c r="BS19" s="1603" t="s">
        <v>2480</v>
      </c>
      <c r="BT19" s="835">
        <v>327.95440000000002</v>
      </c>
    </row>
    <row r="20" spans="1:72" s="253" customFormat="1" ht="12.6" customHeight="1">
      <c r="A20" s="767">
        <v>15</v>
      </c>
      <c r="B20" s="851" t="s">
        <v>2782</v>
      </c>
      <c r="C20" s="767">
        <v>3</v>
      </c>
      <c r="D20" s="767" t="s">
        <v>2780</v>
      </c>
      <c r="E20" s="767" t="s">
        <v>2783</v>
      </c>
      <c r="F20" s="770">
        <v>13.26</v>
      </c>
      <c r="G20" s="834" t="s">
        <v>2838</v>
      </c>
      <c r="H20" s="770">
        <v>13.18</v>
      </c>
      <c r="I20" s="770">
        <v>929.76</v>
      </c>
      <c r="J20" s="779">
        <v>60</v>
      </c>
      <c r="K20" s="779" t="s">
        <v>1898</v>
      </c>
      <c r="L20" s="779">
        <v>10</v>
      </c>
      <c r="M20" s="779" t="s">
        <v>1899</v>
      </c>
      <c r="N20" s="779" t="s">
        <v>1900</v>
      </c>
      <c r="O20" s="649">
        <v>6.01</v>
      </c>
      <c r="P20" s="779" t="s">
        <v>1965</v>
      </c>
      <c r="Q20" s="649">
        <v>5.99</v>
      </c>
      <c r="R20" s="649">
        <v>4500</v>
      </c>
      <c r="S20" s="767">
        <v>105</v>
      </c>
      <c r="T20" s="851" t="s">
        <v>1770</v>
      </c>
      <c r="U20" s="834">
        <v>15</v>
      </c>
      <c r="V20" s="834" t="s">
        <v>974</v>
      </c>
      <c r="W20" s="770" t="s">
        <v>975</v>
      </c>
      <c r="X20" s="770">
        <v>12.1</v>
      </c>
      <c r="Y20" s="834" t="s">
        <v>295</v>
      </c>
      <c r="Z20" s="770">
        <v>12.1</v>
      </c>
      <c r="AA20" s="770">
        <v>100</v>
      </c>
      <c r="AB20" s="255">
        <v>150</v>
      </c>
      <c r="AC20" s="851" t="s">
        <v>1771</v>
      </c>
      <c r="AD20" s="834">
        <v>20</v>
      </c>
      <c r="AE20" s="834" t="s">
        <v>35</v>
      </c>
      <c r="AF20" s="770" t="s">
        <v>47</v>
      </c>
      <c r="AG20" s="770">
        <v>13.13</v>
      </c>
      <c r="AH20" s="834" t="s">
        <v>295</v>
      </c>
      <c r="AI20" s="770">
        <v>13.13</v>
      </c>
      <c r="AJ20" s="770">
        <v>50</v>
      </c>
      <c r="AK20" s="767">
        <v>195</v>
      </c>
      <c r="AL20" s="851" t="s">
        <v>1782</v>
      </c>
      <c r="AM20" s="834">
        <v>20</v>
      </c>
      <c r="AN20" s="834" t="s">
        <v>1783</v>
      </c>
      <c r="AO20" s="770" t="s">
        <v>1784</v>
      </c>
      <c r="AP20" s="770">
        <v>12.1</v>
      </c>
      <c r="AQ20" s="834" t="s">
        <v>295</v>
      </c>
      <c r="AR20" s="770">
        <v>12.1</v>
      </c>
      <c r="AS20" s="770">
        <v>325</v>
      </c>
      <c r="AT20" s="767">
        <v>1</v>
      </c>
      <c r="AU20" s="851" t="s">
        <v>2001</v>
      </c>
      <c r="AV20" s="834">
        <v>5</v>
      </c>
      <c r="AW20" s="834" t="s">
        <v>2019</v>
      </c>
      <c r="AX20" s="770" t="s">
        <v>2020</v>
      </c>
      <c r="AY20" s="770">
        <v>4.6900000000000004</v>
      </c>
      <c r="AZ20" s="834" t="s">
        <v>2021</v>
      </c>
      <c r="BA20" s="770">
        <v>4.6900000000000004</v>
      </c>
      <c r="BB20" s="770">
        <v>8000</v>
      </c>
      <c r="BC20" s="779">
        <v>41</v>
      </c>
      <c r="BD20" s="1708" t="s">
        <v>2529</v>
      </c>
      <c r="BE20" s="779">
        <v>9</v>
      </c>
      <c r="BF20" s="649" t="s">
        <v>2487</v>
      </c>
      <c r="BG20" s="779" t="s">
        <v>2488</v>
      </c>
      <c r="BH20" s="1601" t="s">
        <v>1914</v>
      </c>
      <c r="BI20" s="779" t="s">
        <v>295</v>
      </c>
      <c r="BJ20" s="1604" t="s">
        <v>1914</v>
      </c>
      <c r="BK20" s="649">
        <v>486.87</v>
      </c>
      <c r="BL20" s="779">
        <v>86</v>
      </c>
      <c r="BM20" s="1608" t="s">
        <v>2591</v>
      </c>
      <c r="BN20" s="914">
        <v>10</v>
      </c>
      <c r="BO20" s="866" t="s">
        <v>2736</v>
      </c>
      <c r="BP20" s="779" t="s">
        <v>2737</v>
      </c>
      <c r="BQ20" s="1604" t="s">
        <v>2480</v>
      </c>
      <c r="BR20" s="1606" t="s">
        <v>295</v>
      </c>
      <c r="BS20" s="1604" t="s">
        <v>2480</v>
      </c>
      <c r="BT20" s="541">
        <v>1976.9058</v>
      </c>
    </row>
    <row r="21" spans="1:72" s="253" customFormat="1" ht="12.6" customHeight="1">
      <c r="A21" s="821">
        <v>16</v>
      </c>
      <c r="B21" s="821" t="s">
        <v>2866</v>
      </c>
      <c r="C21" s="821">
        <v>3</v>
      </c>
      <c r="D21" s="821" t="s">
        <v>2867</v>
      </c>
      <c r="E21" s="821" t="s">
        <v>2868</v>
      </c>
      <c r="F21" s="715">
        <v>13.19</v>
      </c>
      <c r="G21" s="821" t="s">
        <v>295</v>
      </c>
      <c r="H21" s="715">
        <v>13.19</v>
      </c>
      <c r="I21" s="542">
        <v>300</v>
      </c>
      <c r="J21" s="803">
        <v>61</v>
      </c>
      <c r="K21" s="803" t="s">
        <v>1911</v>
      </c>
      <c r="L21" s="803">
        <v>10</v>
      </c>
      <c r="M21" s="803" t="s">
        <v>1912</v>
      </c>
      <c r="N21" s="803" t="s">
        <v>1913</v>
      </c>
      <c r="O21" s="835">
        <v>5.8</v>
      </c>
      <c r="P21" s="803" t="s">
        <v>1926</v>
      </c>
      <c r="Q21" s="835">
        <v>5.38</v>
      </c>
      <c r="R21" s="835">
        <v>4500</v>
      </c>
      <c r="S21" s="821">
        <v>106</v>
      </c>
      <c r="T21" s="821" t="s">
        <v>1943</v>
      </c>
      <c r="U21" s="821">
        <v>15</v>
      </c>
      <c r="V21" s="848" t="s">
        <v>1944</v>
      </c>
      <c r="W21" s="821" t="s">
        <v>1945</v>
      </c>
      <c r="X21" s="542">
        <v>12.2</v>
      </c>
      <c r="Y21" s="821" t="s">
        <v>295</v>
      </c>
      <c r="Z21" s="542">
        <v>12.2</v>
      </c>
      <c r="AA21" s="542">
        <v>100</v>
      </c>
      <c r="AB21" s="821">
        <v>151</v>
      </c>
      <c r="AC21" s="821" t="s">
        <v>1949</v>
      </c>
      <c r="AD21" s="821">
        <v>20</v>
      </c>
      <c r="AE21" s="848" t="s">
        <v>1950</v>
      </c>
      <c r="AF21" s="821" t="s">
        <v>1951</v>
      </c>
      <c r="AG21" s="542">
        <v>13.09</v>
      </c>
      <c r="AH21" s="821" t="s">
        <v>295</v>
      </c>
      <c r="AI21" s="542">
        <v>13.09</v>
      </c>
      <c r="AJ21" s="542">
        <v>50</v>
      </c>
      <c r="AK21" s="821">
        <v>196</v>
      </c>
      <c r="AL21" s="821" t="s">
        <v>1791</v>
      </c>
      <c r="AM21" s="821">
        <v>20</v>
      </c>
      <c r="AN21" s="848" t="s">
        <v>1792</v>
      </c>
      <c r="AO21" s="821" t="s">
        <v>1793</v>
      </c>
      <c r="AP21" s="542">
        <v>12.12</v>
      </c>
      <c r="AQ21" s="821" t="s">
        <v>295</v>
      </c>
      <c r="AR21" s="542">
        <v>12.12</v>
      </c>
      <c r="AS21" s="542">
        <v>341</v>
      </c>
      <c r="AT21" s="821">
        <v>2</v>
      </c>
      <c r="AU21" s="821" t="s">
        <v>2106</v>
      </c>
      <c r="AV21" s="821">
        <v>5</v>
      </c>
      <c r="AW21" s="848" t="s">
        <v>2107</v>
      </c>
      <c r="AX21" s="821" t="s">
        <v>2108</v>
      </c>
      <c r="AY21" s="542">
        <v>4.6500000000000004</v>
      </c>
      <c r="AZ21" s="821" t="s">
        <v>295</v>
      </c>
      <c r="BA21" s="542" t="s">
        <v>295</v>
      </c>
      <c r="BB21" s="542">
        <v>5000</v>
      </c>
      <c r="BC21" s="803">
        <v>42</v>
      </c>
      <c r="BD21" s="1707" t="s">
        <v>2533</v>
      </c>
      <c r="BE21" s="803">
        <v>10</v>
      </c>
      <c r="BF21" s="803" t="s">
        <v>2522</v>
      </c>
      <c r="BG21" s="803" t="s">
        <v>2525</v>
      </c>
      <c r="BH21" s="1602" t="s">
        <v>1914</v>
      </c>
      <c r="BI21" s="803" t="s">
        <v>295</v>
      </c>
      <c r="BJ21" s="1603" t="s">
        <v>1914</v>
      </c>
      <c r="BK21" s="835">
        <v>47.85</v>
      </c>
      <c r="BL21" s="803">
        <v>87</v>
      </c>
      <c r="BM21" s="1607" t="s">
        <v>2738</v>
      </c>
      <c r="BN21" s="803">
        <v>10</v>
      </c>
      <c r="BO21" s="803" t="s">
        <v>2736</v>
      </c>
      <c r="BP21" s="803" t="s">
        <v>2737</v>
      </c>
      <c r="BQ21" s="1603" t="s">
        <v>2480</v>
      </c>
      <c r="BR21" s="1605" t="s">
        <v>295</v>
      </c>
      <c r="BS21" s="1603" t="s">
        <v>2480</v>
      </c>
      <c r="BT21" s="835">
        <v>746.72860000000003</v>
      </c>
    </row>
    <row r="22" spans="1:72" s="253" customFormat="1" ht="12.6" customHeight="1">
      <c r="A22" s="767">
        <v>17</v>
      </c>
      <c r="B22" s="851" t="s">
        <v>2894</v>
      </c>
      <c r="C22" s="767">
        <v>3</v>
      </c>
      <c r="D22" s="767" t="s">
        <v>2892</v>
      </c>
      <c r="E22" s="767" t="s">
        <v>2895</v>
      </c>
      <c r="F22" s="770">
        <v>13.19</v>
      </c>
      <c r="G22" s="834" t="s">
        <v>2939</v>
      </c>
      <c r="H22" s="770">
        <v>12.54</v>
      </c>
      <c r="I22" s="770">
        <f>500+388.36</f>
        <v>888.36</v>
      </c>
      <c r="J22" s="779">
        <v>62</v>
      </c>
      <c r="K22" s="779" t="s">
        <v>1966</v>
      </c>
      <c r="L22" s="779">
        <v>10</v>
      </c>
      <c r="M22" s="779" t="s">
        <v>1967</v>
      </c>
      <c r="N22" s="779" t="s">
        <v>1968</v>
      </c>
      <c r="O22" s="649">
        <v>5.4</v>
      </c>
      <c r="P22" s="779" t="s">
        <v>1970</v>
      </c>
      <c r="Q22" s="649">
        <v>6.33</v>
      </c>
      <c r="R22" s="649">
        <v>4000</v>
      </c>
      <c r="S22" s="767">
        <v>107</v>
      </c>
      <c r="T22" s="851" t="s">
        <v>1946</v>
      </c>
      <c r="U22" s="834">
        <v>15</v>
      </c>
      <c r="V22" s="834" t="s">
        <v>1947</v>
      </c>
      <c r="W22" s="770" t="s">
        <v>1948</v>
      </c>
      <c r="X22" s="770">
        <v>12.3</v>
      </c>
      <c r="Y22" s="834" t="s">
        <v>295</v>
      </c>
      <c r="Z22" s="770">
        <v>12.3</v>
      </c>
      <c r="AA22" s="770">
        <v>100</v>
      </c>
      <c r="AB22" s="255">
        <v>152</v>
      </c>
      <c r="AC22" s="851" t="s">
        <v>1952</v>
      </c>
      <c r="AD22" s="834">
        <v>20</v>
      </c>
      <c r="AE22" s="834" t="s">
        <v>1953</v>
      </c>
      <c r="AF22" s="770" t="s">
        <v>1954</v>
      </c>
      <c r="AG22" s="770">
        <v>13.07</v>
      </c>
      <c r="AH22" s="834" t="s">
        <v>295</v>
      </c>
      <c r="AI22" s="770">
        <v>13.07</v>
      </c>
      <c r="AJ22" s="770">
        <v>125</v>
      </c>
      <c r="AK22" s="767">
        <v>197</v>
      </c>
      <c r="AL22" s="851" t="s">
        <v>1801</v>
      </c>
      <c r="AM22" s="834">
        <v>20</v>
      </c>
      <c r="AN22" s="834" t="s">
        <v>1802</v>
      </c>
      <c r="AO22" s="770" t="s">
        <v>1803</v>
      </c>
      <c r="AP22" s="770">
        <v>12.12</v>
      </c>
      <c r="AQ22" s="834" t="s">
        <v>295</v>
      </c>
      <c r="AR22" s="770">
        <v>12.12</v>
      </c>
      <c r="AS22" s="770">
        <v>300</v>
      </c>
      <c r="AT22" s="767">
        <v>3</v>
      </c>
      <c r="AU22" s="851" t="s">
        <v>2165</v>
      </c>
      <c r="AV22" s="834">
        <v>5</v>
      </c>
      <c r="AW22" s="834" t="s">
        <v>2147</v>
      </c>
      <c r="AX22" s="770" t="s">
        <v>2151</v>
      </c>
      <c r="AY22" s="770">
        <v>4.75</v>
      </c>
      <c r="AZ22" s="834" t="s">
        <v>295</v>
      </c>
      <c r="BA22" s="770" t="s">
        <v>295</v>
      </c>
      <c r="BB22" s="770">
        <v>5000</v>
      </c>
      <c r="BC22" s="779">
        <v>43</v>
      </c>
      <c r="BD22" s="1708" t="s">
        <v>2534</v>
      </c>
      <c r="BE22" s="779">
        <v>10</v>
      </c>
      <c r="BF22" s="779" t="s">
        <v>2522</v>
      </c>
      <c r="BG22" s="779" t="s">
        <v>2525</v>
      </c>
      <c r="BH22" s="1601" t="s">
        <v>1914</v>
      </c>
      <c r="BI22" s="779" t="s">
        <v>295</v>
      </c>
      <c r="BJ22" s="1604" t="s">
        <v>1914</v>
      </c>
      <c r="BK22" s="649">
        <v>69.86</v>
      </c>
      <c r="BL22" s="779">
        <v>88</v>
      </c>
      <c r="BM22" s="1608" t="s">
        <v>2595</v>
      </c>
      <c r="BN22" s="914">
        <v>10</v>
      </c>
      <c r="BO22" s="866" t="s">
        <v>2736</v>
      </c>
      <c r="BP22" s="779" t="s">
        <v>2737</v>
      </c>
      <c r="BQ22" s="1604" t="s">
        <v>2480</v>
      </c>
      <c r="BR22" s="1606" t="s">
        <v>295</v>
      </c>
      <c r="BS22" s="1604" t="s">
        <v>2480</v>
      </c>
      <c r="BT22" s="541">
        <v>251.9743</v>
      </c>
    </row>
    <row r="23" spans="1:72" s="253" customFormat="1" ht="12.6" customHeight="1">
      <c r="A23" s="821">
        <v>18</v>
      </c>
      <c r="B23" s="821" t="s">
        <v>1785</v>
      </c>
      <c r="C23" s="821">
        <v>5</v>
      </c>
      <c r="D23" s="821" t="s">
        <v>1786</v>
      </c>
      <c r="E23" s="821" t="s">
        <v>1787</v>
      </c>
      <c r="F23" s="715">
        <v>8.1199999999999992</v>
      </c>
      <c r="G23" s="821" t="s">
        <v>295</v>
      </c>
      <c r="H23" s="715">
        <v>8.1199999999999992</v>
      </c>
      <c r="I23" s="542">
        <v>4500</v>
      </c>
      <c r="J23" s="803">
        <v>63</v>
      </c>
      <c r="K23" s="803" t="s">
        <v>1992</v>
      </c>
      <c r="L23" s="803">
        <v>10</v>
      </c>
      <c r="M23" s="803" t="s">
        <v>1993</v>
      </c>
      <c r="N23" s="803" t="s">
        <v>1994</v>
      </c>
      <c r="O23" s="835">
        <v>6.8</v>
      </c>
      <c r="P23" s="803" t="s">
        <v>2032</v>
      </c>
      <c r="Q23" s="835">
        <v>7.4</v>
      </c>
      <c r="R23" s="835">
        <v>4500</v>
      </c>
      <c r="S23" s="821">
        <v>108</v>
      </c>
      <c r="T23" s="821" t="s">
        <v>1775</v>
      </c>
      <c r="U23" s="821">
        <v>15</v>
      </c>
      <c r="V23" s="848" t="s">
        <v>1008</v>
      </c>
      <c r="W23" s="821" t="s">
        <v>1009</v>
      </c>
      <c r="X23" s="542">
        <v>12.379999999999999</v>
      </c>
      <c r="Y23" s="821" t="s">
        <v>295</v>
      </c>
      <c r="Z23" s="542">
        <v>12.379999999999999</v>
      </c>
      <c r="AA23" s="542">
        <v>100</v>
      </c>
      <c r="AB23" s="821">
        <v>153</v>
      </c>
      <c r="AC23" s="821" t="s">
        <v>1776</v>
      </c>
      <c r="AD23" s="821">
        <v>20</v>
      </c>
      <c r="AE23" s="848" t="s">
        <v>36</v>
      </c>
      <c r="AF23" s="821" t="s">
        <v>1273</v>
      </c>
      <c r="AG23" s="542">
        <v>13.07</v>
      </c>
      <c r="AH23" s="821" t="s">
        <v>295</v>
      </c>
      <c r="AI23" s="542">
        <v>13.07</v>
      </c>
      <c r="AJ23" s="542">
        <v>125</v>
      </c>
      <c r="AK23" s="821">
        <v>198</v>
      </c>
      <c r="AL23" s="821" t="s">
        <v>1809</v>
      </c>
      <c r="AM23" s="821">
        <v>20</v>
      </c>
      <c r="AN23" s="848" t="s">
        <v>1810</v>
      </c>
      <c r="AO23" s="821" t="s">
        <v>1811</v>
      </c>
      <c r="AP23" s="542">
        <v>12.16</v>
      </c>
      <c r="AQ23" s="821" t="s">
        <v>295</v>
      </c>
      <c r="AR23" s="542">
        <v>12.16</v>
      </c>
      <c r="AS23" s="542">
        <v>300</v>
      </c>
      <c r="AT23" s="821">
        <v>4</v>
      </c>
      <c r="AU23" s="821" t="s">
        <v>2672</v>
      </c>
      <c r="AV23" s="821">
        <v>5</v>
      </c>
      <c r="AW23" s="848" t="s">
        <v>2668</v>
      </c>
      <c r="AX23" s="821" t="s">
        <v>2673</v>
      </c>
      <c r="AY23" s="542">
        <v>10.4</v>
      </c>
      <c r="AZ23" s="821" t="s">
        <v>295</v>
      </c>
      <c r="BA23" s="542" t="s">
        <v>295</v>
      </c>
      <c r="BB23" s="542">
        <v>1000</v>
      </c>
      <c r="BC23" s="803">
        <v>44</v>
      </c>
      <c r="BD23" s="1707" t="s">
        <v>2531</v>
      </c>
      <c r="BE23" s="803">
        <v>10</v>
      </c>
      <c r="BF23" s="803" t="s">
        <v>2522</v>
      </c>
      <c r="BG23" s="803" t="s">
        <v>2525</v>
      </c>
      <c r="BH23" s="1602" t="s">
        <v>1914</v>
      </c>
      <c r="BI23" s="803" t="s">
        <v>295</v>
      </c>
      <c r="BJ23" s="1603" t="s">
        <v>1914</v>
      </c>
      <c r="BK23" s="835">
        <v>473.56</v>
      </c>
      <c r="BL23" s="803">
        <v>89</v>
      </c>
      <c r="BM23" s="1607" t="s">
        <v>2528</v>
      </c>
      <c r="BN23" s="803">
        <v>10</v>
      </c>
      <c r="BO23" s="803" t="s">
        <v>2736</v>
      </c>
      <c r="BP23" s="803" t="s">
        <v>2737</v>
      </c>
      <c r="BQ23" s="1603" t="s">
        <v>2480</v>
      </c>
      <c r="BR23" s="1605" t="s">
        <v>295</v>
      </c>
      <c r="BS23" s="1603" t="s">
        <v>2480</v>
      </c>
      <c r="BT23" s="835">
        <v>333.45920000000001</v>
      </c>
    </row>
    <row r="24" spans="1:72" s="253" customFormat="1" ht="12.6" customHeight="1">
      <c r="A24" s="767">
        <v>19</v>
      </c>
      <c r="B24" s="851" t="s">
        <v>1794</v>
      </c>
      <c r="C24" s="767">
        <v>5</v>
      </c>
      <c r="D24" s="767" t="s">
        <v>1596</v>
      </c>
      <c r="E24" s="767" t="s">
        <v>1597</v>
      </c>
      <c r="F24" s="770">
        <v>8.0500000000000007</v>
      </c>
      <c r="G24" s="834" t="s">
        <v>1219</v>
      </c>
      <c r="H24" s="770">
        <v>4.05</v>
      </c>
      <c r="I24" s="770">
        <v>4500</v>
      </c>
      <c r="J24" s="779">
        <v>64</v>
      </c>
      <c r="K24" s="779" t="s">
        <v>2111</v>
      </c>
      <c r="L24" s="779">
        <v>10</v>
      </c>
      <c r="M24" s="779" t="s">
        <v>2112</v>
      </c>
      <c r="N24" s="779" t="s">
        <v>2113</v>
      </c>
      <c r="O24" s="649">
        <v>7.1</v>
      </c>
      <c r="P24" s="779" t="s">
        <v>2147</v>
      </c>
      <c r="Q24" s="649">
        <v>7.75</v>
      </c>
      <c r="R24" s="649">
        <v>4500</v>
      </c>
      <c r="S24" s="767">
        <v>109</v>
      </c>
      <c r="T24" s="851" t="s">
        <v>1780</v>
      </c>
      <c r="U24" s="834">
        <v>15</v>
      </c>
      <c r="V24" s="834" t="s">
        <v>1010</v>
      </c>
      <c r="W24" s="770" t="s">
        <v>1011</v>
      </c>
      <c r="X24" s="770">
        <v>12.379999999999999</v>
      </c>
      <c r="Y24" s="834" t="s">
        <v>295</v>
      </c>
      <c r="Z24" s="770">
        <v>12.379999999999999</v>
      </c>
      <c r="AA24" s="770">
        <v>200</v>
      </c>
      <c r="AB24" s="255">
        <v>154</v>
      </c>
      <c r="AC24" s="851" t="s">
        <v>1781</v>
      </c>
      <c r="AD24" s="834">
        <v>20</v>
      </c>
      <c r="AE24" s="834" t="s">
        <v>37</v>
      </c>
      <c r="AF24" s="770" t="s">
        <v>48</v>
      </c>
      <c r="AG24" s="770">
        <v>13.07</v>
      </c>
      <c r="AH24" s="834" t="s">
        <v>295</v>
      </c>
      <c r="AI24" s="770">
        <v>13.07</v>
      </c>
      <c r="AJ24" s="770">
        <v>125</v>
      </c>
      <c r="AK24" s="767">
        <v>199</v>
      </c>
      <c r="AL24" s="851" t="s">
        <v>1816</v>
      </c>
      <c r="AM24" s="834">
        <v>20</v>
      </c>
      <c r="AN24" s="834" t="s">
        <v>1817</v>
      </c>
      <c r="AO24" s="770" t="s">
        <v>1384</v>
      </c>
      <c r="AP24" s="770">
        <v>12.16</v>
      </c>
      <c r="AQ24" s="834" t="s">
        <v>295</v>
      </c>
      <c r="AR24" s="770">
        <v>12.16</v>
      </c>
      <c r="AS24" s="770">
        <v>300</v>
      </c>
      <c r="AT24" s="2368" t="s">
        <v>2018</v>
      </c>
      <c r="AU24" s="2368"/>
      <c r="AV24" s="2368"/>
      <c r="AW24" s="2368"/>
      <c r="AX24" s="2368"/>
      <c r="AY24" s="770"/>
      <c r="AZ24" s="834"/>
      <c r="BA24" s="770"/>
      <c r="BB24" s="770"/>
      <c r="BC24" s="834">
        <v>45</v>
      </c>
      <c r="BD24" s="1708" t="s">
        <v>2590</v>
      </c>
      <c r="BE24" s="779">
        <v>8</v>
      </c>
      <c r="BF24" s="779" t="s">
        <v>1942</v>
      </c>
      <c r="BG24" s="779" t="s">
        <v>2587</v>
      </c>
      <c r="BH24" s="1601" t="s">
        <v>2480</v>
      </c>
      <c r="BI24" s="779" t="s">
        <v>295</v>
      </c>
      <c r="BJ24" s="1604" t="s">
        <v>2480</v>
      </c>
      <c r="BK24" s="649">
        <v>511.65</v>
      </c>
      <c r="BL24" s="779">
        <v>90</v>
      </c>
      <c r="BM24" s="1608" t="s">
        <v>2604</v>
      </c>
      <c r="BN24" s="914">
        <v>10</v>
      </c>
      <c r="BO24" s="866" t="s">
        <v>2736</v>
      </c>
      <c r="BP24" s="779" t="s">
        <v>2737</v>
      </c>
      <c r="BQ24" s="1604" t="s">
        <v>2480</v>
      </c>
      <c r="BR24" s="1606" t="s">
        <v>295</v>
      </c>
      <c r="BS24" s="1604" t="s">
        <v>2480</v>
      </c>
      <c r="BT24" s="541">
        <v>88.062200000000004</v>
      </c>
    </row>
    <row r="25" spans="1:72" s="253" customFormat="1" ht="12.6" customHeight="1">
      <c r="A25" s="821">
        <v>20</v>
      </c>
      <c r="B25" s="821" t="s">
        <v>1804</v>
      </c>
      <c r="C25" s="821">
        <v>5</v>
      </c>
      <c r="D25" s="821" t="s">
        <v>1608</v>
      </c>
      <c r="E25" s="821" t="s">
        <v>1609</v>
      </c>
      <c r="F25" s="715">
        <v>7.19</v>
      </c>
      <c r="G25" s="821" t="s">
        <v>1194</v>
      </c>
      <c r="H25" s="715">
        <v>6.74</v>
      </c>
      <c r="I25" s="542">
        <v>4500</v>
      </c>
      <c r="J25" s="803">
        <v>65</v>
      </c>
      <c r="K25" s="803" t="s">
        <v>2153</v>
      </c>
      <c r="L25" s="803">
        <v>10</v>
      </c>
      <c r="M25" s="835" t="s">
        <v>2154</v>
      </c>
      <c r="N25" s="835" t="s">
        <v>2155</v>
      </c>
      <c r="O25" s="835">
        <v>8</v>
      </c>
      <c r="P25" s="803" t="s">
        <v>2229</v>
      </c>
      <c r="Q25" s="835">
        <v>8.17</v>
      </c>
      <c r="R25" s="835">
        <v>4300</v>
      </c>
      <c r="S25" s="821">
        <v>110</v>
      </c>
      <c r="T25" s="821" t="s">
        <v>1789</v>
      </c>
      <c r="U25" s="821">
        <v>15</v>
      </c>
      <c r="V25" s="848" t="s">
        <v>1012</v>
      </c>
      <c r="W25" s="821" t="s">
        <v>1013</v>
      </c>
      <c r="X25" s="542">
        <v>12.379999999999999</v>
      </c>
      <c r="Y25" s="821" t="s">
        <v>295</v>
      </c>
      <c r="Z25" s="542">
        <v>12.379999999999999</v>
      </c>
      <c r="AA25" s="542">
        <v>200</v>
      </c>
      <c r="AB25" s="821">
        <v>155</v>
      </c>
      <c r="AC25" s="821" t="s">
        <v>1790</v>
      </c>
      <c r="AD25" s="821">
        <v>20</v>
      </c>
      <c r="AE25" s="848" t="s">
        <v>38</v>
      </c>
      <c r="AF25" s="821" t="s">
        <v>49</v>
      </c>
      <c r="AG25" s="542">
        <v>13.04</v>
      </c>
      <c r="AH25" s="821" t="s">
        <v>295</v>
      </c>
      <c r="AI25" s="542">
        <v>13.04</v>
      </c>
      <c r="AJ25" s="542">
        <v>125</v>
      </c>
      <c r="AK25" s="821">
        <v>200</v>
      </c>
      <c r="AL25" s="821" t="s">
        <v>1822</v>
      </c>
      <c r="AM25" s="821">
        <v>20</v>
      </c>
      <c r="AN25" s="848" t="s">
        <v>1823</v>
      </c>
      <c r="AO25" s="821" t="s">
        <v>1824</v>
      </c>
      <c r="AP25" s="542">
        <v>12.16</v>
      </c>
      <c r="AQ25" s="821" t="s">
        <v>295</v>
      </c>
      <c r="AR25" s="542">
        <v>12.16</v>
      </c>
      <c r="AS25" s="542">
        <v>100</v>
      </c>
      <c r="AT25" s="821">
        <v>1</v>
      </c>
      <c r="AU25" s="1695" t="s">
        <v>2258</v>
      </c>
      <c r="AV25" s="821">
        <v>3</v>
      </c>
      <c r="AW25" s="848" t="s">
        <v>2259</v>
      </c>
      <c r="AX25" s="821" t="s">
        <v>2260</v>
      </c>
      <c r="AY25" s="542" t="s">
        <v>1914</v>
      </c>
      <c r="AZ25" s="821" t="s">
        <v>295</v>
      </c>
      <c r="BA25" s="542" t="s">
        <v>1914</v>
      </c>
      <c r="BB25" s="542">
        <v>4.2278000000000002</v>
      </c>
      <c r="BC25" s="848">
        <v>46</v>
      </c>
      <c r="BD25" s="1707" t="s">
        <v>2591</v>
      </c>
      <c r="BE25" s="803">
        <v>8</v>
      </c>
      <c r="BF25" s="803" t="s">
        <v>1942</v>
      </c>
      <c r="BG25" s="803" t="s">
        <v>2587</v>
      </c>
      <c r="BH25" s="1602" t="s">
        <v>2480</v>
      </c>
      <c r="BI25" s="803" t="s">
        <v>295</v>
      </c>
      <c r="BJ25" s="1603" t="s">
        <v>2480</v>
      </c>
      <c r="BK25" s="835">
        <v>373.47250000000003</v>
      </c>
      <c r="BL25" s="803">
        <v>91</v>
      </c>
      <c r="BM25" s="1607" t="s">
        <v>2615</v>
      </c>
      <c r="BN25" s="803">
        <v>9</v>
      </c>
      <c r="BO25" s="803" t="s">
        <v>2792</v>
      </c>
      <c r="BP25" s="803" t="s">
        <v>2793</v>
      </c>
      <c r="BQ25" s="1603" t="s">
        <v>2480</v>
      </c>
      <c r="BR25" s="1605" t="s">
        <v>295</v>
      </c>
      <c r="BS25" s="1603" t="s">
        <v>2480</v>
      </c>
      <c r="BT25" s="835">
        <v>92.1</v>
      </c>
    </row>
    <row r="26" spans="1:72" s="162" customFormat="1" ht="12.6" customHeight="1">
      <c r="A26" s="767">
        <v>21</v>
      </c>
      <c r="B26" s="851" t="s">
        <v>1872</v>
      </c>
      <c r="C26" s="767">
        <v>5</v>
      </c>
      <c r="D26" s="767" t="s">
        <v>1873</v>
      </c>
      <c r="E26" s="767" t="s">
        <v>1874</v>
      </c>
      <c r="F26" s="770">
        <v>4.3600000000000003</v>
      </c>
      <c r="G26" s="834" t="s">
        <v>1218</v>
      </c>
      <c r="H26" s="770">
        <v>5</v>
      </c>
      <c r="I26" s="770">
        <v>4000</v>
      </c>
      <c r="J26" s="779">
        <v>66</v>
      </c>
      <c r="K26" s="779" t="s">
        <v>2175</v>
      </c>
      <c r="L26" s="779">
        <v>10</v>
      </c>
      <c r="M26" s="649" t="s">
        <v>2176</v>
      </c>
      <c r="N26" s="649" t="s">
        <v>2177</v>
      </c>
      <c r="O26" s="649">
        <v>8.1</v>
      </c>
      <c r="P26" s="779" t="s">
        <v>2188</v>
      </c>
      <c r="Q26" s="649">
        <v>7.89</v>
      </c>
      <c r="R26" s="649">
        <v>4500</v>
      </c>
      <c r="S26" s="767">
        <v>111</v>
      </c>
      <c r="T26" s="851" t="s">
        <v>1799</v>
      </c>
      <c r="U26" s="834">
        <v>15</v>
      </c>
      <c r="V26" s="834" t="s">
        <v>1014</v>
      </c>
      <c r="W26" s="770" t="s">
        <v>1015</v>
      </c>
      <c r="X26" s="770">
        <v>12.4</v>
      </c>
      <c r="Y26" s="834" t="s">
        <v>295</v>
      </c>
      <c r="Z26" s="770">
        <v>12.4</v>
      </c>
      <c r="AA26" s="770">
        <v>200</v>
      </c>
      <c r="AB26" s="255">
        <v>156</v>
      </c>
      <c r="AC26" s="851" t="s">
        <v>1800</v>
      </c>
      <c r="AD26" s="834">
        <v>20</v>
      </c>
      <c r="AE26" s="834" t="s">
        <v>39</v>
      </c>
      <c r="AF26" s="770" t="s">
        <v>50</v>
      </c>
      <c r="AG26" s="770">
        <v>13.04</v>
      </c>
      <c r="AH26" s="834" t="s">
        <v>295</v>
      </c>
      <c r="AI26" s="770">
        <v>13.04</v>
      </c>
      <c r="AJ26" s="770">
        <v>125</v>
      </c>
      <c r="AK26" s="767">
        <v>201</v>
      </c>
      <c r="AL26" s="851" t="s">
        <v>1829</v>
      </c>
      <c r="AM26" s="834">
        <v>20</v>
      </c>
      <c r="AN26" s="834" t="s">
        <v>1830</v>
      </c>
      <c r="AO26" s="770" t="s">
        <v>1831</v>
      </c>
      <c r="AP26" s="770">
        <v>12.18</v>
      </c>
      <c r="AQ26" s="834" t="s">
        <v>295</v>
      </c>
      <c r="AR26" s="770">
        <v>12.18</v>
      </c>
      <c r="AS26" s="770">
        <v>100</v>
      </c>
      <c r="AT26" s="767">
        <v>2</v>
      </c>
      <c r="AU26" s="1696" t="s">
        <v>1917</v>
      </c>
      <c r="AV26" s="834">
        <v>7</v>
      </c>
      <c r="AW26" s="834" t="s">
        <v>1915</v>
      </c>
      <c r="AX26" s="770" t="s">
        <v>1916</v>
      </c>
      <c r="AY26" s="770">
        <v>5</v>
      </c>
      <c r="AZ26" s="834" t="s">
        <v>295</v>
      </c>
      <c r="BA26" s="770">
        <v>5</v>
      </c>
      <c r="BB26" s="770">
        <v>1438.54</v>
      </c>
      <c r="BC26" s="834">
        <v>47</v>
      </c>
      <c r="BD26" s="1708" t="s">
        <v>2592</v>
      </c>
      <c r="BE26" s="779">
        <v>8</v>
      </c>
      <c r="BF26" s="779" t="s">
        <v>2588</v>
      </c>
      <c r="BG26" s="779" t="s">
        <v>2598</v>
      </c>
      <c r="BH26" s="1601" t="s">
        <v>2480</v>
      </c>
      <c r="BI26" s="779" t="s">
        <v>295</v>
      </c>
      <c r="BJ26" s="1604" t="s">
        <v>2480</v>
      </c>
      <c r="BK26" s="649">
        <v>42.789400000000001</v>
      </c>
      <c r="BL26" s="779">
        <v>92</v>
      </c>
      <c r="BM26" s="1608" t="s">
        <v>2790</v>
      </c>
      <c r="BN26" s="914">
        <v>9</v>
      </c>
      <c r="BO26" s="866" t="s">
        <v>2792</v>
      </c>
      <c r="BP26" s="779" t="s">
        <v>2793</v>
      </c>
      <c r="BQ26" s="1604" t="s">
        <v>2480</v>
      </c>
      <c r="BR26" s="1606" t="s">
        <v>295</v>
      </c>
      <c r="BS26" s="1604" t="s">
        <v>2480</v>
      </c>
      <c r="BT26" s="541">
        <v>16.989999999999998</v>
      </c>
    </row>
    <row r="27" spans="1:72" s="162" customFormat="1" ht="12.6" customHeight="1">
      <c r="A27" s="821">
        <v>22</v>
      </c>
      <c r="B27" s="821" t="s">
        <v>1884</v>
      </c>
      <c r="C27" s="821">
        <v>5</v>
      </c>
      <c r="D27" s="821" t="s">
        <v>1201</v>
      </c>
      <c r="E27" s="821" t="s">
        <v>1885</v>
      </c>
      <c r="F27" s="715">
        <v>4.6399999999999997</v>
      </c>
      <c r="G27" s="821" t="s">
        <v>1220</v>
      </c>
      <c r="H27" s="715">
        <v>4.25</v>
      </c>
      <c r="I27" s="542">
        <v>4000</v>
      </c>
      <c r="J27" s="803">
        <v>67</v>
      </c>
      <c r="K27" s="803" t="s">
        <v>2231</v>
      </c>
      <c r="L27" s="803">
        <v>10</v>
      </c>
      <c r="M27" s="803" t="s">
        <v>2232</v>
      </c>
      <c r="N27" s="803" t="s">
        <v>2233</v>
      </c>
      <c r="O27" s="835">
        <v>8.1</v>
      </c>
      <c r="P27" s="803" t="s">
        <v>2435</v>
      </c>
      <c r="Q27" s="835">
        <v>11.9</v>
      </c>
      <c r="R27" s="835">
        <v>5445.45</v>
      </c>
      <c r="S27" s="821">
        <v>112</v>
      </c>
      <c r="T27" s="821" t="s">
        <v>1806</v>
      </c>
      <c r="U27" s="821">
        <v>15</v>
      </c>
      <c r="V27" s="848" t="s">
        <v>1652</v>
      </c>
      <c r="W27" s="821" t="s">
        <v>1807</v>
      </c>
      <c r="X27" s="542">
        <v>12.4</v>
      </c>
      <c r="Y27" s="821" t="s">
        <v>295</v>
      </c>
      <c r="Z27" s="542">
        <v>12.4</v>
      </c>
      <c r="AA27" s="542">
        <v>150</v>
      </c>
      <c r="AB27" s="821">
        <v>157</v>
      </c>
      <c r="AC27" s="821" t="s">
        <v>1808</v>
      </c>
      <c r="AD27" s="821">
        <v>20</v>
      </c>
      <c r="AE27" s="848" t="s">
        <v>40</v>
      </c>
      <c r="AF27" s="821" t="s">
        <v>51</v>
      </c>
      <c r="AG27" s="542">
        <v>13.019999999999998</v>
      </c>
      <c r="AH27" s="821" t="s">
        <v>295</v>
      </c>
      <c r="AI27" s="542">
        <v>13.019999999999998</v>
      </c>
      <c r="AJ27" s="542">
        <v>125</v>
      </c>
      <c r="AK27" s="821">
        <v>202</v>
      </c>
      <c r="AL27" s="821" t="s">
        <v>1836</v>
      </c>
      <c r="AM27" s="821">
        <v>20</v>
      </c>
      <c r="AN27" s="848" t="s">
        <v>1837</v>
      </c>
      <c r="AO27" s="821" t="s">
        <v>1838</v>
      </c>
      <c r="AP27" s="542">
        <v>12.28</v>
      </c>
      <c r="AQ27" s="821" t="s">
        <v>295</v>
      </c>
      <c r="AR27" s="542">
        <v>12.28</v>
      </c>
      <c r="AS27" s="542">
        <v>100</v>
      </c>
      <c r="AT27" s="821">
        <v>3</v>
      </c>
      <c r="AU27" s="1695" t="s">
        <v>1917</v>
      </c>
      <c r="AV27" s="821">
        <v>7</v>
      </c>
      <c r="AW27" s="848" t="s">
        <v>1915</v>
      </c>
      <c r="AX27" s="821" t="s">
        <v>1916</v>
      </c>
      <c r="AY27" s="542" t="s">
        <v>1914</v>
      </c>
      <c r="AZ27" s="821" t="s">
        <v>295</v>
      </c>
      <c r="BA27" s="542" t="s">
        <v>1914</v>
      </c>
      <c r="BB27" s="542">
        <v>554</v>
      </c>
      <c r="BC27" s="803">
        <v>48</v>
      </c>
      <c r="BD27" s="1707" t="s">
        <v>2593</v>
      </c>
      <c r="BE27" s="803">
        <v>9</v>
      </c>
      <c r="BF27" s="803" t="s">
        <v>1942</v>
      </c>
      <c r="BG27" s="803" t="s">
        <v>2599</v>
      </c>
      <c r="BH27" s="1602" t="s">
        <v>2480</v>
      </c>
      <c r="BI27" s="803" t="s">
        <v>295</v>
      </c>
      <c r="BJ27" s="1603" t="s">
        <v>2480</v>
      </c>
      <c r="BK27" s="835">
        <v>2351.3143</v>
      </c>
      <c r="BL27" s="803">
        <v>93</v>
      </c>
      <c r="BM27" s="1607" t="s">
        <v>2791</v>
      </c>
      <c r="BN27" s="803">
        <v>9</v>
      </c>
      <c r="BO27" s="803" t="s">
        <v>2792</v>
      </c>
      <c r="BP27" s="803" t="s">
        <v>2793</v>
      </c>
      <c r="BQ27" s="1603" t="s">
        <v>2480</v>
      </c>
      <c r="BR27" s="1605" t="s">
        <v>295</v>
      </c>
      <c r="BS27" s="1603" t="s">
        <v>2480</v>
      </c>
      <c r="BT27" s="835">
        <v>860.16669999999999</v>
      </c>
    </row>
    <row r="28" spans="1:72" s="162" customFormat="1" ht="12.6" customHeight="1">
      <c r="A28" s="767">
        <v>23</v>
      </c>
      <c r="B28" s="851" t="s">
        <v>1905</v>
      </c>
      <c r="C28" s="767">
        <v>5</v>
      </c>
      <c r="D28" s="767" t="s">
        <v>1906</v>
      </c>
      <c r="E28" s="767" t="s">
        <v>1907</v>
      </c>
      <c r="F28" s="770">
        <v>4.25</v>
      </c>
      <c r="G28" s="834" t="s">
        <v>1964</v>
      </c>
      <c r="H28" s="770">
        <v>4.1399999999999997</v>
      </c>
      <c r="I28" s="770">
        <v>4500</v>
      </c>
      <c r="J28" s="779">
        <v>68</v>
      </c>
      <c r="K28" s="779" t="s">
        <v>2252</v>
      </c>
      <c r="L28" s="779">
        <v>10</v>
      </c>
      <c r="M28" s="779" t="s">
        <v>2253</v>
      </c>
      <c r="N28" s="779" t="s">
        <v>2254</v>
      </c>
      <c r="O28" s="649">
        <v>8.33</v>
      </c>
      <c r="P28" s="779" t="s">
        <v>2271</v>
      </c>
      <c r="Q28" s="649">
        <v>8.33</v>
      </c>
      <c r="R28" s="649">
        <v>5500</v>
      </c>
      <c r="S28" s="767">
        <v>113</v>
      </c>
      <c r="T28" s="851" t="s">
        <v>1813</v>
      </c>
      <c r="U28" s="834">
        <v>15</v>
      </c>
      <c r="V28" s="834" t="s">
        <v>1659</v>
      </c>
      <c r="W28" s="770" t="s">
        <v>1814</v>
      </c>
      <c r="X28" s="770">
        <v>12.4</v>
      </c>
      <c r="Y28" s="834" t="s">
        <v>295</v>
      </c>
      <c r="Z28" s="770">
        <v>12.4</v>
      </c>
      <c r="AA28" s="770">
        <v>150</v>
      </c>
      <c r="AB28" s="255">
        <v>158</v>
      </c>
      <c r="AC28" s="851" t="s">
        <v>1815</v>
      </c>
      <c r="AD28" s="834">
        <v>20</v>
      </c>
      <c r="AE28" s="834" t="s">
        <v>1</v>
      </c>
      <c r="AF28" s="770" t="s">
        <v>42</v>
      </c>
      <c r="AG28" s="770">
        <v>13</v>
      </c>
      <c r="AH28" s="834" t="s">
        <v>295</v>
      </c>
      <c r="AI28" s="770">
        <v>13</v>
      </c>
      <c r="AJ28" s="770">
        <v>125</v>
      </c>
      <c r="AK28" s="767">
        <v>203</v>
      </c>
      <c r="AL28" s="851" t="s">
        <v>1842</v>
      </c>
      <c r="AM28" s="834">
        <v>20</v>
      </c>
      <c r="AN28" s="834" t="s">
        <v>1843</v>
      </c>
      <c r="AO28" s="770" t="s">
        <v>1844</v>
      </c>
      <c r="AP28" s="770">
        <v>12.38</v>
      </c>
      <c r="AQ28" s="834" t="s">
        <v>295</v>
      </c>
      <c r="AR28" s="770">
        <v>12.38</v>
      </c>
      <c r="AS28" s="770">
        <v>100</v>
      </c>
      <c r="AT28" s="767">
        <v>4</v>
      </c>
      <c r="AU28" s="1696" t="s">
        <v>2477</v>
      </c>
      <c r="AV28" s="834">
        <v>8</v>
      </c>
      <c r="AW28" s="834" t="s">
        <v>2478</v>
      </c>
      <c r="AX28" s="770" t="s">
        <v>2479</v>
      </c>
      <c r="AY28" s="770" t="s">
        <v>2480</v>
      </c>
      <c r="AZ28" s="834" t="s">
        <v>295</v>
      </c>
      <c r="BA28" s="770" t="s">
        <v>2480</v>
      </c>
      <c r="BB28" s="770">
        <v>459.26</v>
      </c>
      <c r="BC28" s="779">
        <v>49</v>
      </c>
      <c r="BD28" s="1708" t="s">
        <v>2594</v>
      </c>
      <c r="BE28" s="779">
        <v>8</v>
      </c>
      <c r="BF28" s="779" t="s">
        <v>1942</v>
      </c>
      <c r="BG28" s="779" t="s">
        <v>2587</v>
      </c>
      <c r="BH28" s="1601" t="s">
        <v>2480</v>
      </c>
      <c r="BI28" s="779" t="s">
        <v>295</v>
      </c>
      <c r="BJ28" s="1604" t="s">
        <v>2480</v>
      </c>
      <c r="BK28" s="649">
        <v>37.255499999999998</v>
      </c>
      <c r="BL28" s="779">
        <v>94</v>
      </c>
      <c r="BM28" s="1608" t="s">
        <v>2616</v>
      </c>
      <c r="BN28" s="914">
        <v>9</v>
      </c>
      <c r="BO28" s="866" t="s">
        <v>2792</v>
      </c>
      <c r="BP28" s="779" t="s">
        <v>2793</v>
      </c>
      <c r="BQ28" s="1604" t="s">
        <v>2480</v>
      </c>
      <c r="BR28" s="1606" t="s">
        <v>295</v>
      </c>
      <c r="BS28" s="1604" t="s">
        <v>2480</v>
      </c>
      <c r="BT28" s="541">
        <v>561.82989999999995</v>
      </c>
    </row>
    <row r="29" spans="1:72" s="162" customFormat="1" ht="12.6" customHeight="1">
      <c r="A29" s="821">
        <v>24</v>
      </c>
      <c r="B29" s="821" t="s">
        <v>1923</v>
      </c>
      <c r="C29" s="821">
        <v>5</v>
      </c>
      <c r="D29" s="821" t="s">
        <v>1924</v>
      </c>
      <c r="E29" s="821" t="s">
        <v>1925</v>
      </c>
      <c r="F29" s="715">
        <v>3.88</v>
      </c>
      <c r="G29" s="821" t="s">
        <v>1929</v>
      </c>
      <c r="H29" s="715">
        <v>3.9</v>
      </c>
      <c r="I29" s="542">
        <v>4500</v>
      </c>
      <c r="J29" s="803">
        <v>69</v>
      </c>
      <c r="K29" s="803" t="s">
        <v>2274</v>
      </c>
      <c r="L29" s="803">
        <v>10</v>
      </c>
      <c r="M29" s="803" t="s">
        <v>2275</v>
      </c>
      <c r="N29" s="803" t="s">
        <v>2276</v>
      </c>
      <c r="O29" s="835">
        <v>8.4499999999999993</v>
      </c>
      <c r="P29" s="803" t="s">
        <v>2288</v>
      </c>
      <c r="Q29" s="835">
        <v>8.6</v>
      </c>
      <c r="R29" s="835">
        <v>6000</v>
      </c>
      <c r="S29" s="821">
        <v>114</v>
      </c>
      <c r="T29" s="821" t="s">
        <v>1819</v>
      </c>
      <c r="U29" s="821">
        <v>15</v>
      </c>
      <c r="V29" s="848" t="s">
        <v>1669</v>
      </c>
      <c r="W29" s="821" t="s">
        <v>1820</v>
      </c>
      <c r="X29" s="542">
        <v>12.42</v>
      </c>
      <c r="Y29" s="821" t="s">
        <v>295</v>
      </c>
      <c r="Z29" s="542">
        <v>12.42</v>
      </c>
      <c r="AA29" s="542">
        <v>150</v>
      </c>
      <c r="AB29" s="821">
        <v>159</v>
      </c>
      <c r="AC29" s="821" t="s">
        <v>1821</v>
      </c>
      <c r="AD29" s="821">
        <v>20</v>
      </c>
      <c r="AE29" s="848" t="s">
        <v>2</v>
      </c>
      <c r="AF29" s="821" t="s">
        <v>3</v>
      </c>
      <c r="AG29" s="542">
        <v>12.990000000000002</v>
      </c>
      <c r="AH29" s="821" t="s">
        <v>295</v>
      </c>
      <c r="AI29" s="542">
        <v>12.990000000000002</v>
      </c>
      <c r="AJ29" s="542">
        <v>125</v>
      </c>
      <c r="AK29" s="821">
        <v>204</v>
      </c>
      <c r="AL29" s="821" t="s">
        <v>1849</v>
      </c>
      <c r="AM29" s="821">
        <v>20</v>
      </c>
      <c r="AN29" s="848" t="s">
        <v>1850</v>
      </c>
      <c r="AO29" s="821" t="s">
        <v>1851</v>
      </c>
      <c r="AP29" s="542">
        <v>12.48</v>
      </c>
      <c r="AQ29" s="821" t="s">
        <v>295</v>
      </c>
      <c r="AR29" s="542">
        <v>12.48</v>
      </c>
      <c r="AS29" s="542">
        <v>100</v>
      </c>
      <c r="AT29" s="821">
        <v>5</v>
      </c>
      <c r="AU29" s="1695" t="s">
        <v>2481</v>
      </c>
      <c r="AV29" s="821">
        <v>9</v>
      </c>
      <c r="AW29" s="848" t="s">
        <v>2478</v>
      </c>
      <c r="AX29" s="821" t="s">
        <v>2482</v>
      </c>
      <c r="AY29" s="542" t="s">
        <v>2480</v>
      </c>
      <c r="AZ29" s="821" t="s">
        <v>295</v>
      </c>
      <c r="BA29" s="542" t="s">
        <v>2480</v>
      </c>
      <c r="BB29" s="542">
        <v>2557.0700000000002</v>
      </c>
      <c r="BC29" s="803">
        <v>50</v>
      </c>
      <c r="BD29" s="1707" t="s">
        <v>2595</v>
      </c>
      <c r="BE29" s="915">
        <v>10</v>
      </c>
      <c r="BF29" s="865" t="s">
        <v>2589</v>
      </c>
      <c r="BG29" s="865" t="s">
        <v>1051</v>
      </c>
      <c r="BH29" s="1603" t="s">
        <v>2480</v>
      </c>
      <c r="BI29" s="821" t="s">
        <v>295</v>
      </c>
      <c r="BJ29" s="1603" t="s">
        <v>2480</v>
      </c>
      <c r="BK29" s="542">
        <v>479.90859999999998</v>
      </c>
      <c r="BL29" s="803">
        <v>95</v>
      </c>
      <c r="BM29" s="1607" t="s">
        <v>2613</v>
      </c>
      <c r="BN29" s="803">
        <v>9</v>
      </c>
      <c r="BO29" s="803" t="s">
        <v>2792</v>
      </c>
      <c r="BP29" s="803" t="s">
        <v>2793</v>
      </c>
      <c r="BQ29" s="1603" t="s">
        <v>2480</v>
      </c>
      <c r="BR29" s="1605" t="s">
        <v>295</v>
      </c>
      <c r="BS29" s="1603" t="s">
        <v>2480</v>
      </c>
      <c r="BT29" s="835">
        <v>176.00030000000001</v>
      </c>
    </row>
    <row r="30" spans="1:72" s="162" customFormat="1" ht="12.6" customHeight="1">
      <c r="A30" s="767">
        <v>25</v>
      </c>
      <c r="B30" s="851" t="s">
        <v>1971</v>
      </c>
      <c r="C30" s="767">
        <v>5</v>
      </c>
      <c r="D30" s="767" t="s">
        <v>1972</v>
      </c>
      <c r="E30" s="767" t="s">
        <v>1973</v>
      </c>
      <c r="F30" s="770">
        <v>4.97</v>
      </c>
      <c r="G30" s="834" t="s">
        <v>2031</v>
      </c>
      <c r="H30" s="770">
        <v>6.5</v>
      </c>
      <c r="I30" s="770">
        <v>4063.34</v>
      </c>
      <c r="J30" s="779">
        <v>70</v>
      </c>
      <c r="K30" s="780" t="s">
        <v>2349</v>
      </c>
      <c r="L30" s="780">
        <v>10</v>
      </c>
      <c r="M30" s="780" t="s">
        <v>2350</v>
      </c>
      <c r="N30" s="780" t="s">
        <v>2351</v>
      </c>
      <c r="O30" s="778">
        <v>9.1999999999999993</v>
      </c>
      <c r="P30" s="780" t="s">
        <v>2419</v>
      </c>
      <c r="Q30" s="778">
        <v>10.82</v>
      </c>
      <c r="R30" s="778">
        <v>5415.03</v>
      </c>
      <c r="S30" s="767">
        <v>115</v>
      </c>
      <c r="T30" s="851" t="s">
        <v>1826</v>
      </c>
      <c r="U30" s="834">
        <v>15</v>
      </c>
      <c r="V30" s="834" t="s">
        <v>1675</v>
      </c>
      <c r="W30" s="770" t="s">
        <v>1827</v>
      </c>
      <c r="X30" s="770">
        <v>12.42</v>
      </c>
      <c r="Y30" s="834" t="s">
        <v>295</v>
      </c>
      <c r="Z30" s="770">
        <v>12.42</v>
      </c>
      <c r="AA30" s="770">
        <v>150</v>
      </c>
      <c r="AB30" s="255">
        <v>160</v>
      </c>
      <c r="AC30" s="851" t="s">
        <v>1828</v>
      </c>
      <c r="AD30" s="834">
        <v>20</v>
      </c>
      <c r="AE30" s="834" t="s">
        <v>4</v>
      </c>
      <c r="AF30" s="770" t="s">
        <v>5</v>
      </c>
      <c r="AG30" s="770">
        <v>12.98</v>
      </c>
      <c r="AH30" s="834" t="s">
        <v>295</v>
      </c>
      <c r="AI30" s="770">
        <v>12.98</v>
      </c>
      <c r="AJ30" s="770">
        <v>150</v>
      </c>
      <c r="AK30" s="767">
        <v>205</v>
      </c>
      <c r="AL30" s="851" t="s">
        <v>1856</v>
      </c>
      <c r="AM30" s="834">
        <v>20</v>
      </c>
      <c r="AN30" s="834" t="s">
        <v>1857</v>
      </c>
      <c r="AO30" s="770" t="s">
        <v>1858</v>
      </c>
      <c r="AP30" s="770">
        <v>12.479999999999999</v>
      </c>
      <c r="AQ30" s="834" t="s">
        <v>295</v>
      </c>
      <c r="AR30" s="770">
        <v>12.479999999999999</v>
      </c>
      <c r="AS30" s="770">
        <v>100</v>
      </c>
      <c r="AT30" s="767">
        <v>6</v>
      </c>
      <c r="AU30" s="1696" t="s">
        <v>2483</v>
      </c>
      <c r="AV30" s="834">
        <v>9</v>
      </c>
      <c r="AW30" s="834" t="s">
        <v>2484</v>
      </c>
      <c r="AX30" s="770" t="s">
        <v>2485</v>
      </c>
      <c r="AY30" s="770" t="s">
        <v>2480</v>
      </c>
      <c r="AZ30" s="834" t="s">
        <v>295</v>
      </c>
      <c r="BA30" s="770" t="s">
        <v>2480</v>
      </c>
      <c r="BB30" s="770">
        <v>1896.7</v>
      </c>
      <c r="BC30" s="779">
        <v>51</v>
      </c>
      <c r="BD30" s="1708" t="s">
        <v>2596</v>
      </c>
      <c r="BE30" s="914">
        <v>10</v>
      </c>
      <c r="BF30" s="866" t="s">
        <v>2589</v>
      </c>
      <c r="BG30" s="779" t="s">
        <v>1051</v>
      </c>
      <c r="BH30" s="1604" t="s">
        <v>2480</v>
      </c>
      <c r="BI30" s="767" t="s">
        <v>295</v>
      </c>
      <c r="BJ30" s="1604" t="s">
        <v>2480</v>
      </c>
      <c r="BK30" s="541">
        <v>391.9316</v>
      </c>
      <c r="BL30" s="779">
        <v>96</v>
      </c>
      <c r="BM30" s="1608" t="s">
        <v>2794</v>
      </c>
      <c r="BN30" s="914">
        <v>9</v>
      </c>
      <c r="BO30" s="866" t="s">
        <v>2792</v>
      </c>
      <c r="BP30" s="779" t="s">
        <v>2793</v>
      </c>
      <c r="BQ30" s="1604" t="s">
        <v>2480</v>
      </c>
      <c r="BR30" s="1606" t="s">
        <v>295</v>
      </c>
      <c r="BS30" s="1604" t="s">
        <v>2480</v>
      </c>
      <c r="BT30" s="541">
        <v>100</v>
      </c>
    </row>
    <row r="31" spans="1:72" s="162" customFormat="1" ht="12.6" customHeight="1">
      <c r="A31" s="821">
        <v>26</v>
      </c>
      <c r="B31" s="821" t="s">
        <v>2025</v>
      </c>
      <c r="C31" s="821">
        <v>5</v>
      </c>
      <c r="D31" s="821" t="s">
        <v>990</v>
      </c>
      <c r="E31" s="821" t="s">
        <v>2026</v>
      </c>
      <c r="F31" s="715">
        <v>6.5</v>
      </c>
      <c r="G31" s="821" t="s">
        <v>2121</v>
      </c>
      <c r="H31" s="715">
        <v>5.75</v>
      </c>
      <c r="I31" s="542">
        <v>4500</v>
      </c>
      <c r="J31" s="803">
        <v>71</v>
      </c>
      <c r="K31" s="803" t="s">
        <v>2455</v>
      </c>
      <c r="L31" s="803">
        <v>10</v>
      </c>
      <c r="M31" s="803" t="s">
        <v>2456</v>
      </c>
      <c r="N31" s="803" t="s">
        <v>2457</v>
      </c>
      <c r="O31" s="835">
        <v>12.05</v>
      </c>
      <c r="P31" s="803" t="s">
        <v>2787</v>
      </c>
      <c r="Q31" s="835">
        <v>12.45</v>
      </c>
      <c r="R31" s="835">
        <v>7124.8</v>
      </c>
      <c r="S31" s="821">
        <v>116</v>
      </c>
      <c r="T31" s="821" t="s">
        <v>1834</v>
      </c>
      <c r="U31" s="821">
        <v>15</v>
      </c>
      <c r="V31" s="848" t="s">
        <v>1683</v>
      </c>
      <c r="W31" s="821" t="s">
        <v>1904</v>
      </c>
      <c r="X31" s="542">
        <v>12.29</v>
      </c>
      <c r="Y31" s="821" t="s">
        <v>295</v>
      </c>
      <c r="Z31" s="542">
        <v>12.29</v>
      </c>
      <c r="AA31" s="542">
        <v>150</v>
      </c>
      <c r="AB31" s="821">
        <v>161</v>
      </c>
      <c r="AC31" s="821" t="s">
        <v>1835</v>
      </c>
      <c r="AD31" s="821">
        <v>20</v>
      </c>
      <c r="AE31" s="848" t="s">
        <v>6</v>
      </c>
      <c r="AF31" s="821" t="s">
        <v>7</v>
      </c>
      <c r="AG31" s="542">
        <v>11.48</v>
      </c>
      <c r="AH31" s="821" t="s">
        <v>295</v>
      </c>
      <c r="AI31" s="542">
        <v>11.48</v>
      </c>
      <c r="AJ31" s="542">
        <v>150</v>
      </c>
      <c r="AK31" s="821">
        <v>206</v>
      </c>
      <c r="AL31" s="821" t="s">
        <v>1865</v>
      </c>
      <c r="AM31" s="821">
        <v>20</v>
      </c>
      <c r="AN31" s="848" t="s">
        <v>1866</v>
      </c>
      <c r="AO31" s="821" t="s">
        <v>1867</v>
      </c>
      <c r="AP31" s="542">
        <v>12.479999999999999</v>
      </c>
      <c r="AQ31" s="821" t="s">
        <v>295</v>
      </c>
      <c r="AR31" s="542">
        <v>12.479999999999999</v>
      </c>
      <c r="AS31" s="542">
        <v>100</v>
      </c>
      <c r="AT31" s="821">
        <v>7</v>
      </c>
      <c r="AU31" s="1695" t="s">
        <v>2486</v>
      </c>
      <c r="AV31" s="821">
        <v>9</v>
      </c>
      <c r="AW31" s="848" t="s">
        <v>2487</v>
      </c>
      <c r="AX31" s="821" t="s">
        <v>2488</v>
      </c>
      <c r="AY31" s="542" t="s">
        <v>2480</v>
      </c>
      <c r="AZ31" s="821" t="s">
        <v>295</v>
      </c>
      <c r="BA31" s="542" t="s">
        <v>2480</v>
      </c>
      <c r="BB31" s="542">
        <v>822.27</v>
      </c>
      <c r="BC31" s="803">
        <v>52</v>
      </c>
      <c r="BD31" s="1707" t="s">
        <v>2597</v>
      </c>
      <c r="BE31" s="803">
        <v>10</v>
      </c>
      <c r="BF31" s="803" t="s">
        <v>2589</v>
      </c>
      <c r="BG31" s="803" t="s">
        <v>1051</v>
      </c>
      <c r="BH31" s="1602" t="s">
        <v>2480</v>
      </c>
      <c r="BI31" s="803" t="s">
        <v>295</v>
      </c>
      <c r="BJ31" s="1603" t="s">
        <v>2480</v>
      </c>
      <c r="BK31" s="835">
        <v>614.84180000000003</v>
      </c>
      <c r="BL31" s="803">
        <v>97</v>
      </c>
      <c r="BM31" s="1607" t="s">
        <v>2795</v>
      </c>
      <c r="BN31" s="803">
        <v>9</v>
      </c>
      <c r="BO31" s="803" t="s">
        <v>2792</v>
      </c>
      <c r="BP31" s="803" t="s">
        <v>2793</v>
      </c>
      <c r="BQ31" s="1603" t="s">
        <v>2480</v>
      </c>
      <c r="BR31" s="1605" t="s">
        <v>295</v>
      </c>
      <c r="BS31" s="1603" t="s">
        <v>2480</v>
      </c>
      <c r="BT31" s="835">
        <v>25</v>
      </c>
    </row>
    <row r="32" spans="1:72" s="162" customFormat="1" ht="12.6" customHeight="1">
      <c r="A32" s="767">
        <v>27</v>
      </c>
      <c r="B32" s="851" t="s">
        <v>2122</v>
      </c>
      <c r="C32" s="767">
        <v>5</v>
      </c>
      <c r="D32" s="767" t="s">
        <v>2123</v>
      </c>
      <c r="E32" s="767" t="s">
        <v>2124</v>
      </c>
      <c r="F32" s="770">
        <v>6.25</v>
      </c>
      <c r="G32" s="834" t="s">
        <v>2240</v>
      </c>
      <c r="H32" s="770">
        <v>7.72</v>
      </c>
      <c r="I32" s="770">
        <v>5699.41</v>
      </c>
      <c r="J32" s="779">
        <v>72</v>
      </c>
      <c r="K32" s="780" t="s">
        <v>2561</v>
      </c>
      <c r="L32" s="780">
        <v>10</v>
      </c>
      <c r="M32" s="780" t="s">
        <v>2562</v>
      </c>
      <c r="N32" s="780" t="s">
        <v>2563</v>
      </c>
      <c r="O32" s="778">
        <v>12.15</v>
      </c>
      <c r="P32" s="780" t="s">
        <v>2840</v>
      </c>
      <c r="Q32" s="778">
        <v>12.57</v>
      </c>
      <c r="R32" s="778">
        <v>6404.73</v>
      </c>
      <c r="S32" s="767">
        <v>117</v>
      </c>
      <c r="T32" s="851" t="s">
        <v>2658</v>
      </c>
      <c r="U32" s="834">
        <v>15</v>
      </c>
      <c r="V32" s="834" t="s">
        <v>1036</v>
      </c>
      <c r="W32" s="770" t="s">
        <v>2659</v>
      </c>
      <c r="X32" s="770">
        <v>12.29</v>
      </c>
      <c r="Y32" s="834" t="s">
        <v>295</v>
      </c>
      <c r="Z32" s="770">
        <v>12.29</v>
      </c>
      <c r="AA32" s="770">
        <v>150</v>
      </c>
      <c r="AB32" s="255">
        <v>162</v>
      </c>
      <c r="AC32" s="851" t="s">
        <v>1841</v>
      </c>
      <c r="AD32" s="834">
        <v>20</v>
      </c>
      <c r="AE32" s="834" t="s">
        <v>8</v>
      </c>
      <c r="AF32" s="770" t="s">
        <v>9</v>
      </c>
      <c r="AG32" s="770">
        <v>11.09</v>
      </c>
      <c r="AH32" s="834" t="s">
        <v>295</v>
      </c>
      <c r="AI32" s="770">
        <v>11.09</v>
      </c>
      <c r="AJ32" s="770">
        <v>133.19999999999999</v>
      </c>
      <c r="AK32" s="767">
        <v>207</v>
      </c>
      <c r="AL32" s="851" t="s">
        <v>1635</v>
      </c>
      <c r="AM32" s="834">
        <v>20</v>
      </c>
      <c r="AN32" s="834" t="s">
        <v>1636</v>
      </c>
      <c r="AO32" s="770" t="s">
        <v>1637</v>
      </c>
      <c r="AP32" s="770">
        <v>12.47</v>
      </c>
      <c r="AQ32" s="834" t="s">
        <v>295</v>
      </c>
      <c r="AR32" s="770">
        <v>12.47</v>
      </c>
      <c r="AS32" s="770">
        <v>100</v>
      </c>
      <c r="AT32" s="767">
        <v>8</v>
      </c>
      <c r="AU32" s="1696" t="s">
        <v>2489</v>
      </c>
      <c r="AV32" s="834">
        <v>9</v>
      </c>
      <c r="AW32" s="834" t="s">
        <v>2490</v>
      </c>
      <c r="AX32" s="770" t="s">
        <v>2491</v>
      </c>
      <c r="AY32" s="770" t="s">
        <v>2480</v>
      </c>
      <c r="AZ32" s="834" t="s">
        <v>295</v>
      </c>
      <c r="BA32" s="770" t="s">
        <v>2480</v>
      </c>
      <c r="BB32" s="770">
        <v>135.59</v>
      </c>
      <c r="BC32" s="779">
        <v>53</v>
      </c>
      <c r="BD32" s="1708" t="s">
        <v>2600</v>
      </c>
      <c r="BE32" s="779">
        <v>10</v>
      </c>
      <c r="BF32" s="649" t="s">
        <v>2589</v>
      </c>
      <c r="BG32" s="779" t="s">
        <v>1051</v>
      </c>
      <c r="BH32" s="1601" t="s">
        <v>2480</v>
      </c>
      <c r="BI32" s="779" t="s">
        <v>295</v>
      </c>
      <c r="BJ32" s="1604" t="s">
        <v>2480</v>
      </c>
      <c r="BK32" s="649">
        <v>155.9222</v>
      </c>
      <c r="BL32" s="779">
        <v>98</v>
      </c>
      <c r="BM32" s="1608" t="s">
        <v>2796</v>
      </c>
      <c r="BN32" s="914">
        <v>9</v>
      </c>
      <c r="BO32" s="866" t="s">
        <v>2792</v>
      </c>
      <c r="BP32" s="779" t="s">
        <v>2793</v>
      </c>
      <c r="BQ32" s="1604" t="s">
        <v>2480</v>
      </c>
      <c r="BR32" s="1606" t="s">
        <v>295</v>
      </c>
      <c r="BS32" s="1604" t="s">
        <v>2480</v>
      </c>
      <c r="BT32" s="541">
        <v>10.816599999999999</v>
      </c>
    </row>
    <row r="33" spans="1:72" s="239" customFormat="1" ht="12.6" customHeight="1">
      <c r="A33" s="821">
        <v>28</v>
      </c>
      <c r="B33" s="821" t="s">
        <v>2156</v>
      </c>
      <c r="C33" s="821">
        <v>5</v>
      </c>
      <c r="D33" s="821" t="s">
        <v>2157</v>
      </c>
      <c r="E33" s="821" t="s">
        <v>2158</v>
      </c>
      <c r="F33" s="715">
        <v>7.7</v>
      </c>
      <c r="G33" s="821" t="s">
        <v>2174</v>
      </c>
      <c r="H33" s="715">
        <v>7.8</v>
      </c>
      <c r="I33" s="542">
        <v>4499.6000000000004</v>
      </c>
      <c r="J33" s="803">
        <v>73</v>
      </c>
      <c r="K33" s="803" t="s">
        <v>2654</v>
      </c>
      <c r="L33" s="803">
        <v>10</v>
      </c>
      <c r="M33" s="803" t="s">
        <v>2655</v>
      </c>
      <c r="N33" s="803" t="s">
        <v>2656</v>
      </c>
      <c r="O33" s="835">
        <v>12.602</v>
      </c>
      <c r="P33" s="803" t="s">
        <v>2871</v>
      </c>
      <c r="Q33" s="835">
        <v>12.48</v>
      </c>
      <c r="R33" s="835">
        <v>11500</v>
      </c>
      <c r="S33" s="821">
        <v>118</v>
      </c>
      <c r="T33" s="821" t="s">
        <v>1847</v>
      </c>
      <c r="U33" s="821">
        <v>15</v>
      </c>
      <c r="V33" s="848" t="s">
        <v>1039</v>
      </c>
      <c r="W33" s="821" t="s">
        <v>1041</v>
      </c>
      <c r="X33" s="542">
        <v>12.2</v>
      </c>
      <c r="Y33" s="821" t="s">
        <v>295</v>
      </c>
      <c r="Z33" s="542">
        <v>12.2</v>
      </c>
      <c r="AA33" s="542">
        <v>150</v>
      </c>
      <c r="AB33" s="821">
        <v>163</v>
      </c>
      <c r="AC33" s="821" t="s">
        <v>1848</v>
      </c>
      <c r="AD33" s="821">
        <v>20</v>
      </c>
      <c r="AE33" s="848" t="s">
        <v>10</v>
      </c>
      <c r="AF33" s="821" t="s">
        <v>11</v>
      </c>
      <c r="AG33" s="542">
        <v>10.07</v>
      </c>
      <c r="AH33" s="821" t="s">
        <v>295</v>
      </c>
      <c r="AI33" s="542">
        <v>10.07</v>
      </c>
      <c r="AJ33" s="542">
        <v>80</v>
      </c>
      <c r="AK33" s="821">
        <v>208</v>
      </c>
      <c r="AL33" s="821" t="s">
        <v>1642</v>
      </c>
      <c r="AM33" s="821">
        <v>20</v>
      </c>
      <c r="AN33" s="848" t="s">
        <v>1643</v>
      </c>
      <c r="AO33" s="821" t="s">
        <v>1644</v>
      </c>
      <c r="AP33" s="542">
        <v>12.479999999999999</v>
      </c>
      <c r="AQ33" s="821" t="s">
        <v>295</v>
      </c>
      <c r="AR33" s="542">
        <v>12.479999999999999</v>
      </c>
      <c r="AS33" s="542">
        <v>100</v>
      </c>
      <c r="AT33" s="821">
        <v>9</v>
      </c>
      <c r="AU33" s="1695" t="s">
        <v>2492</v>
      </c>
      <c r="AV33" s="821">
        <v>9</v>
      </c>
      <c r="AW33" s="848" t="s">
        <v>2490</v>
      </c>
      <c r="AX33" s="821" t="s">
        <v>2491</v>
      </c>
      <c r="AY33" s="542" t="s">
        <v>2480</v>
      </c>
      <c r="AZ33" s="821" t="s">
        <v>295</v>
      </c>
      <c r="BA33" s="542" t="s">
        <v>2480</v>
      </c>
      <c r="BB33" s="542">
        <v>186.7</v>
      </c>
      <c r="BC33" s="803">
        <v>54</v>
      </c>
      <c r="BD33" s="1707" t="s">
        <v>2601</v>
      </c>
      <c r="BE33" s="803">
        <v>10</v>
      </c>
      <c r="BF33" s="803" t="s">
        <v>2589</v>
      </c>
      <c r="BG33" s="803" t="s">
        <v>1051</v>
      </c>
      <c r="BH33" s="1602" t="s">
        <v>2480</v>
      </c>
      <c r="BI33" s="803" t="s">
        <v>295</v>
      </c>
      <c r="BJ33" s="1603" t="s">
        <v>2480</v>
      </c>
      <c r="BK33" s="835">
        <v>187.30029999999999</v>
      </c>
      <c r="BL33" s="803">
        <v>99</v>
      </c>
      <c r="BM33" s="1607" t="s">
        <v>2797</v>
      </c>
      <c r="BN33" s="803">
        <v>9</v>
      </c>
      <c r="BO33" s="803" t="s">
        <v>2788</v>
      </c>
      <c r="BP33" s="803" t="s">
        <v>2805</v>
      </c>
      <c r="BQ33" s="1603" t="s">
        <v>2480</v>
      </c>
      <c r="BR33" s="1605" t="s">
        <v>295</v>
      </c>
      <c r="BS33" s="1603" t="s">
        <v>2480</v>
      </c>
      <c r="BT33" s="835">
        <v>309.88069999999999</v>
      </c>
    </row>
    <row r="34" spans="1:72" s="239" customFormat="1" ht="12.6" customHeight="1">
      <c r="A34" s="767">
        <v>29</v>
      </c>
      <c r="B34" s="851" t="s">
        <v>2185</v>
      </c>
      <c r="C34" s="767">
        <v>5</v>
      </c>
      <c r="D34" s="767" t="s">
        <v>2186</v>
      </c>
      <c r="E34" s="767" t="s">
        <v>2187</v>
      </c>
      <c r="F34" s="770">
        <v>7.89</v>
      </c>
      <c r="G34" s="834" t="s">
        <v>2228</v>
      </c>
      <c r="H34" s="770">
        <v>7.8</v>
      </c>
      <c r="I34" s="770">
        <v>3300</v>
      </c>
      <c r="J34" s="779">
        <v>74</v>
      </c>
      <c r="K34" s="780" t="s">
        <v>2896</v>
      </c>
      <c r="L34" s="780">
        <v>10</v>
      </c>
      <c r="M34" s="780" t="s">
        <v>2897</v>
      </c>
      <c r="N34" s="780" t="s">
        <v>2898</v>
      </c>
      <c r="O34" s="778">
        <v>12.08</v>
      </c>
      <c r="P34" s="780" t="s">
        <v>2944</v>
      </c>
      <c r="Q34" s="778">
        <v>10.32</v>
      </c>
      <c r="R34" s="778">
        <f>3500+3500</f>
        <v>7000</v>
      </c>
      <c r="S34" s="767">
        <v>119</v>
      </c>
      <c r="T34" s="851" t="s">
        <v>1854</v>
      </c>
      <c r="U34" s="834">
        <v>15</v>
      </c>
      <c r="V34" s="834" t="s">
        <v>1042</v>
      </c>
      <c r="W34" s="770" t="s">
        <v>1044</v>
      </c>
      <c r="X34" s="770">
        <v>12.1</v>
      </c>
      <c r="Y34" s="834" t="s">
        <v>295</v>
      </c>
      <c r="Z34" s="770">
        <v>12.1</v>
      </c>
      <c r="AA34" s="770">
        <v>150</v>
      </c>
      <c r="AB34" s="255">
        <v>164</v>
      </c>
      <c r="AC34" s="851" t="s">
        <v>1855</v>
      </c>
      <c r="AD34" s="834">
        <v>20</v>
      </c>
      <c r="AE34" s="834" t="s">
        <v>12</v>
      </c>
      <c r="AF34" s="770" t="s">
        <v>13</v>
      </c>
      <c r="AG34" s="770">
        <v>8.9700000000000006</v>
      </c>
      <c r="AH34" s="834" t="s">
        <v>295</v>
      </c>
      <c r="AI34" s="770">
        <v>8.9700000000000006</v>
      </c>
      <c r="AJ34" s="770">
        <v>125</v>
      </c>
      <c r="AK34" s="767">
        <v>209</v>
      </c>
      <c r="AL34" s="851" t="s">
        <v>1651</v>
      </c>
      <c r="AM34" s="834">
        <v>20</v>
      </c>
      <c r="AN34" s="834" t="s">
        <v>1652</v>
      </c>
      <c r="AO34" s="770" t="s">
        <v>1653</v>
      </c>
      <c r="AP34" s="770">
        <v>12.479999999999999</v>
      </c>
      <c r="AQ34" s="834" t="s">
        <v>295</v>
      </c>
      <c r="AR34" s="770">
        <v>12.479999999999999</v>
      </c>
      <c r="AS34" s="770">
        <v>150</v>
      </c>
      <c r="AT34" s="767">
        <v>10</v>
      </c>
      <c r="AU34" s="1696" t="s">
        <v>2493</v>
      </c>
      <c r="AV34" s="834">
        <v>9</v>
      </c>
      <c r="AW34" s="834" t="s">
        <v>2490</v>
      </c>
      <c r="AX34" s="770" t="s">
        <v>2491</v>
      </c>
      <c r="AY34" s="770" t="s">
        <v>2480</v>
      </c>
      <c r="AZ34" s="834" t="s">
        <v>295</v>
      </c>
      <c r="BA34" s="770" t="s">
        <v>2480</v>
      </c>
      <c r="BB34" s="770">
        <v>752.77</v>
      </c>
      <c r="BC34" s="779">
        <v>55</v>
      </c>
      <c r="BD34" s="1708" t="s">
        <v>2602</v>
      </c>
      <c r="BE34" s="779">
        <v>10</v>
      </c>
      <c r="BF34" s="779" t="s">
        <v>2564</v>
      </c>
      <c r="BG34" s="779" t="s">
        <v>2611</v>
      </c>
      <c r="BH34" s="1601" t="s">
        <v>2480</v>
      </c>
      <c r="BI34" s="779" t="s">
        <v>295</v>
      </c>
      <c r="BJ34" s="1604" t="s">
        <v>2480</v>
      </c>
      <c r="BK34" s="649">
        <v>98.564999999999998</v>
      </c>
      <c r="BL34" s="779">
        <v>100</v>
      </c>
      <c r="BM34" s="1608" t="s">
        <v>2798</v>
      </c>
      <c r="BN34" s="914">
        <v>9</v>
      </c>
      <c r="BO34" s="866" t="s">
        <v>2788</v>
      </c>
      <c r="BP34" s="779" t="s">
        <v>2805</v>
      </c>
      <c r="BQ34" s="1604" t="s">
        <v>2480</v>
      </c>
      <c r="BR34" s="1606" t="s">
        <v>295</v>
      </c>
      <c r="BS34" s="1604" t="s">
        <v>2480</v>
      </c>
      <c r="BT34" s="541">
        <v>5.1437999999999997</v>
      </c>
    </row>
    <row r="35" spans="1:72" s="162" customFormat="1" ht="12.6" customHeight="1">
      <c r="A35" s="821">
        <v>30</v>
      </c>
      <c r="B35" s="821" t="s">
        <v>2248</v>
      </c>
      <c r="C35" s="821">
        <v>5</v>
      </c>
      <c r="D35" s="821" t="s">
        <v>2249</v>
      </c>
      <c r="E35" s="821" t="s">
        <v>2250</v>
      </c>
      <c r="F35" s="715">
        <v>7.85</v>
      </c>
      <c r="G35" s="821" t="s">
        <v>2270</v>
      </c>
      <c r="H35" s="715">
        <v>8.1999999999999993</v>
      </c>
      <c r="I35" s="542">
        <v>5800</v>
      </c>
      <c r="J35" s="803">
        <v>75</v>
      </c>
      <c r="K35" s="803" t="s">
        <v>1833</v>
      </c>
      <c r="L35" s="803">
        <v>15</v>
      </c>
      <c r="M35" s="803" t="s">
        <v>339</v>
      </c>
      <c r="N35" s="803" t="s">
        <v>340</v>
      </c>
      <c r="O35" s="835">
        <v>8.75</v>
      </c>
      <c r="P35" s="803" t="s">
        <v>295</v>
      </c>
      <c r="Q35" s="835">
        <v>8.75</v>
      </c>
      <c r="R35" s="835">
        <v>100</v>
      </c>
      <c r="S35" s="821">
        <v>120</v>
      </c>
      <c r="T35" s="821" t="s">
        <v>1863</v>
      </c>
      <c r="U35" s="821">
        <v>15</v>
      </c>
      <c r="V35" s="848" t="s">
        <v>1046</v>
      </c>
      <c r="W35" s="821" t="s">
        <v>1047</v>
      </c>
      <c r="X35" s="1634">
        <v>12</v>
      </c>
      <c r="Y35" s="1635" t="s">
        <v>295</v>
      </c>
      <c r="Z35" s="1634">
        <v>12</v>
      </c>
      <c r="AA35" s="1634">
        <v>350</v>
      </c>
      <c r="AB35" s="821">
        <v>165</v>
      </c>
      <c r="AC35" s="821" t="s">
        <v>1864</v>
      </c>
      <c r="AD35" s="821">
        <v>20</v>
      </c>
      <c r="AE35" s="848" t="s">
        <v>14</v>
      </c>
      <c r="AF35" s="821" t="s">
        <v>15</v>
      </c>
      <c r="AG35" s="542">
        <v>8.59</v>
      </c>
      <c r="AH35" s="821" t="s">
        <v>295</v>
      </c>
      <c r="AI35" s="542">
        <v>8.59</v>
      </c>
      <c r="AJ35" s="542">
        <v>3</v>
      </c>
      <c r="AK35" s="821">
        <v>210</v>
      </c>
      <c r="AL35" s="821" t="s">
        <v>1658</v>
      </c>
      <c r="AM35" s="821">
        <v>20</v>
      </c>
      <c r="AN35" s="848" t="s">
        <v>1659</v>
      </c>
      <c r="AO35" s="821" t="s">
        <v>1660</v>
      </c>
      <c r="AP35" s="542">
        <v>12.479999999999999</v>
      </c>
      <c r="AQ35" s="821" t="s">
        <v>295</v>
      </c>
      <c r="AR35" s="542">
        <v>12.479999999999999</v>
      </c>
      <c r="AS35" s="542">
        <v>150</v>
      </c>
      <c r="AT35" s="821">
        <v>11</v>
      </c>
      <c r="AU35" s="1695" t="s">
        <v>2494</v>
      </c>
      <c r="AV35" s="821">
        <v>9</v>
      </c>
      <c r="AW35" s="848" t="s">
        <v>2490</v>
      </c>
      <c r="AX35" s="821" t="s">
        <v>2491</v>
      </c>
      <c r="AY35" s="542" t="s">
        <v>2480</v>
      </c>
      <c r="AZ35" s="821" t="s">
        <v>295</v>
      </c>
      <c r="BA35" s="542" t="s">
        <v>2480</v>
      </c>
      <c r="BB35" s="542">
        <v>274.25</v>
      </c>
      <c r="BC35" s="803">
        <v>56</v>
      </c>
      <c r="BD35" s="1707" t="s">
        <v>2608</v>
      </c>
      <c r="BE35" s="803">
        <v>10</v>
      </c>
      <c r="BF35" s="803" t="s">
        <v>2564</v>
      </c>
      <c r="BG35" s="803" t="s">
        <v>2611</v>
      </c>
      <c r="BH35" s="1602" t="s">
        <v>2480</v>
      </c>
      <c r="BI35" s="803" t="s">
        <v>295</v>
      </c>
      <c r="BJ35" s="1603" t="s">
        <v>2480</v>
      </c>
      <c r="BK35" s="835">
        <v>115.5348</v>
      </c>
      <c r="BL35" s="803">
        <v>101</v>
      </c>
      <c r="BM35" s="1607" t="s">
        <v>2799</v>
      </c>
      <c r="BN35" s="803">
        <v>10</v>
      </c>
      <c r="BO35" s="803" t="s">
        <v>2788</v>
      </c>
      <c r="BP35" s="803" t="s">
        <v>2806</v>
      </c>
      <c r="BQ35" s="1603" t="s">
        <v>2480</v>
      </c>
      <c r="BR35" s="1605" t="s">
        <v>295</v>
      </c>
      <c r="BS35" s="1603" t="s">
        <v>2480</v>
      </c>
      <c r="BT35" s="835">
        <v>303.56979999999999</v>
      </c>
    </row>
    <row r="36" spans="1:72" s="162" customFormat="1" ht="12.6" customHeight="1">
      <c r="A36" s="767">
        <v>31</v>
      </c>
      <c r="B36" s="851" t="s">
        <v>2261</v>
      </c>
      <c r="C36" s="767">
        <v>5</v>
      </c>
      <c r="D36" s="767" t="s">
        <v>2262</v>
      </c>
      <c r="E36" s="767" t="s">
        <v>2263</v>
      </c>
      <c r="F36" s="770">
        <v>8.2899999999999991</v>
      </c>
      <c r="G36" s="834" t="s">
        <v>2280</v>
      </c>
      <c r="H36" s="770">
        <v>8.1999999999999993</v>
      </c>
      <c r="I36" s="770">
        <v>5200</v>
      </c>
      <c r="J36" s="779">
        <v>76</v>
      </c>
      <c r="K36" s="780" t="s">
        <v>1840</v>
      </c>
      <c r="L36" s="780">
        <v>15</v>
      </c>
      <c r="M36" s="780" t="s">
        <v>662</v>
      </c>
      <c r="N36" s="780" t="s">
        <v>663</v>
      </c>
      <c r="O36" s="778">
        <v>8.77</v>
      </c>
      <c r="P36" s="780" t="s">
        <v>295</v>
      </c>
      <c r="Q36" s="778">
        <v>8.77</v>
      </c>
      <c r="R36" s="778">
        <v>80</v>
      </c>
      <c r="S36" s="767">
        <v>121</v>
      </c>
      <c r="T36" s="851" t="s">
        <v>1633</v>
      </c>
      <c r="U36" s="834">
        <v>15</v>
      </c>
      <c r="V36" s="834" t="s">
        <v>1048</v>
      </c>
      <c r="W36" s="770" t="s">
        <v>1049</v>
      </c>
      <c r="X36" s="770">
        <v>11.97</v>
      </c>
      <c r="Y36" s="834" t="s">
        <v>295</v>
      </c>
      <c r="Z36" s="770">
        <v>11.97</v>
      </c>
      <c r="AA36" s="770">
        <v>350</v>
      </c>
      <c r="AB36" s="255">
        <v>166</v>
      </c>
      <c r="AC36" s="851" t="s">
        <v>1634</v>
      </c>
      <c r="AD36" s="834">
        <v>20</v>
      </c>
      <c r="AE36" s="834" t="s">
        <v>341</v>
      </c>
      <c r="AF36" s="770" t="s">
        <v>342</v>
      </c>
      <c r="AG36" s="770">
        <v>9.1</v>
      </c>
      <c r="AH36" s="834" t="s">
        <v>295</v>
      </c>
      <c r="AI36" s="770">
        <v>9.1</v>
      </c>
      <c r="AJ36" s="770">
        <v>125</v>
      </c>
      <c r="AK36" s="767">
        <v>211</v>
      </c>
      <c r="AL36" s="851" t="s">
        <v>1668</v>
      </c>
      <c r="AM36" s="834">
        <v>20</v>
      </c>
      <c r="AN36" s="834" t="s">
        <v>1669</v>
      </c>
      <c r="AO36" s="770" t="s">
        <v>1670</v>
      </c>
      <c r="AP36" s="770">
        <v>12.479999999999999</v>
      </c>
      <c r="AQ36" s="834" t="s">
        <v>295</v>
      </c>
      <c r="AR36" s="770">
        <v>12.479999999999999</v>
      </c>
      <c r="AS36" s="770">
        <v>150</v>
      </c>
      <c r="AT36" s="767">
        <v>12</v>
      </c>
      <c r="AU36" s="1696" t="s">
        <v>2495</v>
      </c>
      <c r="AV36" s="834">
        <v>9</v>
      </c>
      <c r="AW36" s="834" t="s">
        <v>2496</v>
      </c>
      <c r="AX36" s="770" t="s">
        <v>2497</v>
      </c>
      <c r="AY36" s="770" t="s">
        <v>2480</v>
      </c>
      <c r="AZ36" s="834" t="s">
        <v>295</v>
      </c>
      <c r="BA36" s="770" t="s">
        <v>2480</v>
      </c>
      <c r="BB36" s="770">
        <v>48.24</v>
      </c>
      <c r="BC36" s="834">
        <v>57</v>
      </c>
      <c r="BD36" s="1708" t="s">
        <v>2603</v>
      </c>
      <c r="BE36" s="779">
        <v>10</v>
      </c>
      <c r="BF36" s="779" t="s">
        <v>2564</v>
      </c>
      <c r="BG36" s="779" t="s">
        <v>2611</v>
      </c>
      <c r="BH36" s="1601" t="s">
        <v>2480</v>
      </c>
      <c r="BI36" s="779" t="s">
        <v>295</v>
      </c>
      <c r="BJ36" s="1604" t="s">
        <v>2480</v>
      </c>
      <c r="BK36" s="649">
        <v>36.376100000000001</v>
      </c>
      <c r="BL36" s="779">
        <v>102</v>
      </c>
      <c r="BM36" s="1608" t="s">
        <v>2800</v>
      </c>
      <c r="BN36" s="914">
        <v>9</v>
      </c>
      <c r="BO36" s="866" t="s">
        <v>2788</v>
      </c>
      <c r="BP36" s="779" t="s">
        <v>2805</v>
      </c>
      <c r="BQ36" s="1604" t="s">
        <v>2480</v>
      </c>
      <c r="BR36" s="1606" t="s">
        <v>295</v>
      </c>
      <c r="BS36" s="1604" t="s">
        <v>2480</v>
      </c>
      <c r="BT36" s="541">
        <v>319.16800000000001</v>
      </c>
    </row>
    <row r="37" spans="1:72" s="162" customFormat="1" ht="12.6" customHeight="1">
      <c r="A37" s="821">
        <v>32</v>
      </c>
      <c r="B37" s="821" t="s">
        <v>2285</v>
      </c>
      <c r="C37" s="821">
        <v>5</v>
      </c>
      <c r="D37" s="821" t="s">
        <v>2286</v>
      </c>
      <c r="E37" s="821" t="s">
        <v>2287</v>
      </c>
      <c r="F37" s="715">
        <v>8.26</v>
      </c>
      <c r="G37" s="821" t="s">
        <v>2294</v>
      </c>
      <c r="H37" s="715">
        <v>8.5</v>
      </c>
      <c r="I37" s="542">
        <v>6000</v>
      </c>
      <c r="J37" s="803">
        <v>77</v>
      </c>
      <c r="K37" s="803" t="s">
        <v>1846</v>
      </c>
      <c r="L37" s="803">
        <v>15</v>
      </c>
      <c r="M37" s="803" t="s">
        <v>664</v>
      </c>
      <c r="N37" s="803" t="s">
        <v>665</v>
      </c>
      <c r="O37" s="835">
        <v>8.8000000000000007</v>
      </c>
      <c r="P37" s="803" t="s">
        <v>295</v>
      </c>
      <c r="Q37" s="835">
        <v>8.8000000000000007</v>
      </c>
      <c r="R37" s="835">
        <v>75</v>
      </c>
      <c r="S37" s="821">
        <v>122</v>
      </c>
      <c r="T37" s="821" t="s">
        <v>1640</v>
      </c>
      <c r="U37" s="821">
        <v>15</v>
      </c>
      <c r="V37" s="848" t="s">
        <v>1052</v>
      </c>
      <c r="W37" s="821" t="s">
        <v>1056</v>
      </c>
      <c r="X37" s="542">
        <v>11.97</v>
      </c>
      <c r="Y37" s="821" t="s">
        <v>295</v>
      </c>
      <c r="Z37" s="542">
        <v>11.97</v>
      </c>
      <c r="AA37" s="542">
        <v>400</v>
      </c>
      <c r="AB37" s="821">
        <v>167</v>
      </c>
      <c r="AC37" s="821" t="s">
        <v>1641</v>
      </c>
      <c r="AD37" s="821">
        <v>20</v>
      </c>
      <c r="AE37" s="848" t="s">
        <v>343</v>
      </c>
      <c r="AF37" s="821" t="s">
        <v>344</v>
      </c>
      <c r="AG37" s="542">
        <v>9.1</v>
      </c>
      <c r="AH37" s="821" t="s">
        <v>295</v>
      </c>
      <c r="AI37" s="542">
        <v>9.1</v>
      </c>
      <c r="AJ37" s="542">
        <v>150</v>
      </c>
      <c r="AK37" s="821">
        <v>212</v>
      </c>
      <c r="AL37" s="821" t="s">
        <v>1674</v>
      </c>
      <c r="AM37" s="821">
        <v>20</v>
      </c>
      <c r="AN37" s="848" t="s">
        <v>1675</v>
      </c>
      <c r="AO37" s="821" t="s">
        <v>1676</v>
      </c>
      <c r="AP37" s="542">
        <v>12.479999999999999</v>
      </c>
      <c r="AQ37" s="821" t="s">
        <v>295</v>
      </c>
      <c r="AR37" s="542">
        <v>12.479999999999999</v>
      </c>
      <c r="AS37" s="542">
        <v>150</v>
      </c>
      <c r="AT37" s="821">
        <v>13</v>
      </c>
      <c r="AU37" s="1695" t="s">
        <v>2498</v>
      </c>
      <c r="AV37" s="821">
        <v>9</v>
      </c>
      <c r="AW37" s="848" t="s">
        <v>2496</v>
      </c>
      <c r="AX37" s="821" t="s">
        <v>2497</v>
      </c>
      <c r="AY37" s="542" t="s">
        <v>2480</v>
      </c>
      <c r="AZ37" s="821" t="s">
        <v>295</v>
      </c>
      <c r="BA37" s="542" t="s">
        <v>2480</v>
      </c>
      <c r="BB37" s="542">
        <v>51.7</v>
      </c>
      <c r="BC37" s="848">
        <v>58</v>
      </c>
      <c r="BD37" s="1707" t="s">
        <v>2604</v>
      </c>
      <c r="BE37" s="803">
        <v>10</v>
      </c>
      <c r="BF37" s="803" t="s">
        <v>2564</v>
      </c>
      <c r="BG37" s="803" t="s">
        <v>2611</v>
      </c>
      <c r="BH37" s="1602" t="s">
        <v>2480</v>
      </c>
      <c r="BI37" s="803" t="s">
        <v>295</v>
      </c>
      <c r="BJ37" s="1603" t="s">
        <v>2480</v>
      </c>
      <c r="BK37" s="835">
        <v>64.739999999999995</v>
      </c>
      <c r="BL37" s="803">
        <v>103</v>
      </c>
      <c r="BM37" s="1607" t="s">
        <v>2801</v>
      </c>
      <c r="BN37" s="803">
        <v>9</v>
      </c>
      <c r="BO37" s="803" t="s">
        <v>2788</v>
      </c>
      <c r="BP37" s="803" t="s">
        <v>2805</v>
      </c>
      <c r="BQ37" s="1603" t="s">
        <v>2480</v>
      </c>
      <c r="BR37" s="1605" t="s">
        <v>295</v>
      </c>
      <c r="BS37" s="1603" t="s">
        <v>2480</v>
      </c>
      <c r="BT37" s="835">
        <v>484.4862</v>
      </c>
    </row>
    <row r="38" spans="1:72" s="162" customFormat="1" ht="12.6" customHeight="1">
      <c r="A38" s="767">
        <v>33</v>
      </c>
      <c r="B38" s="851" t="s">
        <v>2331</v>
      </c>
      <c r="C38" s="767">
        <v>5</v>
      </c>
      <c r="D38" s="767" t="s">
        <v>2332</v>
      </c>
      <c r="E38" s="767" t="s">
        <v>2333</v>
      </c>
      <c r="F38" s="770">
        <v>8.75</v>
      </c>
      <c r="G38" s="834" t="s">
        <v>2342</v>
      </c>
      <c r="H38" s="770">
        <v>9.0399999999999991</v>
      </c>
      <c r="I38" s="770">
        <v>6000</v>
      </c>
      <c r="J38" s="779">
        <v>78</v>
      </c>
      <c r="K38" s="780" t="s">
        <v>1853</v>
      </c>
      <c r="L38" s="780">
        <v>15</v>
      </c>
      <c r="M38" s="780" t="s">
        <v>666</v>
      </c>
      <c r="N38" s="780" t="s">
        <v>667</v>
      </c>
      <c r="O38" s="778">
        <v>8.8000000000000007</v>
      </c>
      <c r="P38" s="780" t="s">
        <v>295</v>
      </c>
      <c r="Q38" s="778">
        <v>8.8000000000000007</v>
      </c>
      <c r="R38" s="778">
        <v>75</v>
      </c>
      <c r="S38" s="767">
        <v>123</v>
      </c>
      <c r="T38" s="851" t="s">
        <v>1649</v>
      </c>
      <c r="U38" s="834">
        <v>15</v>
      </c>
      <c r="V38" s="834" t="s">
        <v>1055</v>
      </c>
      <c r="W38" s="770" t="s">
        <v>1057</v>
      </c>
      <c r="X38" s="770">
        <v>11.97</v>
      </c>
      <c r="Y38" s="834" t="s">
        <v>295</v>
      </c>
      <c r="Z38" s="770">
        <v>11.97</v>
      </c>
      <c r="AA38" s="770">
        <v>400</v>
      </c>
      <c r="AB38" s="255">
        <v>168</v>
      </c>
      <c r="AC38" s="851" t="s">
        <v>1650</v>
      </c>
      <c r="AD38" s="834">
        <v>20</v>
      </c>
      <c r="AE38" s="834" t="s">
        <v>345</v>
      </c>
      <c r="AF38" s="770" t="s">
        <v>346</v>
      </c>
      <c r="AG38" s="770">
        <v>9.11</v>
      </c>
      <c r="AH38" s="834" t="s">
        <v>295</v>
      </c>
      <c r="AI38" s="770">
        <v>9.11</v>
      </c>
      <c r="AJ38" s="770">
        <v>100</v>
      </c>
      <c r="AK38" s="767">
        <v>213</v>
      </c>
      <c r="AL38" s="851" t="s">
        <v>1682</v>
      </c>
      <c r="AM38" s="834">
        <v>20</v>
      </c>
      <c r="AN38" s="834" t="s">
        <v>1683</v>
      </c>
      <c r="AO38" s="770" t="s">
        <v>1684</v>
      </c>
      <c r="AP38" s="770">
        <v>12.33</v>
      </c>
      <c r="AQ38" s="834" t="s">
        <v>295</v>
      </c>
      <c r="AR38" s="770">
        <v>12.33</v>
      </c>
      <c r="AS38" s="770">
        <v>150</v>
      </c>
      <c r="AT38" s="767">
        <v>14</v>
      </c>
      <c r="AU38" s="1696" t="s">
        <v>2499</v>
      </c>
      <c r="AV38" s="834">
        <v>9</v>
      </c>
      <c r="AW38" s="834" t="s">
        <v>2496</v>
      </c>
      <c r="AX38" s="770" t="s">
        <v>2497</v>
      </c>
      <c r="AY38" s="770" t="s">
        <v>2480</v>
      </c>
      <c r="AZ38" s="834" t="s">
        <v>295</v>
      </c>
      <c r="BA38" s="770" t="s">
        <v>2480</v>
      </c>
      <c r="BB38" s="770">
        <v>51.47</v>
      </c>
      <c r="BC38" s="834">
        <v>59</v>
      </c>
      <c r="BD38" s="1708" t="s">
        <v>2605</v>
      </c>
      <c r="BE38" s="779">
        <v>10</v>
      </c>
      <c r="BF38" s="779" t="s">
        <v>2564</v>
      </c>
      <c r="BG38" s="779" t="s">
        <v>2611</v>
      </c>
      <c r="BH38" s="1601" t="s">
        <v>2480</v>
      </c>
      <c r="BI38" s="779" t="s">
        <v>295</v>
      </c>
      <c r="BJ38" s="1604" t="s">
        <v>2480</v>
      </c>
      <c r="BK38" s="649">
        <v>75.4863</v>
      </c>
      <c r="BL38" s="779">
        <v>104</v>
      </c>
      <c r="BM38" s="1608" t="s">
        <v>2802</v>
      </c>
      <c r="BN38" s="914">
        <v>9</v>
      </c>
      <c r="BO38" s="866" t="s">
        <v>2788</v>
      </c>
      <c r="BP38" s="779" t="s">
        <v>2805</v>
      </c>
      <c r="BQ38" s="1604" t="s">
        <v>2480</v>
      </c>
      <c r="BR38" s="1606" t="s">
        <v>295</v>
      </c>
      <c r="BS38" s="1604" t="s">
        <v>2480</v>
      </c>
      <c r="BT38" s="541">
        <v>75.039400000000001</v>
      </c>
    </row>
    <row r="39" spans="1:72" s="162" customFormat="1" ht="12.6" customHeight="1">
      <c r="A39" s="821">
        <v>34</v>
      </c>
      <c r="B39" s="821" t="s">
        <v>2347</v>
      </c>
      <c r="C39" s="821">
        <v>5</v>
      </c>
      <c r="D39" s="821" t="s">
        <v>2348</v>
      </c>
      <c r="E39" s="821" t="s">
        <v>2379</v>
      </c>
      <c r="F39" s="715">
        <v>9</v>
      </c>
      <c r="G39" s="821" t="s">
        <v>295</v>
      </c>
      <c r="H39" s="715">
        <v>9</v>
      </c>
      <c r="I39" s="542">
        <v>3500</v>
      </c>
      <c r="J39" s="803">
        <v>79</v>
      </c>
      <c r="K39" s="803" t="s">
        <v>1860</v>
      </c>
      <c r="L39" s="803">
        <v>15</v>
      </c>
      <c r="M39" s="803" t="s">
        <v>1861</v>
      </c>
      <c r="N39" s="803" t="s">
        <v>1862</v>
      </c>
      <c r="O39" s="835">
        <v>8.85</v>
      </c>
      <c r="P39" s="803" t="s">
        <v>295</v>
      </c>
      <c r="Q39" s="835">
        <v>8.85</v>
      </c>
      <c r="R39" s="835">
        <v>140</v>
      </c>
      <c r="S39" s="821">
        <v>124</v>
      </c>
      <c r="T39" s="821" t="s">
        <v>1656</v>
      </c>
      <c r="U39" s="821">
        <v>15</v>
      </c>
      <c r="V39" s="848" t="s">
        <v>1071</v>
      </c>
      <c r="W39" s="821" t="s">
        <v>1072</v>
      </c>
      <c r="X39" s="542">
        <v>11.87</v>
      </c>
      <c r="Y39" s="821" t="s">
        <v>295</v>
      </c>
      <c r="Z39" s="542">
        <v>11.87</v>
      </c>
      <c r="AA39" s="542">
        <v>250</v>
      </c>
      <c r="AB39" s="821">
        <v>169</v>
      </c>
      <c r="AC39" s="821" t="s">
        <v>1657</v>
      </c>
      <c r="AD39" s="821">
        <v>20</v>
      </c>
      <c r="AE39" s="848" t="s">
        <v>347</v>
      </c>
      <c r="AF39" s="821" t="s">
        <v>348</v>
      </c>
      <c r="AG39" s="542">
        <v>9.15</v>
      </c>
      <c r="AH39" s="821" t="s">
        <v>295</v>
      </c>
      <c r="AI39" s="542">
        <v>9.15</v>
      </c>
      <c r="AJ39" s="542">
        <v>100</v>
      </c>
      <c r="AK39" s="821">
        <v>214</v>
      </c>
      <c r="AL39" s="821" t="s">
        <v>1689</v>
      </c>
      <c r="AM39" s="821">
        <v>20</v>
      </c>
      <c r="AN39" s="848" t="s">
        <v>1036</v>
      </c>
      <c r="AO39" s="821" t="s">
        <v>1037</v>
      </c>
      <c r="AP39" s="542">
        <v>12.33</v>
      </c>
      <c r="AQ39" s="821" t="s">
        <v>295</v>
      </c>
      <c r="AR39" s="542">
        <v>12.33</v>
      </c>
      <c r="AS39" s="542">
        <v>150</v>
      </c>
      <c r="AT39" s="821">
        <v>15</v>
      </c>
      <c r="AU39" s="1695" t="s">
        <v>2500</v>
      </c>
      <c r="AV39" s="821">
        <v>10</v>
      </c>
      <c r="AW39" s="848" t="s">
        <v>2436</v>
      </c>
      <c r="AX39" s="821" t="s">
        <v>2501</v>
      </c>
      <c r="AY39" s="542" t="s">
        <v>2480</v>
      </c>
      <c r="AZ39" s="821" t="s">
        <v>295</v>
      </c>
      <c r="BA39" s="542" t="s">
        <v>2480</v>
      </c>
      <c r="BB39" s="542">
        <v>1985.93</v>
      </c>
      <c r="BC39" s="803">
        <v>60</v>
      </c>
      <c r="BD39" s="1707" t="s">
        <v>2606</v>
      </c>
      <c r="BE39" s="803">
        <v>10</v>
      </c>
      <c r="BF39" s="803" t="s">
        <v>2609</v>
      </c>
      <c r="BG39" s="803" t="s">
        <v>2612</v>
      </c>
      <c r="BH39" s="1602" t="s">
        <v>2480</v>
      </c>
      <c r="BI39" s="803" t="s">
        <v>295</v>
      </c>
      <c r="BJ39" s="1603" t="s">
        <v>2480</v>
      </c>
      <c r="BK39" s="835">
        <v>20.03</v>
      </c>
      <c r="BL39" s="803">
        <v>105</v>
      </c>
      <c r="BM39" s="1607" t="s">
        <v>2803</v>
      </c>
      <c r="BN39" s="803">
        <v>9</v>
      </c>
      <c r="BO39" s="803" t="s">
        <v>2788</v>
      </c>
      <c r="BP39" s="803" t="s">
        <v>2805</v>
      </c>
      <c r="BQ39" s="1603" t="s">
        <v>2480</v>
      </c>
      <c r="BR39" s="1605" t="s">
        <v>295</v>
      </c>
      <c r="BS39" s="1603" t="s">
        <v>2480</v>
      </c>
      <c r="BT39" s="835">
        <v>273.71629999999999</v>
      </c>
    </row>
    <row r="40" spans="1:72" s="162" customFormat="1" ht="12.6" customHeight="1">
      <c r="A40" s="767">
        <v>35</v>
      </c>
      <c r="B40" s="851" t="s">
        <v>2377</v>
      </c>
      <c r="C40" s="767">
        <v>5</v>
      </c>
      <c r="D40" s="767" t="s">
        <v>2378</v>
      </c>
      <c r="E40" s="767" t="s">
        <v>2380</v>
      </c>
      <c r="F40" s="770">
        <v>9.1</v>
      </c>
      <c r="G40" s="834" t="s">
        <v>2384</v>
      </c>
      <c r="H40" s="770">
        <v>10.09</v>
      </c>
      <c r="I40" s="770">
        <v>3789.83</v>
      </c>
      <c r="J40" s="779">
        <v>80</v>
      </c>
      <c r="K40" s="780" t="s">
        <v>1632</v>
      </c>
      <c r="L40" s="780">
        <v>15</v>
      </c>
      <c r="M40" s="780" t="s">
        <v>668</v>
      </c>
      <c r="N40" s="780" t="s">
        <v>669</v>
      </c>
      <c r="O40" s="778">
        <v>8.86</v>
      </c>
      <c r="P40" s="780" t="s">
        <v>295</v>
      </c>
      <c r="Q40" s="778">
        <v>8.86</v>
      </c>
      <c r="R40" s="778">
        <v>140</v>
      </c>
      <c r="S40" s="767">
        <v>125</v>
      </c>
      <c r="T40" s="851" t="s">
        <v>1664</v>
      </c>
      <c r="U40" s="834">
        <v>15</v>
      </c>
      <c r="V40" s="834" t="s">
        <v>1073</v>
      </c>
      <c r="W40" s="770" t="s">
        <v>1074</v>
      </c>
      <c r="X40" s="770">
        <v>11.59</v>
      </c>
      <c r="Y40" s="834" t="s">
        <v>295</v>
      </c>
      <c r="Z40" s="770">
        <v>11.59</v>
      </c>
      <c r="AA40" s="770">
        <v>250</v>
      </c>
      <c r="AB40" s="255">
        <v>170</v>
      </c>
      <c r="AC40" s="851" t="s">
        <v>1665</v>
      </c>
      <c r="AD40" s="834">
        <v>20</v>
      </c>
      <c r="AE40" s="834" t="s">
        <v>1666</v>
      </c>
      <c r="AF40" s="770" t="s">
        <v>1667</v>
      </c>
      <c r="AG40" s="770">
        <v>9.17</v>
      </c>
      <c r="AH40" s="834" t="s">
        <v>295</v>
      </c>
      <c r="AI40" s="770">
        <v>9.17</v>
      </c>
      <c r="AJ40" s="770">
        <v>80</v>
      </c>
      <c r="AK40" s="767">
        <v>215</v>
      </c>
      <c r="AL40" s="851" t="s">
        <v>1693</v>
      </c>
      <c r="AM40" s="834">
        <v>20</v>
      </c>
      <c r="AN40" s="834" t="s">
        <v>1039</v>
      </c>
      <c r="AO40" s="770" t="s">
        <v>1040</v>
      </c>
      <c r="AP40" s="770">
        <v>12.26</v>
      </c>
      <c r="AQ40" s="834" t="s">
        <v>295</v>
      </c>
      <c r="AR40" s="770">
        <v>12.26</v>
      </c>
      <c r="AS40" s="770">
        <v>150</v>
      </c>
      <c r="AT40" s="767">
        <v>16</v>
      </c>
      <c r="AU40" s="1696" t="s">
        <v>2502</v>
      </c>
      <c r="AV40" s="834">
        <v>10</v>
      </c>
      <c r="AW40" s="834" t="s">
        <v>2436</v>
      </c>
      <c r="AX40" s="770" t="s">
        <v>2501</v>
      </c>
      <c r="AY40" s="770" t="s">
        <v>2480</v>
      </c>
      <c r="AZ40" s="834" t="s">
        <v>295</v>
      </c>
      <c r="BA40" s="770" t="s">
        <v>2480</v>
      </c>
      <c r="BB40" s="770">
        <v>77.56</v>
      </c>
      <c r="BC40" s="779">
        <v>61</v>
      </c>
      <c r="BD40" s="1708" t="s">
        <v>2607</v>
      </c>
      <c r="BE40" s="779">
        <v>10</v>
      </c>
      <c r="BF40" s="779" t="s">
        <v>2609</v>
      </c>
      <c r="BG40" s="779" t="s">
        <v>2612</v>
      </c>
      <c r="BH40" s="1601" t="s">
        <v>2480</v>
      </c>
      <c r="BI40" s="779" t="s">
        <v>295</v>
      </c>
      <c r="BJ40" s="1604" t="s">
        <v>2480</v>
      </c>
      <c r="BK40" s="649">
        <v>18.048400000000001</v>
      </c>
      <c r="BL40" s="779">
        <v>106</v>
      </c>
      <c r="BM40" s="1608" t="s">
        <v>2804</v>
      </c>
      <c r="BN40" s="914">
        <v>9</v>
      </c>
      <c r="BO40" s="866" t="s">
        <v>2788</v>
      </c>
      <c r="BP40" s="779" t="s">
        <v>2805</v>
      </c>
      <c r="BQ40" s="1604" t="s">
        <v>2480</v>
      </c>
      <c r="BR40" s="767" t="s">
        <v>295</v>
      </c>
      <c r="BS40" s="1604" t="s">
        <v>2480</v>
      </c>
      <c r="BT40" s="541">
        <v>35</v>
      </c>
    </row>
    <row r="41" spans="1:72" s="162" customFormat="1" ht="12.6" customHeight="1">
      <c r="A41" s="821">
        <v>36</v>
      </c>
      <c r="B41" s="821" t="s">
        <v>2393</v>
      </c>
      <c r="C41" s="821">
        <v>5</v>
      </c>
      <c r="D41" s="821" t="s">
        <v>2394</v>
      </c>
      <c r="E41" s="821" t="s">
        <v>2395</v>
      </c>
      <c r="F41" s="715">
        <v>10.99</v>
      </c>
      <c r="G41" s="821" t="s">
        <v>2458</v>
      </c>
      <c r="H41" s="715">
        <v>11.95</v>
      </c>
      <c r="I41" s="542">
        <v>3934.8999999999996</v>
      </c>
      <c r="J41" s="803">
        <v>81</v>
      </c>
      <c r="K41" s="803" t="s">
        <v>1639</v>
      </c>
      <c r="L41" s="803">
        <v>15</v>
      </c>
      <c r="M41" s="803" t="s">
        <v>670</v>
      </c>
      <c r="N41" s="803" t="s">
        <v>671</v>
      </c>
      <c r="O41" s="835">
        <v>8.92</v>
      </c>
      <c r="P41" s="803" t="s">
        <v>295</v>
      </c>
      <c r="Q41" s="835">
        <v>8.92</v>
      </c>
      <c r="R41" s="835">
        <v>140</v>
      </c>
      <c r="S41" s="821">
        <v>126</v>
      </c>
      <c r="T41" s="821" t="s">
        <v>1672</v>
      </c>
      <c r="U41" s="821">
        <v>15</v>
      </c>
      <c r="V41" s="848" t="s">
        <v>1077</v>
      </c>
      <c r="W41" s="821" t="s">
        <v>1078</v>
      </c>
      <c r="X41" s="542">
        <v>11.5</v>
      </c>
      <c r="Y41" s="821" t="s">
        <v>295</v>
      </c>
      <c r="Z41" s="542">
        <v>11.5</v>
      </c>
      <c r="AA41" s="542">
        <v>250</v>
      </c>
      <c r="AB41" s="821">
        <v>171</v>
      </c>
      <c r="AC41" s="821" t="s">
        <v>1673</v>
      </c>
      <c r="AD41" s="821">
        <v>20</v>
      </c>
      <c r="AE41" s="848" t="s">
        <v>682</v>
      </c>
      <c r="AF41" s="821" t="s">
        <v>683</v>
      </c>
      <c r="AG41" s="542">
        <v>9.1999999999999993</v>
      </c>
      <c r="AH41" s="821" t="s">
        <v>295</v>
      </c>
      <c r="AI41" s="542">
        <v>9.1999999999999993</v>
      </c>
      <c r="AJ41" s="542">
        <v>75</v>
      </c>
      <c r="AK41" s="821">
        <v>216</v>
      </c>
      <c r="AL41" s="821" t="s">
        <v>1697</v>
      </c>
      <c r="AM41" s="821">
        <v>20</v>
      </c>
      <c r="AN41" s="848" t="s">
        <v>1042</v>
      </c>
      <c r="AO41" s="821" t="s">
        <v>1043</v>
      </c>
      <c r="AP41" s="542">
        <v>12.24</v>
      </c>
      <c r="AQ41" s="821" t="s">
        <v>295</v>
      </c>
      <c r="AR41" s="542">
        <v>12.24</v>
      </c>
      <c r="AS41" s="542">
        <v>150</v>
      </c>
      <c r="AT41" s="821">
        <v>17</v>
      </c>
      <c r="AU41" s="1695" t="s">
        <v>2503</v>
      </c>
      <c r="AV41" s="821">
        <v>10</v>
      </c>
      <c r="AW41" s="848" t="s">
        <v>2504</v>
      </c>
      <c r="AX41" s="821" t="s">
        <v>1040</v>
      </c>
      <c r="AY41" s="542" t="s">
        <v>2480</v>
      </c>
      <c r="AZ41" s="821" t="s">
        <v>295</v>
      </c>
      <c r="BA41" s="542" t="s">
        <v>2480</v>
      </c>
      <c r="BB41" s="542">
        <v>1050.48</v>
      </c>
      <c r="BC41" s="803">
        <v>62</v>
      </c>
      <c r="BD41" s="1707" t="s">
        <v>2610</v>
      </c>
      <c r="BE41" s="915">
        <v>10</v>
      </c>
      <c r="BF41" s="865" t="s">
        <v>2609</v>
      </c>
      <c r="BG41" s="865" t="s">
        <v>2612</v>
      </c>
      <c r="BH41" s="1603" t="s">
        <v>2480</v>
      </c>
      <c r="BI41" s="821" t="s">
        <v>295</v>
      </c>
      <c r="BJ41" s="1603" t="s">
        <v>2480</v>
      </c>
      <c r="BK41" s="542">
        <v>6.0328999999999997</v>
      </c>
      <c r="BL41" s="803">
        <v>107</v>
      </c>
      <c r="BM41" s="1607" t="s">
        <v>2841</v>
      </c>
      <c r="BN41" s="803">
        <v>9</v>
      </c>
      <c r="BO41" s="803" t="s">
        <v>2845</v>
      </c>
      <c r="BP41" s="803" t="s">
        <v>2846</v>
      </c>
      <c r="BQ41" s="1603" t="s">
        <v>2480</v>
      </c>
      <c r="BR41" s="803" t="s">
        <v>295</v>
      </c>
      <c r="BS41" s="1603" t="s">
        <v>2480</v>
      </c>
      <c r="BT41" s="835">
        <v>1581.1470999999999</v>
      </c>
    </row>
    <row r="42" spans="1:72" s="162" customFormat="1" ht="12.6" customHeight="1">
      <c r="A42" s="767">
        <v>37</v>
      </c>
      <c r="B42" s="851" t="s">
        <v>2420</v>
      </c>
      <c r="C42" s="767">
        <v>5</v>
      </c>
      <c r="D42" s="767" t="s">
        <v>2421</v>
      </c>
      <c r="E42" s="767" t="s">
        <v>2422</v>
      </c>
      <c r="F42" s="770">
        <v>10.35</v>
      </c>
      <c r="G42" s="834" t="s">
        <v>2735</v>
      </c>
      <c r="H42" s="770">
        <v>12.4</v>
      </c>
      <c r="I42" s="770">
        <v>5430.21</v>
      </c>
      <c r="J42" s="779">
        <v>82</v>
      </c>
      <c r="K42" s="780" t="s">
        <v>1648</v>
      </c>
      <c r="L42" s="780">
        <v>15</v>
      </c>
      <c r="M42" s="780" t="s">
        <v>672</v>
      </c>
      <c r="N42" s="780" t="s">
        <v>673</v>
      </c>
      <c r="O42" s="778">
        <v>8.9499999999999993</v>
      </c>
      <c r="P42" s="780" t="s">
        <v>295</v>
      </c>
      <c r="Q42" s="778">
        <v>8.9499999999999993</v>
      </c>
      <c r="R42" s="778">
        <v>150</v>
      </c>
      <c r="S42" s="767">
        <v>127</v>
      </c>
      <c r="T42" s="851" t="s">
        <v>1678</v>
      </c>
      <c r="U42" s="834">
        <v>15</v>
      </c>
      <c r="V42" s="834" t="s">
        <v>1087</v>
      </c>
      <c r="W42" s="770" t="s">
        <v>1088</v>
      </c>
      <c r="X42" s="770">
        <v>11.42</v>
      </c>
      <c r="Y42" s="834" t="s">
        <v>295</v>
      </c>
      <c r="Z42" s="770">
        <v>11.42</v>
      </c>
      <c r="AA42" s="770">
        <v>250</v>
      </c>
      <c r="AB42" s="255">
        <v>172</v>
      </c>
      <c r="AC42" s="851" t="s">
        <v>1679</v>
      </c>
      <c r="AD42" s="834">
        <v>20</v>
      </c>
      <c r="AE42" s="834" t="s">
        <v>1680</v>
      </c>
      <c r="AF42" s="770" t="s">
        <v>1681</v>
      </c>
      <c r="AG42" s="770">
        <v>9.15</v>
      </c>
      <c r="AH42" s="834" t="s">
        <v>295</v>
      </c>
      <c r="AI42" s="770">
        <v>9.15</v>
      </c>
      <c r="AJ42" s="770">
        <v>75</v>
      </c>
      <c r="AK42" s="767">
        <v>217</v>
      </c>
      <c r="AL42" s="851" t="s">
        <v>1701</v>
      </c>
      <c r="AM42" s="834">
        <v>20</v>
      </c>
      <c r="AN42" s="834" t="s">
        <v>1046</v>
      </c>
      <c r="AO42" s="770" t="s">
        <v>1050</v>
      </c>
      <c r="AP42" s="770">
        <v>12.139999999999999</v>
      </c>
      <c r="AQ42" s="834" t="s">
        <v>295</v>
      </c>
      <c r="AR42" s="770">
        <v>12.139999999999999</v>
      </c>
      <c r="AS42" s="770">
        <v>300</v>
      </c>
      <c r="AT42" s="767">
        <v>18</v>
      </c>
      <c r="AU42" s="1696" t="s">
        <v>2483</v>
      </c>
      <c r="AV42" s="834">
        <v>10</v>
      </c>
      <c r="AW42" s="834" t="s">
        <v>2487</v>
      </c>
      <c r="AX42" s="770" t="s">
        <v>2505</v>
      </c>
      <c r="AY42" s="770" t="s">
        <v>2480</v>
      </c>
      <c r="AZ42" s="834" t="s">
        <v>295</v>
      </c>
      <c r="BA42" s="770" t="s">
        <v>2480</v>
      </c>
      <c r="BB42" s="770">
        <v>666.11</v>
      </c>
      <c r="BC42" s="779">
        <v>63</v>
      </c>
      <c r="BD42" s="1708" t="s">
        <v>2613</v>
      </c>
      <c r="BE42" s="914">
        <v>10</v>
      </c>
      <c r="BF42" s="866" t="s">
        <v>2609</v>
      </c>
      <c r="BG42" s="779" t="s">
        <v>2612</v>
      </c>
      <c r="BH42" s="1604" t="s">
        <v>1914</v>
      </c>
      <c r="BI42" s="767" t="s">
        <v>295</v>
      </c>
      <c r="BJ42" s="1604" t="s">
        <v>1914</v>
      </c>
      <c r="BK42" s="541">
        <v>218.24969999999999</v>
      </c>
      <c r="BL42" s="779">
        <v>108</v>
      </c>
      <c r="BM42" s="1608" t="s">
        <v>2842</v>
      </c>
      <c r="BN42" s="914">
        <v>9</v>
      </c>
      <c r="BO42" s="866" t="s">
        <v>2845</v>
      </c>
      <c r="BP42" s="779" t="s">
        <v>2846</v>
      </c>
      <c r="BQ42" s="1604" t="s">
        <v>2480</v>
      </c>
      <c r="BR42" s="767" t="s">
        <v>295</v>
      </c>
      <c r="BS42" s="1604" t="s">
        <v>2480</v>
      </c>
      <c r="BT42" s="541">
        <v>249.5</v>
      </c>
    </row>
    <row r="43" spans="1:72" s="162" customFormat="1" ht="12.6" customHeight="1">
      <c r="A43" s="821">
        <v>38</v>
      </c>
      <c r="B43" s="821" t="s">
        <v>2559</v>
      </c>
      <c r="C43" s="821">
        <v>5</v>
      </c>
      <c r="D43" s="821" t="s">
        <v>1942</v>
      </c>
      <c r="E43" s="821" t="s">
        <v>2560</v>
      </c>
      <c r="F43" s="715">
        <v>12.1</v>
      </c>
      <c r="G43" s="821" t="s">
        <v>1545</v>
      </c>
      <c r="H43" s="715">
        <v>12.41</v>
      </c>
      <c r="I43" s="542">
        <v>6141.35</v>
      </c>
      <c r="J43" s="803">
        <v>83</v>
      </c>
      <c r="K43" s="803" t="s">
        <v>1655</v>
      </c>
      <c r="L43" s="803">
        <v>15</v>
      </c>
      <c r="M43" s="803" t="s">
        <v>674</v>
      </c>
      <c r="N43" s="803" t="s">
        <v>675</v>
      </c>
      <c r="O43" s="835">
        <v>9.0500000000000007</v>
      </c>
      <c r="P43" s="803" t="s">
        <v>295</v>
      </c>
      <c r="Q43" s="835">
        <v>9.0500000000000007</v>
      </c>
      <c r="R43" s="835">
        <v>150</v>
      </c>
      <c r="S43" s="821">
        <v>128</v>
      </c>
      <c r="T43" s="821" t="s">
        <v>1686</v>
      </c>
      <c r="U43" s="821">
        <v>15</v>
      </c>
      <c r="V43" s="848" t="s">
        <v>1089</v>
      </c>
      <c r="W43" s="821" t="s">
        <v>1090</v>
      </c>
      <c r="X43" s="542">
        <v>11.469999999999999</v>
      </c>
      <c r="Y43" s="821" t="s">
        <v>1687</v>
      </c>
      <c r="Z43" s="542">
        <v>11.4</v>
      </c>
      <c r="AA43" s="542">
        <v>680</v>
      </c>
      <c r="AB43" s="821">
        <v>173</v>
      </c>
      <c r="AC43" s="821" t="s">
        <v>1688</v>
      </c>
      <c r="AD43" s="821">
        <v>20</v>
      </c>
      <c r="AE43" s="848" t="s">
        <v>684</v>
      </c>
      <c r="AF43" s="821" t="s">
        <v>685</v>
      </c>
      <c r="AG43" s="542">
        <v>9.1999999999999993</v>
      </c>
      <c r="AH43" s="821" t="s">
        <v>295</v>
      </c>
      <c r="AI43" s="542">
        <v>9.1999999999999993</v>
      </c>
      <c r="AJ43" s="542">
        <v>125</v>
      </c>
      <c r="AK43" s="821">
        <v>218</v>
      </c>
      <c r="AL43" s="821" t="s">
        <v>1705</v>
      </c>
      <c r="AM43" s="821">
        <v>20</v>
      </c>
      <c r="AN43" s="848" t="s">
        <v>1048</v>
      </c>
      <c r="AO43" s="821" t="s">
        <v>1051</v>
      </c>
      <c r="AP43" s="542">
        <v>12.139999999999999</v>
      </c>
      <c r="AQ43" s="821" t="s">
        <v>295</v>
      </c>
      <c r="AR43" s="542">
        <v>12.139999999999999</v>
      </c>
      <c r="AS43" s="542">
        <v>300</v>
      </c>
      <c r="AT43" s="821">
        <v>19</v>
      </c>
      <c r="AU43" s="1695" t="s">
        <v>2481</v>
      </c>
      <c r="AV43" s="821">
        <v>10</v>
      </c>
      <c r="AW43" s="848" t="s">
        <v>2487</v>
      </c>
      <c r="AX43" s="821" t="s">
        <v>2505</v>
      </c>
      <c r="AY43" s="542" t="s">
        <v>2480</v>
      </c>
      <c r="AZ43" s="821" t="s">
        <v>295</v>
      </c>
      <c r="BA43" s="542" t="s">
        <v>2480</v>
      </c>
      <c r="BB43" s="542">
        <v>504.76</v>
      </c>
      <c r="BC43" s="803">
        <v>64</v>
      </c>
      <c r="BD43" s="1707" t="s">
        <v>2615</v>
      </c>
      <c r="BE43" s="915">
        <v>10</v>
      </c>
      <c r="BF43" s="865" t="s">
        <v>2570</v>
      </c>
      <c r="BG43" s="865" t="s">
        <v>2614</v>
      </c>
      <c r="BH43" s="1603" t="s">
        <v>2480</v>
      </c>
      <c r="BI43" s="821" t="s">
        <v>295</v>
      </c>
      <c r="BJ43" s="1603" t="s">
        <v>2480</v>
      </c>
      <c r="BK43" s="542">
        <v>23.218399999999999</v>
      </c>
      <c r="BL43" s="803">
        <v>109</v>
      </c>
      <c r="BM43" s="1607" t="s">
        <v>2603</v>
      </c>
      <c r="BN43" s="803">
        <v>9</v>
      </c>
      <c r="BO43" s="803" t="s">
        <v>2845</v>
      </c>
      <c r="BP43" s="803" t="s">
        <v>2846</v>
      </c>
      <c r="BQ43" s="1603" t="s">
        <v>2480</v>
      </c>
      <c r="BR43" s="803" t="s">
        <v>295</v>
      </c>
      <c r="BS43" s="1603" t="s">
        <v>2480</v>
      </c>
      <c r="BT43" s="835">
        <v>0.79039999999999999</v>
      </c>
    </row>
    <row r="44" spans="1:72" s="162" customFormat="1" ht="12.6" customHeight="1">
      <c r="A44" s="767">
        <v>39</v>
      </c>
      <c r="B44" s="851" t="s">
        <v>2571</v>
      </c>
      <c r="C44" s="767">
        <v>5</v>
      </c>
      <c r="D44" s="767" t="s">
        <v>2572</v>
      </c>
      <c r="E44" s="767" t="s">
        <v>2573</v>
      </c>
      <c r="F44" s="770">
        <v>12.4</v>
      </c>
      <c r="G44" s="834" t="s">
        <v>2765</v>
      </c>
      <c r="H44" s="770">
        <v>12.37</v>
      </c>
      <c r="I44" s="770">
        <v>7760.69</v>
      </c>
      <c r="J44" s="779">
        <v>84</v>
      </c>
      <c r="K44" s="780" t="s">
        <v>1663</v>
      </c>
      <c r="L44" s="780">
        <v>15</v>
      </c>
      <c r="M44" s="780" t="s">
        <v>676</v>
      </c>
      <c r="N44" s="780" t="s">
        <v>677</v>
      </c>
      <c r="O44" s="778">
        <v>9.1199999999999992</v>
      </c>
      <c r="P44" s="780" t="s">
        <v>295</v>
      </c>
      <c r="Q44" s="778">
        <v>9.1199999999999992</v>
      </c>
      <c r="R44" s="778">
        <v>150</v>
      </c>
      <c r="S44" s="767">
        <v>129</v>
      </c>
      <c r="T44" s="851" t="s">
        <v>1691</v>
      </c>
      <c r="U44" s="834">
        <v>15</v>
      </c>
      <c r="V44" s="834" t="s">
        <v>1195</v>
      </c>
      <c r="W44" s="770" t="s">
        <v>685</v>
      </c>
      <c r="X44" s="770">
        <v>10.059999999999999</v>
      </c>
      <c r="Y44" s="834" t="s">
        <v>1568</v>
      </c>
      <c r="Z44" s="770">
        <v>9.09</v>
      </c>
      <c r="AA44" s="770">
        <v>3000</v>
      </c>
      <c r="AB44" s="255">
        <v>174</v>
      </c>
      <c r="AC44" s="851" t="s">
        <v>1692</v>
      </c>
      <c r="AD44" s="834">
        <v>20</v>
      </c>
      <c r="AE44" s="834" t="s">
        <v>686</v>
      </c>
      <c r="AF44" s="770" t="s">
        <v>687</v>
      </c>
      <c r="AG44" s="770">
        <v>9.23</v>
      </c>
      <c r="AH44" s="834" t="s">
        <v>295</v>
      </c>
      <c r="AI44" s="770">
        <v>9.23</v>
      </c>
      <c r="AJ44" s="770">
        <v>125</v>
      </c>
      <c r="AK44" s="767">
        <v>219</v>
      </c>
      <c r="AL44" s="851" t="s">
        <v>1712</v>
      </c>
      <c r="AM44" s="834">
        <v>20</v>
      </c>
      <c r="AN44" s="834" t="s">
        <v>1052</v>
      </c>
      <c r="AO44" s="770" t="s">
        <v>1053</v>
      </c>
      <c r="AP44" s="770">
        <v>12.139999999999999</v>
      </c>
      <c r="AQ44" s="834" t="s">
        <v>295</v>
      </c>
      <c r="AR44" s="770">
        <v>12.139999999999999</v>
      </c>
      <c r="AS44" s="770">
        <v>350</v>
      </c>
      <c r="AT44" s="767">
        <v>20</v>
      </c>
      <c r="AU44" s="1696" t="s">
        <v>2506</v>
      </c>
      <c r="AV44" s="834">
        <v>10</v>
      </c>
      <c r="AW44" s="834" t="s">
        <v>2487</v>
      </c>
      <c r="AX44" s="770" t="s">
        <v>2505</v>
      </c>
      <c r="AY44" s="770" t="s">
        <v>2480</v>
      </c>
      <c r="AZ44" s="834" t="s">
        <v>295</v>
      </c>
      <c r="BA44" s="770" t="s">
        <v>2480</v>
      </c>
      <c r="BB44" s="770">
        <v>330.53</v>
      </c>
      <c r="BC44" s="779">
        <v>65</v>
      </c>
      <c r="BD44" s="1708" t="s">
        <v>2616</v>
      </c>
      <c r="BE44" s="914">
        <v>10</v>
      </c>
      <c r="BF44" s="866" t="s">
        <v>2570</v>
      </c>
      <c r="BG44" s="779" t="s">
        <v>2614</v>
      </c>
      <c r="BH44" s="1604" t="s">
        <v>2480</v>
      </c>
      <c r="BI44" s="767" t="s">
        <v>295</v>
      </c>
      <c r="BJ44" s="1604" t="s">
        <v>2480</v>
      </c>
      <c r="BK44" s="541">
        <v>1023.5085</v>
      </c>
      <c r="BL44" s="779">
        <v>110</v>
      </c>
      <c r="BM44" s="1727" t="s">
        <v>2590</v>
      </c>
      <c r="BN44" s="141">
        <v>10</v>
      </c>
      <c r="BO44" s="866" t="s">
        <v>2845</v>
      </c>
      <c r="BP44" s="779" t="s">
        <v>2847</v>
      </c>
      <c r="BQ44" s="1604" t="s">
        <v>2480</v>
      </c>
      <c r="BR44" s="227" t="s">
        <v>295</v>
      </c>
      <c r="BS44" s="1604" t="s">
        <v>2480</v>
      </c>
      <c r="BT44" s="234">
        <v>5.82</v>
      </c>
    </row>
    <row r="45" spans="1:72" s="162" customFormat="1" ht="12.6" customHeight="1">
      <c r="A45" s="821">
        <v>40</v>
      </c>
      <c r="B45" s="821" t="s">
        <v>2784</v>
      </c>
      <c r="C45" s="821">
        <v>5</v>
      </c>
      <c r="D45" s="821" t="s">
        <v>2785</v>
      </c>
      <c r="E45" s="821" t="s">
        <v>2786</v>
      </c>
      <c r="F45" s="715">
        <v>12.3</v>
      </c>
      <c r="G45" s="821" t="s">
        <v>2836</v>
      </c>
      <c r="H45" s="715">
        <v>12.45</v>
      </c>
      <c r="I45" s="542">
        <v>7510.16</v>
      </c>
      <c r="J45" s="803">
        <v>85</v>
      </c>
      <c r="K45" s="803" t="s">
        <v>1671</v>
      </c>
      <c r="L45" s="803">
        <v>15</v>
      </c>
      <c r="M45" s="803" t="s">
        <v>678</v>
      </c>
      <c r="N45" s="803" t="s">
        <v>679</v>
      </c>
      <c r="O45" s="835">
        <v>9.1199999999999992</v>
      </c>
      <c r="P45" s="803" t="s">
        <v>295</v>
      </c>
      <c r="Q45" s="835">
        <v>9.1199999999999992</v>
      </c>
      <c r="R45" s="835">
        <v>200</v>
      </c>
      <c r="S45" s="821">
        <v>130</v>
      </c>
      <c r="T45" s="821" t="s">
        <v>1695</v>
      </c>
      <c r="U45" s="821">
        <v>15</v>
      </c>
      <c r="V45" s="848" t="s">
        <v>1197</v>
      </c>
      <c r="W45" s="821" t="s">
        <v>1198</v>
      </c>
      <c r="X45" s="542">
        <v>8.44</v>
      </c>
      <c r="Y45" s="821" t="s">
        <v>1450</v>
      </c>
      <c r="Z45" s="542">
        <v>7.99</v>
      </c>
      <c r="AA45" s="542">
        <v>3000</v>
      </c>
      <c r="AB45" s="821">
        <v>175</v>
      </c>
      <c r="AC45" s="821" t="s">
        <v>1696</v>
      </c>
      <c r="AD45" s="821">
        <v>20</v>
      </c>
      <c r="AE45" s="848" t="s">
        <v>688</v>
      </c>
      <c r="AF45" s="821" t="s">
        <v>689</v>
      </c>
      <c r="AG45" s="542">
        <v>9.25</v>
      </c>
      <c r="AH45" s="821" t="s">
        <v>295</v>
      </c>
      <c r="AI45" s="542">
        <v>9.25</v>
      </c>
      <c r="AJ45" s="542">
        <v>125</v>
      </c>
      <c r="AK45" s="821">
        <v>220</v>
      </c>
      <c r="AL45" s="821" t="s">
        <v>1718</v>
      </c>
      <c r="AM45" s="821">
        <v>20</v>
      </c>
      <c r="AN45" s="848" t="s">
        <v>1055</v>
      </c>
      <c r="AO45" s="821" t="s">
        <v>1054</v>
      </c>
      <c r="AP45" s="542">
        <v>12.120000000000001</v>
      </c>
      <c r="AQ45" s="821" t="s">
        <v>295</v>
      </c>
      <c r="AR45" s="542">
        <v>12.120000000000001</v>
      </c>
      <c r="AS45" s="542">
        <v>350</v>
      </c>
      <c r="AT45" s="821">
        <v>21</v>
      </c>
      <c r="AU45" s="1695" t="s">
        <v>2507</v>
      </c>
      <c r="AV45" s="821">
        <v>10</v>
      </c>
      <c r="AW45" s="848" t="s">
        <v>2496</v>
      </c>
      <c r="AX45" s="821" t="s">
        <v>2508</v>
      </c>
      <c r="AY45" s="542" t="s">
        <v>2480</v>
      </c>
      <c r="AZ45" s="821" t="s">
        <v>295</v>
      </c>
      <c r="BA45" s="542" t="s">
        <v>2480</v>
      </c>
      <c r="BB45" s="542">
        <v>5.61</v>
      </c>
      <c r="BC45" s="803">
        <v>66</v>
      </c>
      <c r="BD45" s="1707" t="s">
        <v>2617</v>
      </c>
      <c r="BE45" s="915">
        <v>10</v>
      </c>
      <c r="BF45" s="865" t="s">
        <v>2570</v>
      </c>
      <c r="BG45" s="865" t="s">
        <v>2614</v>
      </c>
      <c r="BH45" s="1603" t="s">
        <v>2480</v>
      </c>
      <c r="BI45" s="821" t="s">
        <v>295</v>
      </c>
      <c r="BJ45" s="1603" t="s">
        <v>2480</v>
      </c>
      <c r="BK45" s="542">
        <v>8.0681999999999992</v>
      </c>
      <c r="BL45" s="803">
        <v>111</v>
      </c>
      <c r="BM45" s="1607" t="s">
        <v>2843</v>
      </c>
      <c r="BN45" s="1728">
        <v>10</v>
      </c>
      <c r="BO45" s="803" t="s">
        <v>2845</v>
      </c>
      <c r="BP45" s="803" t="s">
        <v>2847</v>
      </c>
      <c r="BQ45" s="1603" t="s">
        <v>2480</v>
      </c>
      <c r="BR45" s="803" t="s">
        <v>295</v>
      </c>
      <c r="BS45" s="1603" t="s">
        <v>2480</v>
      </c>
      <c r="BT45" s="835">
        <v>9.3963000000000001</v>
      </c>
    </row>
    <row r="46" spans="1:72" s="162" customFormat="1" ht="12.6" customHeight="1">
      <c r="A46" s="767">
        <v>41</v>
      </c>
      <c r="B46" s="851" t="s">
        <v>2869</v>
      </c>
      <c r="C46" s="767">
        <v>5</v>
      </c>
      <c r="D46" s="767" t="s">
        <v>2789</v>
      </c>
      <c r="E46" s="767" t="s">
        <v>2870</v>
      </c>
      <c r="F46" s="770">
        <v>12.38</v>
      </c>
      <c r="G46" s="834" t="s">
        <v>1564</v>
      </c>
      <c r="H46" s="770">
        <v>12.38</v>
      </c>
      <c r="I46" s="770">
        <v>7000</v>
      </c>
      <c r="J46" s="779">
        <v>86</v>
      </c>
      <c r="K46" s="780" t="s">
        <v>1677</v>
      </c>
      <c r="L46" s="780">
        <v>15</v>
      </c>
      <c r="M46" s="780" t="s">
        <v>680</v>
      </c>
      <c r="N46" s="780" t="s">
        <v>681</v>
      </c>
      <c r="O46" s="778">
        <v>9.1999999999999993</v>
      </c>
      <c r="P46" s="780" t="s">
        <v>295</v>
      </c>
      <c r="Q46" s="778">
        <v>9.1999999999999993</v>
      </c>
      <c r="R46" s="778">
        <v>200</v>
      </c>
      <c r="S46" s="767">
        <v>131</v>
      </c>
      <c r="T46" s="851" t="s">
        <v>1699</v>
      </c>
      <c r="U46" s="834">
        <v>15</v>
      </c>
      <c r="V46" s="834" t="s">
        <v>1221</v>
      </c>
      <c r="W46" s="770" t="s">
        <v>704</v>
      </c>
      <c r="X46" s="770">
        <v>7.79</v>
      </c>
      <c r="Y46" s="834" t="s">
        <v>1453</v>
      </c>
      <c r="Z46" s="770">
        <v>7.52</v>
      </c>
      <c r="AA46" s="770">
        <v>2850</v>
      </c>
      <c r="AB46" s="255">
        <v>176</v>
      </c>
      <c r="AC46" s="851" t="s">
        <v>1700</v>
      </c>
      <c r="AD46" s="834">
        <v>20</v>
      </c>
      <c r="AE46" s="834" t="s">
        <v>690</v>
      </c>
      <c r="AF46" s="770" t="s">
        <v>691</v>
      </c>
      <c r="AG46" s="770">
        <v>9.25</v>
      </c>
      <c r="AH46" s="834" t="s">
        <v>295</v>
      </c>
      <c r="AI46" s="770">
        <v>9.25</v>
      </c>
      <c r="AJ46" s="770">
        <v>125</v>
      </c>
      <c r="AK46" s="767">
        <v>221</v>
      </c>
      <c r="AL46" s="851" t="s">
        <v>1724</v>
      </c>
      <c r="AM46" s="834">
        <v>20</v>
      </c>
      <c r="AN46" s="834" t="s">
        <v>1071</v>
      </c>
      <c r="AO46" s="770" t="s">
        <v>1075</v>
      </c>
      <c r="AP46" s="770">
        <v>12.1</v>
      </c>
      <c r="AQ46" s="834" t="s">
        <v>295</v>
      </c>
      <c r="AR46" s="770">
        <v>12.1</v>
      </c>
      <c r="AS46" s="770">
        <v>250</v>
      </c>
      <c r="AT46" s="767">
        <v>22</v>
      </c>
      <c r="AU46" s="1696" t="s">
        <v>2509</v>
      </c>
      <c r="AV46" s="834">
        <v>10</v>
      </c>
      <c r="AW46" s="834" t="s">
        <v>2496</v>
      </c>
      <c r="AX46" s="770" t="s">
        <v>2508</v>
      </c>
      <c r="AY46" s="770" t="s">
        <v>2480</v>
      </c>
      <c r="AZ46" s="834" t="s">
        <v>295</v>
      </c>
      <c r="BA46" s="770" t="s">
        <v>2480</v>
      </c>
      <c r="BB46" s="770">
        <v>50</v>
      </c>
      <c r="BC46" s="779">
        <v>67</v>
      </c>
      <c r="BD46" s="1708" t="s">
        <v>2618</v>
      </c>
      <c r="BE46" s="914">
        <v>10</v>
      </c>
      <c r="BF46" s="866" t="s">
        <v>2570</v>
      </c>
      <c r="BG46" s="779" t="s">
        <v>2614</v>
      </c>
      <c r="BH46" s="1604" t="s">
        <v>2480</v>
      </c>
      <c r="BI46" s="767" t="s">
        <v>295</v>
      </c>
      <c r="BJ46" s="1604" t="s">
        <v>2480</v>
      </c>
      <c r="BK46" s="541">
        <v>41.005299999999998</v>
      </c>
      <c r="BL46" s="779">
        <v>112</v>
      </c>
      <c r="BM46" s="1727" t="s">
        <v>2607</v>
      </c>
      <c r="BN46" s="141">
        <v>10</v>
      </c>
      <c r="BO46" s="866" t="s">
        <v>2845</v>
      </c>
      <c r="BP46" s="779" t="s">
        <v>2847</v>
      </c>
      <c r="BQ46" s="1604" t="s">
        <v>2480</v>
      </c>
      <c r="BR46" s="18" t="s">
        <v>295</v>
      </c>
      <c r="BS46" s="1604" t="s">
        <v>2480</v>
      </c>
      <c r="BT46" s="221">
        <v>60.087699999999998</v>
      </c>
    </row>
    <row r="47" spans="1:72" s="162" customFormat="1" ht="12.6" customHeight="1">
      <c r="A47" s="821">
        <v>42</v>
      </c>
      <c r="B47" s="821" t="s">
        <v>2941</v>
      </c>
      <c r="C47" s="821">
        <v>5</v>
      </c>
      <c r="D47" s="821" t="s">
        <v>2942</v>
      </c>
      <c r="E47" s="821" t="s">
        <v>2943</v>
      </c>
      <c r="F47" s="715">
        <v>10.47</v>
      </c>
      <c r="G47" s="821" t="s">
        <v>295</v>
      </c>
      <c r="H47" s="715">
        <v>10.47</v>
      </c>
      <c r="I47" s="542">
        <v>4000</v>
      </c>
      <c r="J47" s="803">
        <v>87</v>
      </c>
      <c r="K47" s="803" t="s">
        <v>1685</v>
      </c>
      <c r="L47" s="803">
        <v>15</v>
      </c>
      <c r="M47" s="803" t="s">
        <v>701</v>
      </c>
      <c r="N47" s="803" t="s">
        <v>702</v>
      </c>
      <c r="O47" s="835">
        <v>9.3000000000000007</v>
      </c>
      <c r="P47" s="803" t="s">
        <v>295</v>
      </c>
      <c r="Q47" s="835">
        <v>9.3000000000000007</v>
      </c>
      <c r="R47" s="835">
        <v>250</v>
      </c>
      <c r="S47" s="821">
        <v>132</v>
      </c>
      <c r="T47" s="821" t="s">
        <v>1703</v>
      </c>
      <c r="U47" s="821">
        <v>15</v>
      </c>
      <c r="V47" s="848" t="s">
        <v>1494</v>
      </c>
      <c r="W47" s="821" t="s">
        <v>1495</v>
      </c>
      <c r="X47" s="542">
        <v>7.1999999999999993</v>
      </c>
      <c r="Y47" s="821" t="s">
        <v>1560</v>
      </c>
      <c r="Z47" s="542">
        <v>9.33</v>
      </c>
      <c r="AA47" s="542">
        <v>4500</v>
      </c>
      <c r="AB47" s="821">
        <v>177</v>
      </c>
      <c r="AC47" s="821" t="s">
        <v>1704</v>
      </c>
      <c r="AD47" s="821">
        <v>20</v>
      </c>
      <c r="AE47" s="848" t="s">
        <v>692</v>
      </c>
      <c r="AF47" s="821" t="s">
        <v>693</v>
      </c>
      <c r="AG47" s="542">
        <v>9.4499999999999993</v>
      </c>
      <c r="AH47" s="821" t="s">
        <v>295</v>
      </c>
      <c r="AI47" s="542">
        <v>9.4499999999999993</v>
      </c>
      <c r="AJ47" s="542">
        <v>125</v>
      </c>
      <c r="AK47" s="821">
        <v>222</v>
      </c>
      <c r="AL47" s="821" t="s">
        <v>1730</v>
      </c>
      <c r="AM47" s="821">
        <v>20</v>
      </c>
      <c r="AN47" s="848" t="s">
        <v>1073</v>
      </c>
      <c r="AO47" s="821" t="s">
        <v>1076</v>
      </c>
      <c r="AP47" s="542">
        <v>11.89</v>
      </c>
      <c r="AQ47" s="821" t="s">
        <v>295</v>
      </c>
      <c r="AR47" s="542">
        <v>11.89</v>
      </c>
      <c r="AS47" s="542">
        <v>250</v>
      </c>
      <c r="AT47" s="821">
        <v>23</v>
      </c>
      <c r="AU47" s="1695" t="s">
        <v>2510</v>
      </c>
      <c r="AV47" s="821">
        <v>10</v>
      </c>
      <c r="AW47" s="848" t="s">
        <v>2496</v>
      </c>
      <c r="AX47" s="821" t="s">
        <v>2508</v>
      </c>
      <c r="AY47" s="542" t="s">
        <v>2480</v>
      </c>
      <c r="AZ47" s="821" t="s">
        <v>295</v>
      </c>
      <c r="BA47" s="542" t="s">
        <v>2480</v>
      </c>
      <c r="BB47" s="542">
        <v>3.69</v>
      </c>
      <c r="BC47" s="803">
        <v>68</v>
      </c>
      <c r="BD47" s="1707" t="s">
        <v>2619</v>
      </c>
      <c r="BE47" s="915">
        <v>10</v>
      </c>
      <c r="BF47" s="865" t="s">
        <v>2570</v>
      </c>
      <c r="BG47" s="865" t="s">
        <v>2614</v>
      </c>
      <c r="BH47" s="1603" t="s">
        <v>2480</v>
      </c>
      <c r="BI47" s="821" t="s">
        <v>295</v>
      </c>
      <c r="BJ47" s="1603" t="s">
        <v>2480</v>
      </c>
      <c r="BK47" s="542">
        <v>71.054400000000001</v>
      </c>
      <c r="BL47" s="803">
        <v>113</v>
      </c>
      <c r="BM47" s="1607" t="s">
        <v>2844</v>
      </c>
      <c r="BN47" s="1728">
        <v>10</v>
      </c>
      <c r="BO47" s="803" t="s">
        <v>2845</v>
      </c>
      <c r="BP47" s="803" t="s">
        <v>2847</v>
      </c>
      <c r="BQ47" s="1603" t="s">
        <v>2480</v>
      </c>
      <c r="BR47" s="803" t="s">
        <v>295</v>
      </c>
      <c r="BS47" s="1603" t="s">
        <v>2480</v>
      </c>
      <c r="BT47" s="835">
        <v>2.0255999999999998</v>
      </c>
    </row>
    <row r="48" spans="1:72" s="162" customFormat="1" ht="12.6" customHeight="1" thickBot="1">
      <c r="A48" s="767">
        <v>43</v>
      </c>
      <c r="B48" s="851" t="s">
        <v>1788</v>
      </c>
      <c r="C48" s="767">
        <v>10</v>
      </c>
      <c r="D48" s="767" t="s">
        <v>1150</v>
      </c>
      <c r="E48" s="767" t="s">
        <v>1151</v>
      </c>
      <c r="F48" s="770">
        <v>10.72</v>
      </c>
      <c r="G48" s="834" t="s">
        <v>1454</v>
      </c>
      <c r="H48" s="770">
        <v>6.84</v>
      </c>
      <c r="I48" s="770">
        <v>2800</v>
      </c>
      <c r="J48" s="779">
        <v>88</v>
      </c>
      <c r="K48" s="780" t="s">
        <v>1690</v>
      </c>
      <c r="L48" s="780">
        <v>15</v>
      </c>
      <c r="M48" s="780" t="s">
        <v>991</v>
      </c>
      <c r="N48" s="780" t="s">
        <v>992</v>
      </c>
      <c r="O48" s="778">
        <v>9.35</v>
      </c>
      <c r="P48" s="780" t="s">
        <v>295</v>
      </c>
      <c r="Q48" s="778">
        <v>9.35</v>
      </c>
      <c r="R48" s="778">
        <v>250</v>
      </c>
      <c r="S48" s="767">
        <v>133</v>
      </c>
      <c r="T48" s="851" t="s">
        <v>1709</v>
      </c>
      <c r="U48" s="834">
        <v>15</v>
      </c>
      <c r="V48" s="834" t="s">
        <v>1536</v>
      </c>
      <c r="W48" s="770" t="s">
        <v>1537</v>
      </c>
      <c r="X48" s="770">
        <v>7.55</v>
      </c>
      <c r="Y48" s="834" t="s">
        <v>1909</v>
      </c>
      <c r="Z48" s="770">
        <v>5.87</v>
      </c>
      <c r="AA48" s="770">
        <v>4150</v>
      </c>
      <c r="AB48" s="255">
        <v>178</v>
      </c>
      <c r="AC48" s="851" t="s">
        <v>1711</v>
      </c>
      <c r="AD48" s="834">
        <v>20</v>
      </c>
      <c r="AE48" s="834" t="s">
        <v>694</v>
      </c>
      <c r="AF48" s="770" t="s">
        <v>1093</v>
      </c>
      <c r="AG48" s="770">
        <v>9.57</v>
      </c>
      <c r="AH48" s="834" t="s">
        <v>295</v>
      </c>
      <c r="AI48" s="770">
        <v>9.57</v>
      </c>
      <c r="AJ48" s="770">
        <v>125</v>
      </c>
      <c r="AK48" s="767">
        <v>223</v>
      </c>
      <c r="AL48" s="851" t="s">
        <v>1736</v>
      </c>
      <c r="AM48" s="834">
        <v>20</v>
      </c>
      <c r="AN48" s="834" t="s">
        <v>1077</v>
      </c>
      <c r="AO48" s="770" t="s">
        <v>1079</v>
      </c>
      <c r="AP48" s="770">
        <v>11.98</v>
      </c>
      <c r="AQ48" s="834" t="s">
        <v>295</v>
      </c>
      <c r="AR48" s="770">
        <v>11.98</v>
      </c>
      <c r="AS48" s="770">
        <v>250</v>
      </c>
      <c r="AT48" s="767">
        <v>24</v>
      </c>
      <c r="AU48" s="1696" t="s">
        <v>2511</v>
      </c>
      <c r="AV48" s="834">
        <v>8</v>
      </c>
      <c r="AW48" s="834" t="s">
        <v>2487</v>
      </c>
      <c r="AX48" s="770" t="s">
        <v>2512</v>
      </c>
      <c r="AY48" s="770" t="s">
        <v>2480</v>
      </c>
      <c r="AZ48" s="834" t="s">
        <v>295</v>
      </c>
      <c r="BA48" s="770" t="s">
        <v>2480</v>
      </c>
      <c r="BB48" s="770">
        <v>778.81</v>
      </c>
      <c r="BC48" s="779">
        <v>69</v>
      </c>
      <c r="BD48" s="1708" t="s">
        <v>2595</v>
      </c>
      <c r="BE48" s="914">
        <v>9</v>
      </c>
      <c r="BF48" s="866" t="s">
        <v>2660</v>
      </c>
      <c r="BG48" s="779" t="s">
        <v>2662</v>
      </c>
      <c r="BH48" s="1604" t="s">
        <v>2480</v>
      </c>
      <c r="BI48" s="767" t="s">
        <v>295</v>
      </c>
      <c r="BJ48" s="1604" t="s">
        <v>2480</v>
      </c>
      <c r="BK48" s="541">
        <v>64.721900000000005</v>
      </c>
      <c r="BL48" s="1778">
        <v>114</v>
      </c>
      <c r="BM48" s="1778" t="s">
        <v>2594</v>
      </c>
      <c r="BN48" s="1778">
        <v>10</v>
      </c>
      <c r="BO48" s="1778" t="s">
        <v>2845</v>
      </c>
      <c r="BP48" s="1778" t="s">
        <v>2847</v>
      </c>
      <c r="BQ48" s="1778" t="s">
        <v>2480</v>
      </c>
      <c r="BR48" s="1830" t="s">
        <v>295</v>
      </c>
      <c r="BS48" s="1830" t="s">
        <v>2480</v>
      </c>
      <c r="BT48" s="1831">
        <v>5.2679999999999998</v>
      </c>
    </row>
    <row r="49" spans="1:72" s="162" customFormat="1" ht="12.6" customHeight="1" thickBot="1">
      <c r="A49" s="919">
        <v>44</v>
      </c>
      <c r="B49" s="919" t="s">
        <v>1795</v>
      </c>
      <c r="C49" s="919">
        <v>10</v>
      </c>
      <c r="D49" s="919" t="s">
        <v>1796</v>
      </c>
      <c r="E49" s="919" t="s">
        <v>1797</v>
      </c>
      <c r="F49" s="1160">
        <v>8.39</v>
      </c>
      <c r="G49" s="919" t="s">
        <v>1798</v>
      </c>
      <c r="H49" s="1160">
        <v>6.99</v>
      </c>
      <c r="I49" s="1439">
        <v>3000</v>
      </c>
      <c r="J49" s="916">
        <v>89</v>
      </c>
      <c r="K49" s="916" t="s">
        <v>1694</v>
      </c>
      <c r="L49" s="916">
        <v>15</v>
      </c>
      <c r="M49" s="916" t="s">
        <v>993</v>
      </c>
      <c r="N49" s="916" t="s">
        <v>994</v>
      </c>
      <c r="O49" s="917">
        <v>9.35</v>
      </c>
      <c r="P49" s="916" t="s">
        <v>295</v>
      </c>
      <c r="Q49" s="917">
        <v>9.35</v>
      </c>
      <c r="R49" s="917">
        <v>250</v>
      </c>
      <c r="S49" s="919">
        <v>134</v>
      </c>
      <c r="T49" s="919" t="s">
        <v>1714</v>
      </c>
      <c r="U49" s="919">
        <v>15</v>
      </c>
      <c r="V49" s="1590" t="s">
        <v>1715</v>
      </c>
      <c r="W49" s="919" t="s">
        <v>1716</v>
      </c>
      <c r="X49" s="1439">
        <v>8.9</v>
      </c>
      <c r="Y49" s="919" t="s">
        <v>2385</v>
      </c>
      <c r="Z49" s="1439">
        <v>10.55</v>
      </c>
      <c r="AA49" s="1439">
        <v>5227.32</v>
      </c>
      <c r="AB49" s="919">
        <v>179</v>
      </c>
      <c r="AC49" s="919" t="s">
        <v>1717</v>
      </c>
      <c r="AD49" s="919">
        <v>20</v>
      </c>
      <c r="AE49" s="1590" t="s">
        <v>695</v>
      </c>
      <c r="AF49" s="919" t="s">
        <v>696</v>
      </c>
      <c r="AG49" s="1439">
        <v>9.6</v>
      </c>
      <c r="AH49" s="919" t="s">
        <v>295</v>
      </c>
      <c r="AI49" s="1439">
        <v>9.6</v>
      </c>
      <c r="AJ49" s="1439">
        <v>150</v>
      </c>
      <c r="AK49" s="919">
        <v>224</v>
      </c>
      <c r="AL49" s="919" t="s">
        <v>1740</v>
      </c>
      <c r="AM49" s="919">
        <v>20</v>
      </c>
      <c r="AN49" s="1590" t="s">
        <v>1087</v>
      </c>
      <c r="AO49" s="919" t="s">
        <v>1092</v>
      </c>
      <c r="AP49" s="1439">
        <v>11.98</v>
      </c>
      <c r="AQ49" s="919" t="s">
        <v>295</v>
      </c>
      <c r="AR49" s="1439">
        <v>11.98</v>
      </c>
      <c r="AS49" s="1439">
        <v>250</v>
      </c>
      <c r="AT49" s="919">
        <v>25</v>
      </c>
      <c r="AU49" s="1717" t="s">
        <v>2513</v>
      </c>
      <c r="AV49" s="919">
        <v>8</v>
      </c>
      <c r="AW49" s="1590" t="s">
        <v>2490</v>
      </c>
      <c r="AX49" s="919" t="s">
        <v>2514</v>
      </c>
      <c r="AY49" s="1439" t="s">
        <v>2480</v>
      </c>
      <c r="AZ49" s="919" t="s">
        <v>295</v>
      </c>
      <c r="BA49" s="1439" t="s">
        <v>2480</v>
      </c>
      <c r="BB49" s="1439">
        <v>340.09</v>
      </c>
      <c r="BC49" s="916">
        <v>70</v>
      </c>
      <c r="BD49" s="1715" t="s">
        <v>2593</v>
      </c>
      <c r="BE49" s="1641">
        <v>10</v>
      </c>
      <c r="BF49" s="1642" t="s">
        <v>2660</v>
      </c>
      <c r="BG49" s="1642" t="s">
        <v>2661</v>
      </c>
      <c r="BH49" s="1643" t="s">
        <v>2480</v>
      </c>
      <c r="BI49" s="919" t="s">
        <v>295</v>
      </c>
      <c r="BJ49" s="1643" t="s">
        <v>2480</v>
      </c>
      <c r="BK49" s="1439">
        <v>256.83819999999997</v>
      </c>
      <c r="BL49" s="164"/>
      <c r="BM49" s="164"/>
      <c r="BN49" s="164"/>
      <c r="BO49" s="164"/>
      <c r="BP49" s="164"/>
      <c r="BQ49" s="164"/>
      <c r="BR49" s="95"/>
      <c r="BS49" s="95"/>
      <c r="BT49" s="95"/>
    </row>
    <row r="50" spans="1:72" s="162" customFormat="1" ht="9.75" customHeight="1">
      <c r="A50" s="852" t="s">
        <v>30</v>
      </c>
      <c r="B50" s="253" t="s">
        <v>1868</v>
      </c>
      <c r="C50" s="8"/>
      <c r="D50" s="8"/>
      <c r="E50" s="8"/>
      <c r="AT50" s="362" t="s">
        <v>1145</v>
      </c>
      <c r="AU50" s="1027" t="s">
        <v>2947</v>
      </c>
      <c r="AV50" s="1027"/>
      <c r="AW50" s="1027"/>
      <c r="AX50" s="767"/>
      <c r="AY50" s="779"/>
      <c r="AZ50" s="541"/>
      <c r="BA50" s="240"/>
      <c r="BB50" s="160"/>
      <c r="BL50" s="164"/>
      <c r="BM50" s="164"/>
      <c r="BN50" s="164"/>
      <c r="BO50" s="164"/>
      <c r="BP50" s="164"/>
      <c r="BQ50" s="164"/>
      <c r="BR50" s="95"/>
      <c r="BS50" s="95"/>
      <c r="BT50" s="95"/>
    </row>
    <row r="51" spans="1:72" s="162" customFormat="1" ht="13.35" customHeight="1">
      <c r="A51" s="852"/>
      <c r="B51" s="253" t="s">
        <v>2946</v>
      </c>
      <c r="C51" s="8"/>
      <c r="D51" s="8"/>
      <c r="E51" s="8"/>
      <c r="F51" s="8"/>
      <c r="G51" s="920"/>
      <c r="H51" s="920"/>
      <c r="I51" s="9" t="s">
        <v>2033</v>
      </c>
      <c r="K51" s="998"/>
      <c r="L51" s="9"/>
      <c r="M51" s="9"/>
      <c r="N51" s="9"/>
      <c r="O51" s="778"/>
      <c r="P51" s="780"/>
      <c r="Q51" s="778"/>
      <c r="R51" s="778"/>
      <c r="AT51" s="1045" t="s">
        <v>264</v>
      </c>
      <c r="AU51" s="1046" t="s">
        <v>2030</v>
      </c>
      <c r="AV51" s="1027"/>
      <c r="AW51" s="1027"/>
      <c r="AX51" s="767"/>
      <c r="AY51" s="779"/>
      <c r="AZ51" s="253"/>
      <c r="BA51" s="240"/>
      <c r="BB51" s="9" t="s">
        <v>2110</v>
      </c>
      <c r="BK51" s="245"/>
      <c r="BL51" s="250"/>
      <c r="BM51" s="250"/>
      <c r="BN51" s="250"/>
      <c r="BO51" s="250"/>
      <c r="BP51" s="250"/>
      <c r="BQ51" s="250"/>
      <c r="BR51" s="95"/>
      <c r="BS51" s="95"/>
      <c r="BT51" s="95"/>
    </row>
    <row r="52" spans="1:72" s="162" customFormat="1" ht="13.35" customHeight="1">
      <c r="S52" s="9"/>
      <c r="T52" s="779"/>
      <c r="U52" s="779"/>
      <c r="V52" s="779"/>
      <c r="W52" s="779"/>
      <c r="X52" s="649"/>
      <c r="Y52" s="779"/>
      <c r="Z52" s="649"/>
      <c r="AA52" s="64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63"/>
      <c r="AU52" s="63"/>
      <c r="AV52" s="63"/>
      <c r="AW52" s="164"/>
      <c r="AX52" s="164"/>
      <c r="AY52" s="164"/>
      <c r="AZ52" s="164"/>
      <c r="BA52" s="164"/>
      <c r="BB52" s="6"/>
      <c r="BL52" s="250"/>
      <c r="BM52" s="250"/>
      <c r="BN52" s="250"/>
      <c r="BO52" s="250"/>
      <c r="BP52" s="250"/>
      <c r="BQ52" s="250"/>
      <c r="BR52" s="95"/>
      <c r="BS52" s="95"/>
      <c r="BT52" s="95"/>
    </row>
    <row r="53" spans="1:72" s="162" customFormat="1" ht="12.95" customHeight="1">
      <c r="O53" s="9"/>
      <c r="S53" s="9"/>
      <c r="T53" s="779"/>
      <c r="U53" s="779"/>
      <c r="V53" s="779"/>
      <c r="W53" s="779"/>
      <c r="X53" s="649"/>
      <c r="Y53" s="779"/>
      <c r="Z53" s="649"/>
      <c r="AA53" s="649"/>
      <c r="AB53" s="9"/>
      <c r="AC53" s="9"/>
      <c r="AD53" s="9"/>
      <c r="AE53" s="9"/>
      <c r="AF53" s="9"/>
      <c r="AG53" s="9"/>
      <c r="AH53" s="156"/>
      <c r="AI53" s="9"/>
      <c r="AJ53" s="160"/>
      <c r="AK53" s="9"/>
      <c r="AL53" s="9"/>
      <c r="AM53" s="9"/>
      <c r="AN53" s="9"/>
      <c r="AO53" s="9"/>
      <c r="AP53" s="9"/>
      <c r="AQ53" s="9"/>
      <c r="AR53" s="9"/>
      <c r="AS53" s="9"/>
      <c r="AT53" s="63"/>
      <c r="AU53" s="63"/>
      <c r="AV53" s="63"/>
      <c r="AW53" s="164"/>
      <c r="AX53" s="164"/>
      <c r="AY53" s="164"/>
      <c r="AZ53" s="164"/>
      <c r="BA53" s="164"/>
      <c r="BB53" s="160"/>
      <c r="BL53" s="250"/>
      <c r="BM53" s="250"/>
      <c r="BN53" s="250"/>
      <c r="BO53" s="250"/>
      <c r="BP53" s="250"/>
      <c r="BQ53" s="250"/>
      <c r="BR53" s="95"/>
      <c r="BS53" s="95"/>
      <c r="BT53" s="95"/>
    </row>
    <row r="54" spans="1:72" s="9" customFormat="1" ht="12.95" customHeight="1">
      <c r="I54" s="160"/>
      <c r="Q54" s="53"/>
      <c r="R54" s="656"/>
      <c r="T54" s="779"/>
      <c r="U54" s="779"/>
      <c r="V54" s="779"/>
      <c r="W54" s="779"/>
      <c r="X54" s="649"/>
      <c r="Y54" s="779"/>
      <c r="Z54" s="649"/>
      <c r="AA54" s="649"/>
      <c r="AJ54" s="160"/>
      <c r="AS54" s="160"/>
      <c r="AT54" s="164"/>
      <c r="AU54" s="164"/>
      <c r="AV54" s="164"/>
      <c r="AW54" s="164"/>
      <c r="AX54" s="164"/>
      <c r="AY54" s="164"/>
      <c r="AZ54" s="164"/>
      <c r="BA54" s="164"/>
      <c r="BB54" s="1460"/>
      <c r="BD54" s="160"/>
      <c r="BL54" s="250"/>
      <c r="BM54" s="250"/>
      <c r="BN54" s="250"/>
      <c r="BO54" s="250"/>
      <c r="BP54" s="265"/>
      <c r="BQ54" s="250"/>
      <c r="BR54" s="95"/>
      <c r="BS54" s="95"/>
      <c r="BT54" s="95"/>
    </row>
    <row r="55" spans="1:72" s="9" customFormat="1" ht="11.25" customHeight="1">
      <c r="B55" s="63"/>
      <c r="C55" s="41"/>
      <c r="D55" s="41"/>
      <c r="E55" s="63"/>
      <c r="F55" s="37"/>
      <c r="G55" s="920"/>
      <c r="H55" s="920"/>
      <c r="J55" s="162"/>
      <c r="T55" s="779"/>
      <c r="U55" s="779"/>
      <c r="V55" s="779"/>
      <c r="W55" s="779"/>
      <c r="X55" s="649"/>
      <c r="Y55" s="779"/>
      <c r="Z55" s="649"/>
      <c r="AA55" s="649"/>
      <c r="AH55" s="156"/>
      <c r="AJ55" s="160"/>
      <c r="AT55" s="164"/>
      <c r="AU55" s="164"/>
      <c r="AV55" s="164"/>
      <c r="AW55" s="164"/>
      <c r="AX55" s="164"/>
      <c r="AY55" s="164"/>
      <c r="AZ55" s="164"/>
      <c r="BA55" s="164"/>
      <c r="BB55" s="264"/>
      <c r="BC55" s="164"/>
      <c r="BD55" s="164"/>
      <c r="BE55" s="164"/>
      <c r="BF55" s="164"/>
      <c r="BG55" s="164"/>
      <c r="BH55" s="164"/>
      <c r="BI55" s="164"/>
      <c r="BJ55" s="240"/>
      <c r="BK55" s="254"/>
      <c r="BL55" s="250"/>
      <c r="BM55" s="250"/>
      <c r="BN55" s="250"/>
      <c r="BO55" s="250"/>
      <c r="BP55" s="265"/>
      <c r="BQ55" s="250"/>
      <c r="BR55" s="95"/>
      <c r="BS55" s="95"/>
      <c r="BT55" s="95"/>
    </row>
    <row r="56" spans="1:72" s="9" customFormat="1" ht="10.5" customHeight="1">
      <c r="I56" s="160"/>
      <c r="J56" s="162"/>
      <c r="R56" s="160"/>
      <c r="T56" s="162"/>
      <c r="U56" s="162"/>
      <c r="V56" s="162"/>
      <c r="W56" s="162"/>
      <c r="X56" s="162"/>
      <c r="Y56" s="162"/>
      <c r="Z56" s="162"/>
      <c r="AA56" s="160"/>
      <c r="AJ56" s="160"/>
      <c r="AR56" s="164"/>
      <c r="AS56" s="160"/>
      <c r="AT56" s="164"/>
      <c r="AU56" s="164"/>
      <c r="AV56" s="164"/>
      <c r="AW56" s="164"/>
      <c r="AX56" s="164"/>
      <c r="AY56" s="164"/>
      <c r="AZ56" s="164"/>
      <c r="BA56" s="164"/>
      <c r="BB56" s="264"/>
      <c r="BC56" s="164"/>
      <c r="BD56" s="490"/>
      <c r="BE56" s="164"/>
      <c r="BF56" s="164"/>
      <c r="BG56" s="164"/>
      <c r="BH56" s="164"/>
      <c r="BI56" s="164"/>
      <c r="BJ56" s="240"/>
      <c r="BK56" s="254"/>
      <c r="BL56" s="250"/>
      <c r="BM56" s="250"/>
      <c r="BN56" s="250"/>
      <c r="BO56" s="250"/>
      <c r="BP56" s="265"/>
      <c r="BQ56" s="250"/>
      <c r="BR56" s="95"/>
      <c r="BS56" s="95"/>
      <c r="BT56" s="95"/>
    </row>
    <row r="57" spans="1:72" s="63" customFormat="1" ht="10.5" customHeight="1">
      <c r="B57" s="767"/>
      <c r="C57" s="779"/>
      <c r="D57" s="779"/>
      <c r="E57" s="779"/>
      <c r="F57" s="649"/>
      <c r="G57" s="779"/>
      <c r="H57" s="649"/>
      <c r="I57" s="649"/>
      <c r="J57" s="174"/>
      <c r="R57" s="6"/>
      <c r="T57" s="174"/>
      <c r="U57" s="174"/>
      <c r="V57" s="174"/>
      <c r="W57" s="174"/>
      <c r="X57" s="174"/>
      <c r="Y57" s="174"/>
      <c r="Z57" s="174"/>
      <c r="AA57" s="1470"/>
      <c r="AJ57" s="6"/>
      <c r="AR57" s="164"/>
      <c r="AS57" s="1460"/>
      <c r="AT57" s="164"/>
      <c r="AU57" s="164"/>
      <c r="AV57" s="164"/>
      <c r="AW57" s="164"/>
      <c r="AX57" s="164"/>
      <c r="AY57" s="164"/>
      <c r="AZ57" s="164"/>
      <c r="BA57" s="164"/>
      <c r="BB57" s="264"/>
      <c r="BC57" s="164"/>
      <c r="BD57" s="490"/>
      <c r="BE57" s="164"/>
      <c r="BF57" s="164"/>
      <c r="BG57" s="164"/>
      <c r="BH57" s="164"/>
      <c r="BI57" s="164"/>
      <c r="BJ57" s="240"/>
      <c r="BK57" s="254"/>
      <c r="BL57" s="250"/>
      <c r="BM57" s="250"/>
      <c r="BN57" s="250"/>
      <c r="BO57" s="250"/>
      <c r="BP57" s="250"/>
      <c r="BQ57" s="250"/>
      <c r="BR57" s="95"/>
      <c r="BS57" s="95"/>
      <c r="BT57" s="95"/>
    </row>
    <row r="58" spans="1:72" s="63" customFormat="1" ht="11.25" customHeight="1">
      <c r="B58" s="851"/>
      <c r="C58" s="779"/>
      <c r="D58" s="779"/>
      <c r="E58" s="779"/>
      <c r="F58" s="649"/>
      <c r="G58" s="779"/>
      <c r="H58" s="649"/>
      <c r="I58" s="649"/>
      <c r="J58" s="261"/>
      <c r="K58" s="174"/>
      <c r="L58" s="174"/>
      <c r="M58" s="174"/>
      <c r="N58" s="174"/>
      <c r="O58" s="174"/>
      <c r="P58" s="174"/>
      <c r="R58" s="6"/>
      <c r="T58" s="779"/>
      <c r="U58" s="779"/>
      <c r="V58" s="779"/>
      <c r="W58" s="779"/>
      <c r="X58" s="649"/>
      <c r="Y58" s="779"/>
      <c r="Z58" s="649"/>
      <c r="AA58" s="649"/>
      <c r="AJ58" s="6"/>
      <c r="AR58" s="164"/>
      <c r="AS58" s="1460"/>
      <c r="AT58" s="164"/>
      <c r="AU58" s="164"/>
      <c r="AV58" s="164"/>
      <c r="AW58" s="164"/>
      <c r="AX58" s="164"/>
      <c r="AY58" s="164"/>
      <c r="AZ58" s="164"/>
      <c r="BA58" s="164"/>
      <c r="BB58" s="264"/>
      <c r="BC58" s="164"/>
      <c r="BD58" s="164"/>
      <c r="BE58" s="164"/>
      <c r="BF58" s="164"/>
      <c r="BG58" s="164"/>
      <c r="BH58" s="164"/>
      <c r="BI58" s="164"/>
      <c r="BJ58" s="240"/>
      <c r="BK58" s="254"/>
      <c r="BL58" s="250"/>
      <c r="BM58" s="250"/>
      <c r="BN58" s="250"/>
      <c r="BO58" s="250"/>
      <c r="BP58" s="250"/>
      <c r="BQ58" s="250"/>
      <c r="BR58" s="95"/>
      <c r="BS58" s="95"/>
      <c r="BT58" s="95"/>
    </row>
    <row r="59" spans="1:72" ht="13.5" customHeight="1">
      <c r="H59" s="935"/>
      <c r="I59" s="85"/>
      <c r="BK59" s="254"/>
      <c r="BL59" s="250"/>
      <c r="BM59" s="250"/>
      <c r="BN59" s="250"/>
      <c r="BO59" s="250"/>
      <c r="BP59" s="250"/>
      <c r="BQ59" s="250"/>
      <c r="BR59" s="95"/>
      <c r="BS59" s="95"/>
      <c r="BT59" s="95"/>
    </row>
    <row r="60" spans="1:72" ht="12" customHeight="1">
      <c r="BB60" s="164"/>
      <c r="BK60" s="254"/>
      <c r="BL60" s="250"/>
      <c r="BM60" s="250"/>
      <c r="BN60" s="250"/>
      <c r="BO60" s="250"/>
      <c r="BP60" s="250"/>
      <c r="BQ60" s="250"/>
      <c r="BR60" s="95"/>
      <c r="BS60" s="95"/>
      <c r="BT60" s="95"/>
    </row>
    <row r="61" spans="1:72" ht="12.75" customHeight="1">
      <c r="BK61" s="254"/>
      <c r="BL61" s="250"/>
      <c r="BM61" s="250"/>
      <c r="BN61" s="250"/>
      <c r="BO61" s="250"/>
      <c r="BP61" s="250"/>
      <c r="BQ61" s="250"/>
      <c r="BR61" s="95"/>
      <c r="BS61" s="95"/>
      <c r="BT61" s="95"/>
    </row>
    <row r="62" spans="1:72" ht="12" customHeight="1">
      <c r="BK62" s="254"/>
      <c r="BL62" s="250"/>
      <c r="BM62" s="250"/>
      <c r="BN62" s="250"/>
      <c r="BO62" s="250"/>
      <c r="BP62" s="250"/>
      <c r="BQ62" s="250"/>
      <c r="BR62" s="95"/>
      <c r="BS62" s="95"/>
      <c r="BT62" s="95"/>
    </row>
    <row r="63" spans="1:72" ht="11.25" customHeight="1">
      <c r="I63" s="85"/>
      <c r="BK63" s="254"/>
      <c r="BL63" s="250"/>
      <c r="BM63" s="250"/>
      <c r="BN63" s="250"/>
      <c r="BO63" s="250"/>
      <c r="BP63" s="250"/>
      <c r="BQ63" s="250"/>
      <c r="BR63" s="95"/>
      <c r="BS63" s="95"/>
      <c r="BT63" s="95"/>
    </row>
    <row r="64" spans="1:72" s="164" customFormat="1" ht="22.5" customHeight="1">
      <c r="B64" s="263"/>
      <c r="H64" s="263"/>
      <c r="J64" s="262"/>
      <c r="O64" s="263"/>
      <c r="R64" s="262"/>
      <c r="W64" s="263"/>
      <c r="Z64" s="264"/>
      <c r="AK64" s="264"/>
      <c r="AS64" s="264"/>
      <c r="BA64" s="250"/>
      <c r="BB64" s="264"/>
      <c r="BC64" s="250"/>
      <c r="BD64" s="250"/>
      <c r="BE64" s="250"/>
      <c r="BF64" s="250"/>
      <c r="BG64" s="250"/>
      <c r="BH64" s="250"/>
      <c r="BI64" s="250"/>
      <c r="BK64" s="264"/>
      <c r="BL64" s="250"/>
      <c r="BM64" s="250"/>
      <c r="BN64" s="250"/>
      <c r="BO64" s="250"/>
      <c r="BP64" s="250"/>
      <c r="BQ64" s="250"/>
      <c r="BR64" s="95"/>
      <c r="BS64" s="95"/>
      <c r="BT64" s="95"/>
    </row>
    <row r="65" spans="2:72" s="164" customFormat="1" ht="22.5" customHeight="1">
      <c r="B65" s="263"/>
      <c r="H65" s="263"/>
      <c r="J65" s="262"/>
      <c r="O65" s="263"/>
      <c r="R65" s="262"/>
      <c r="W65" s="263"/>
      <c r="Z65" s="264"/>
      <c r="AK65" s="264"/>
      <c r="AS65" s="264"/>
      <c r="BA65" s="250"/>
      <c r="BB65" s="264"/>
      <c r="BC65" s="250"/>
      <c r="BD65" s="250"/>
      <c r="BE65" s="250"/>
      <c r="BF65" s="250"/>
      <c r="BG65" s="250"/>
      <c r="BH65" s="250"/>
      <c r="BI65" s="250"/>
      <c r="BK65" s="264"/>
      <c r="BL65" s="250"/>
      <c r="BM65" s="250"/>
      <c r="BN65" s="250"/>
      <c r="BO65" s="250"/>
      <c r="BP65" s="250"/>
      <c r="BQ65" s="250"/>
      <c r="BR65" s="95"/>
      <c r="BS65" s="95"/>
      <c r="BT65" s="95"/>
    </row>
    <row r="66" spans="2:72" s="164" customFormat="1" ht="22.5" customHeight="1">
      <c r="B66" s="263"/>
      <c r="H66" s="263"/>
      <c r="J66" s="262"/>
      <c r="O66" s="263"/>
      <c r="R66" s="262"/>
      <c r="W66" s="263"/>
      <c r="Z66" s="264"/>
      <c r="AK66" s="264"/>
      <c r="AS66" s="264"/>
      <c r="AT66" s="95"/>
      <c r="AU66" s="95"/>
      <c r="AV66" s="95"/>
      <c r="AW66" s="250"/>
      <c r="AX66" s="250"/>
      <c r="AY66" s="250"/>
      <c r="AZ66" s="250"/>
      <c r="BA66" s="250"/>
      <c r="BB66" s="264"/>
      <c r="BC66" s="250"/>
      <c r="BD66" s="250"/>
      <c r="BE66" s="250"/>
      <c r="BF66" s="250"/>
      <c r="BG66" s="250"/>
      <c r="BH66" s="250"/>
      <c r="BI66" s="250"/>
      <c r="BK66" s="264"/>
      <c r="BL66" s="250"/>
      <c r="BM66" s="250"/>
      <c r="BN66" s="250"/>
      <c r="BO66" s="250"/>
      <c r="BP66" s="250"/>
      <c r="BQ66" s="250"/>
      <c r="BR66" s="95"/>
      <c r="BS66" s="95"/>
      <c r="BT66" s="95"/>
    </row>
    <row r="67" spans="2:72" s="164" customFormat="1" ht="22.5" customHeight="1">
      <c r="B67" s="263"/>
      <c r="H67" s="263"/>
      <c r="J67" s="262"/>
      <c r="O67" s="263"/>
      <c r="R67" s="262"/>
      <c r="W67" s="263"/>
      <c r="Z67" s="264"/>
      <c r="AK67" s="264"/>
      <c r="AS67" s="264"/>
      <c r="AT67" s="95"/>
      <c r="AU67" s="95"/>
      <c r="AV67" s="95"/>
      <c r="AW67" s="250"/>
      <c r="AX67" s="250"/>
      <c r="AY67" s="250"/>
      <c r="AZ67" s="250"/>
      <c r="BA67" s="250"/>
      <c r="BB67" s="264"/>
      <c r="BC67" s="250"/>
      <c r="BD67" s="250"/>
      <c r="BE67" s="250"/>
      <c r="BF67" s="250"/>
      <c r="BG67" s="250"/>
      <c r="BH67" s="250"/>
      <c r="BI67" s="250"/>
      <c r="BJ67" s="250"/>
      <c r="BK67" s="264"/>
      <c r="BL67" s="250"/>
      <c r="BM67" s="250"/>
      <c r="BN67" s="250"/>
      <c r="BO67" s="250"/>
      <c r="BP67" s="250"/>
      <c r="BQ67" s="250"/>
      <c r="BR67" s="95"/>
      <c r="BS67" s="95"/>
      <c r="BT67" s="95"/>
    </row>
    <row r="68" spans="2:72" s="164" customFormat="1" ht="22.5" customHeight="1">
      <c r="B68" s="263"/>
      <c r="H68" s="263"/>
      <c r="J68" s="262"/>
      <c r="O68" s="263"/>
      <c r="R68" s="262"/>
      <c r="W68" s="263"/>
      <c r="Z68" s="264"/>
      <c r="AK68" s="264"/>
      <c r="AS68" s="264"/>
      <c r="AT68" s="95"/>
      <c r="AU68" s="95"/>
      <c r="AV68" s="95"/>
      <c r="AW68" s="250"/>
      <c r="AX68" s="250"/>
      <c r="AY68" s="250"/>
      <c r="AZ68" s="250"/>
      <c r="BA68" s="250"/>
      <c r="BB68" s="264"/>
      <c r="BC68" s="250"/>
      <c r="BD68" s="250"/>
      <c r="BE68" s="250"/>
      <c r="BF68" s="250"/>
      <c r="BG68" s="250"/>
      <c r="BH68" s="250"/>
      <c r="BI68" s="250"/>
      <c r="BJ68" s="250"/>
      <c r="BK68" s="264"/>
      <c r="BL68" s="250"/>
      <c r="BM68" s="250"/>
      <c r="BN68" s="250"/>
      <c r="BO68" s="250"/>
      <c r="BP68" s="250"/>
      <c r="BQ68" s="250"/>
      <c r="BR68" s="95"/>
      <c r="BS68" s="95"/>
      <c r="BT68" s="95"/>
    </row>
    <row r="69" spans="2:72" s="164" customFormat="1" ht="22.5" customHeight="1">
      <c r="B69" s="263"/>
      <c r="H69" s="263"/>
      <c r="J69" s="262"/>
      <c r="O69" s="263"/>
      <c r="R69" s="262"/>
      <c r="W69" s="263"/>
      <c r="Z69" s="264"/>
      <c r="AK69" s="264"/>
      <c r="AT69" s="95"/>
      <c r="AU69" s="95"/>
      <c r="AV69" s="95"/>
      <c r="AW69" s="250"/>
      <c r="AX69" s="250"/>
      <c r="AY69" s="265"/>
      <c r="AZ69" s="250"/>
      <c r="BA69" s="250"/>
      <c r="BB69" s="264"/>
      <c r="BC69" s="250"/>
      <c r="BD69" s="250"/>
      <c r="BE69" s="250"/>
      <c r="BF69" s="250"/>
      <c r="BG69" s="250"/>
      <c r="BH69" s="250"/>
      <c r="BI69" s="250"/>
      <c r="BJ69" s="250"/>
      <c r="BK69" s="264"/>
      <c r="BL69" s="250"/>
      <c r="BM69" s="250"/>
      <c r="BN69" s="250"/>
      <c r="BO69" s="250"/>
      <c r="BP69" s="250"/>
      <c r="BQ69" s="250"/>
      <c r="BR69" s="95"/>
      <c r="BS69" s="95"/>
      <c r="BT69" s="95"/>
    </row>
    <row r="70" spans="2:72" s="164" customFormat="1" ht="22.5" customHeight="1">
      <c r="B70" s="263"/>
      <c r="H70" s="263"/>
      <c r="J70" s="262"/>
      <c r="O70" s="263"/>
      <c r="R70" s="262"/>
      <c r="W70" s="263"/>
      <c r="Z70" s="264"/>
      <c r="AK70" s="264"/>
      <c r="AS70" s="264"/>
      <c r="AT70" s="95"/>
      <c r="AU70" s="95"/>
      <c r="AV70" s="95"/>
      <c r="AW70" s="250"/>
      <c r="AX70" s="250"/>
      <c r="AY70" s="265"/>
      <c r="AZ70" s="250"/>
      <c r="BA70" s="250"/>
      <c r="BB70" s="264"/>
      <c r="BC70" s="250"/>
      <c r="BD70" s="250"/>
      <c r="BE70" s="250"/>
      <c r="BF70" s="250"/>
      <c r="BG70" s="250"/>
      <c r="BH70" s="250"/>
      <c r="BI70" s="250"/>
      <c r="BJ70" s="240"/>
      <c r="BK70" s="264"/>
      <c r="BL70" s="250"/>
      <c r="BM70" s="250"/>
      <c r="BN70" s="250"/>
      <c r="BO70" s="250"/>
      <c r="BP70" s="250"/>
      <c r="BQ70" s="250"/>
      <c r="BR70" s="95"/>
      <c r="BS70" s="95"/>
      <c r="BT70" s="95"/>
    </row>
    <row r="71" spans="2:72" s="164" customFormat="1" ht="22.5" customHeight="1">
      <c r="B71" s="263"/>
      <c r="H71" s="263"/>
      <c r="J71" s="262"/>
      <c r="O71" s="263"/>
      <c r="R71" s="262"/>
      <c r="W71" s="263"/>
      <c r="Z71" s="264"/>
      <c r="AK71" s="264"/>
      <c r="AS71" s="264"/>
      <c r="AT71" s="95"/>
      <c r="AU71" s="95"/>
      <c r="AV71" s="95"/>
      <c r="AW71" s="250"/>
      <c r="AX71" s="250"/>
      <c r="AY71" s="265"/>
      <c r="AZ71" s="250"/>
      <c r="BA71" s="250"/>
      <c r="BB71" s="264"/>
      <c r="BC71" s="250"/>
      <c r="BD71" s="250"/>
      <c r="BE71" s="250"/>
      <c r="BF71" s="250"/>
      <c r="BG71" s="250"/>
      <c r="BH71" s="250"/>
      <c r="BI71" s="250"/>
      <c r="BJ71" s="240"/>
      <c r="BK71" s="264"/>
      <c r="BL71" s="250"/>
      <c r="BM71" s="250"/>
      <c r="BN71" s="250"/>
      <c r="BO71" s="250"/>
      <c r="BP71" s="250"/>
      <c r="BQ71" s="250"/>
      <c r="BR71" s="95"/>
      <c r="BS71" s="95"/>
      <c r="BT71" s="95"/>
    </row>
    <row r="72" spans="2:72" s="164" customFormat="1" ht="22.5" customHeight="1">
      <c r="B72" s="263"/>
      <c r="H72" s="263"/>
      <c r="J72" s="262"/>
      <c r="O72" s="263"/>
      <c r="R72" s="262"/>
      <c r="W72" s="263"/>
      <c r="Z72" s="264"/>
      <c r="AK72" s="264"/>
      <c r="AS72" s="264"/>
      <c r="AT72" s="250"/>
      <c r="AU72" s="250"/>
      <c r="AV72" s="250"/>
      <c r="AW72" s="250"/>
      <c r="AX72" s="250"/>
      <c r="AY72" s="250"/>
      <c r="AZ72" s="250"/>
      <c r="BA72" s="250"/>
      <c r="BB72" s="264"/>
      <c r="BC72" s="250"/>
      <c r="BD72" s="250"/>
      <c r="BE72" s="250"/>
      <c r="BF72" s="250"/>
      <c r="BG72" s="250"/>
      <c r="BH72" s="250"/>
      <c r="BI72" s="250"/>
      <c r="BJ72" s="240"/>
      <c r="BK72" s="264"/>
      <c r="BL72" s="250"/>
      <c r="BM72" s="250"/>
      <c r="BN72" s="250"/>
      <c r="BO72" s="250"/>
      <c r="BP72" s="250"/>
      <c r="BQ72" s="250"/>
      <c r="BR72" s="95"/>
      <c r="BS72" s="95"/>
      <c r="BT72" s="95"/>
    </row>
    <row r="73" spans="2:72" ht="22.5" customHeight="1">
      <c r="AT73" s="250"/>
      <c r="AU73" s="250"/>
      <c r="AV73" s="250"/>
      <c r="AW73" s="250"/>
      <c r="AX73" s="250"/>
      <c r="AY73" s="250"/>
      <c r="AZ73" s="250"/>
      <c r="BA73" s="250"/>
      <c r="BC73" s="250"/>
      <c r="BD73" s="250"/>
      <c r="BE73" s="250"/>
      <c r="BF73" s="250"/>
      <c r="BG73" s="250"/>
      <c r="BH73" s="250"/>
      <c r="BI73" s="250"/>
      <c r="BJ73" s="250"/>
      <c r="BL73" s="250"/>
      <c r="BM73" s="250"/>
      <c r="BN73" s="250"/>
      <c r="BO73" s="250"/>
      <c r="BP73" s="250"/>
      <c r="BQ73" s="250"/>
      <c r="BR73" s="95"/>
      <c r="BS73" s="95"/>
      <c r="BT73" s="95"/>
    </row>
    <row r="74" spans="2:72" s="95" customFormat="1" ht="22.5" customHeight="1">
      <c r="J74" s="264"/>
      <c r="K74" s="250"/>
      <c r="L74" s="250"/>
      <c r="M74" s="250"/>
      <c r="N74" s="250"/>
      <c r="O74" s="250"/>
      <c r="P74" s="250"/>
      <c r="Q74" s="250"/>
      <c r="R74" s="264"/>
      <c r="S74" s="250"/>
      <c r="T74" s="250"/>
      <c r="U74" s="250"/>
      <c r="V74" s="250"/>
      <c r="W74" s="250"/>
      <c r="X74" s="250"/>
      <c r="AR74" s="250"/>
      <c r="AS74" s="264"/>
      <c r="AT74" s="250"/>
      <c r="AU74" s="250"/>
      <c r="AV74" s="250"/>
      <c r="AW74" s="250"/>
      <c r="AX74" s="250"/>
      <c r="AY74" s="250"/>
      <c r="AZ74" s="250"/>
      <c r="BA74" s="250"/>
      <c r="BB74" s="264"/>
      <c r="BC74" s="250"/>
      <c r="BD74" s="250"/>
      <c r="BE74" s="250"/>
      <c r="BF74" s="250"/>
      <c r="BG74" s="250"/>
      <c r="BH74" s="250"/>
      <c r="BI74" s="250"/>
      <c r="BJ74" s="250"/>
      <c r="BK74" s="264"/>
      <c r="BL74" s="250"/>
      <c r="BM74" s="250"/>
      <c r="BN74" s="250"/>
      <c r="BO74" s="250"/>
      <c r="BP74" s="250"/>
      <c r="BQ74" s="250"/>
    </row>
    <row r="75" spans="2:72" s="95" customFormat="1" ht="22.5" customHeight="1">
      <c r="J75" s="264"/>
      <c r="K75" s="250"/>
      <c r="L75" s="250"/>
      <c r="M75" s="250"/>
      <c r="N75" s="250"/>
      <c r="O75" s="250"/>
      <c r="P75" s="250"/>
      <c r="Q75" s="250"/>
      <c r="R75" s="264"/>
      <c r="S75" s="250"/>
      <c r="T75" s="250"/>
      <c r="U75" s="250"/>
      <c r="V75" s="250"/>
      <c r="W75" s="250"/>
      <c r="X75" s="250"/>
      <c r="Y75" s="250"/>
      <c r="Z75" s="264"/>
      <c r="AA75" s="250"/>
      <c r="AB75" s="250"/>
      <c r="AC75" s="250"/>
      <c r="AD75" s="250"/>
      <c r="AE75" s="250"/>
      <c r="AF75" s="250"/>
      <c r="AG75" s="250"/>
      <c r="AH75" s="250"/>
      <c r="AI75" s="250"/>
      <c r="AR75" s="250"/>
      <c r="AS75" s="264"/>
      <c r="AT75" s="250"/>
      <c r="AU75" s="250"/>
      <c r="AV75" s="250"/>
      <c r="AW75" s="250"/>
      <c r="AX75" s="250"/>
      <c r="AY75" s="250"/>
      <c r="AZ75" s="250"/>
      <c r="BA75" s="250"/>
      <c r="BB75" s="264"/>
      <c r="BC75" s="250"/>
      <c r="BD75" s="250"/>
      <c r="BE75" s="250"/>
      <c r="BF75" s="250"/>
      <c r="BG75" s="250"/>
      <c r="BH75" s="250"/>
      <c r="BI75" s="250"/>
      <c r="BJ75" s="250"/>
      <c r="BK75" s="264"/>
      <c r="BL75" s="250"/>
      <c r="BM75" s="250"/>
      <c r="BN75" s="250"/>
      <c r="BO75" s="250"/>
      <c r="BP75" s="250"/>
      <c r="BQ75" s="250"/>
    </row>
    <row r="76" spans="2:72" s="95" customFormat="1" ht="22.5" customHeight="1">
      <c r="J76" s="264"/>
      <c r="K76" s="250"/>
      <c r="L76" s="250"/>
      <c r="M76" s="250"/>
      <c r="N76" s="250"/>
      <c r="O76" s="250"/>
      <c r="P76" s="250"/>
      <c r="Q76" s="250"/>
      <c r="R76" s="264"/>
      <c r="S76" s="250"/>
      <c r="T76" s="250"/>
      <c r="U76" s="250"/>
      <c r="V76" s="250"/>
      <c r="W76" s="250"/>
      <c r="X76" s="250"/>
      <c r="Y76" s="250"/>
      <c r="Z76" s="264"/>
      <c r="AA76" s="250"/>
      <c r="AB76" s="250"/>
      <c r="AC76" s="250"/>
      <c r="AD76" s="250"/>
      <c r="AE76" s="250"/>
      <c r="AF76" s="250"/>
      <c r="AG76" s="250"/>
      <c r="AH76" s="250"/>
      <c r="AI76" s="250"/>
      <c r="AR76" s="250"/>
      <c r="AS76" s="264"/>
      <c r="AT76" s="250"/>
      <c r="AU76" s="250"/>
      <c r="AV76" s="250"/>
      <c r="AW76" s="250"/>
      <c r="AX76" s="250"/>
      <c r="AY76" s="250"/>
      <c r="AZ76" s="250"/>
      <c r="BA76" s="250"/>
      <c r="BB76" s="264"/>
      <c r="BC76" s="250"/>
      <c r="BD76" s="250"/>
      <c r="BE76" s="250"/>
      <c r="BF76" s="250"/>
      <c r="BG76" s="250"/>
      <c r="BH76" s="250"/>
      <c r="BI76" s="250"/>
      <c r="BJ76" s="250"/>
      <c r="BK76" s="264"/>
      <c r="BL76" s="250"/>
      <c r="BM76" s="250"/>
      <c r="BN76" s="250"/>
      <c r="BO76" s="250"/>
      <c r="BP76" s="250"/>
      <c r="BQ76" s="250"/>
    </row>
    <row r="77" spans="2:72" s="95" customFormat="1" ht="22.5" customHeight="1">
      <c r="J77" s="264"/>
      <c r="K77" s="250"/>
      <c r="L77" s="250"/>
      <c r="M77" s="250"/>
      <c r="N77" s="250"/>
      <c r="O77" s="250"/>
      <c r="P77" s="250"/>
      <c r="Q77" s="250"/>
      <c r="R77" s="264"/>
      <c r="S77" s="250"/>
      <c r="T77" s="250"/>
      <c r="U77" s="250"/>
      <c r="V77" s="250"/>
      <c r="W77" s="250"/>
      <c r="X77" s="250"/>
      <c r="Y77" s="250"/>
      <c r="Z77" s="264"/>
      <c r="AA77" s="250"/>
      <c r="AB77" s="250"/>
      <c r="AC77" s="250"/>
      <c r="AD77" s="250"/>
      <c r="AE77" s="250"/>
      <c r="AF77" s="250"/>
      <c r="AG77" s="250"/>
      <c r="AH77" s="250"/>
      <c r="AI77" s="250"/>
      <c r="AJ77" s="250"/>
      <c r="AK77" s="264"/>
      <c r="AL77" s="250"/>
      <c r="AM77" s="250"/>
      <c r="AN77" s="250"/>
      <c r="AO77" s="250"/>
      <c r="AP77" s="250"/>
      <c r="AQ77" s="250"/>
      <c r="AR77" s="240"/>
      <c r="AS77" s="264"/>
      <c r="AT77" s="250"/>
      <c r="AU77" s="250"/>
      <c r="AV77" s="250"/>
      <c r="AW77" s="250"/>
      <c r="AX77" s="250"/>
      <c r="AY77" s="250"/>
      <c r="AZ77" s="250"/>
      <c r="BA77" s="250"/>
      <c r="BB77" s="264"/>
      <c r="BC77" s="250"/>
      <c r="BD77" s="250"/>
      <c r="BE77" s="250"/>
      <c r="BF77" s="250"/>
      <c r="BG77" s="250"/>
      <c r="BH77" s="250"/>
      <c r="BI77" s="250"/>
      <c r="BJ77" s="250"/>
      <c r="BK77" s="264"/>
      <c r="BL77" s="250"/>
      <c r="BM77" s="250"/>
      <c r="BN77" s="250"/>
      <c r="BO77" s="250"/>
      <c r="BP77" s="250"/>
      <c r="BQ77" s="250"/>
    </row>
    <row r="78" spans="2:72" s="95" customFormat="1" ht="22.5" customHeight="1">
      <c r="J78" s="264"/>
      <c r="K78" s="250"/>
      <c r="L78" s="250"/>
      <c r="M78" s="250"/>
      <c r="N78" s="250"/>
      <c r="O78" s="250"/>
      <c r="P78" s="250"/>
      <c r="Q78" s="250"/>
      <c r="R78" s="264"/>
      <c r="S78" s="250"/>
      <c r="T78" s="250"/>
      <c r="U78" s="250"/>
      <c r="V78" s="250"/>
      <c r="W78" s="250"/>
      <c r="X78" s="250"/>
      <c r="Y78" s="250"/>
      <c r="Z78" s="264"/>
      <c r="AA78" s="250"/>
      <c r="AB78" s="250"/>
      <c r="AC78" s="250"/>
      <c r="AD78" s="250"/>
      <c r="AE78" s="250"/>
      <c r="AF78" s="250"/>
      <c r="AG78" s="250"/>
      <c r="AH78" s="250"/>
      <c r="AI78" s="250"/>
      <c r="AR78" s="240"/>
      <c r="AS78" s="264"/>
      <c r="AT78" s="250"/>
      <c r="AU78" s="250"/>
      <c r="AV78" s="250"/>
      <c r="AW78" s="250"/>
      <c r="AX78" s="250"/>
      <c r="AY78" s="250"/>
      <c r="AZ78" s="250"/>
      <c r="BA78" s="250"/>
      <c r="BB78" s="264"/>
      <c r="BC78" s="250"/>
      <c r="BD78" s="250"/>
      <c r="BE78" s="250"/>
      <c r="BF78" s="250"/>
      <c r="BG78" s="250"/>
      <c r="BH78" s="250"/>
      <c r="BI78" s="250"/>
      <c r="BJ78" s="250"/>
      <c r="BK78" s="264"/>
      <c r="BL78" s="250"/>
      <c r="BM78" s="250"/>
      <c r="BN78" s="250"/>
      <c r="BO78" s="250"/>
      <c r="BP78" s="250"/>
      <c r="BQ78" s="250"/>
    </row>
    <row r="79" spans="2:72" s="95" customFormat="1" ht="22.5" customHeight="1">
      <c r="J79" s="264"/>
      <c r="K79" s="250"/>
      <c r="L79" s="250"/>
      <c r="M79" s="250"/>
      <c r="N79" s="250"/>
      <c r="O79" s="250"/>
      <c r="P79" s="250"/>
      <c r="Q79" s="250"/>
      <c r="R79" s="264"/>
      <c r="S79" s="250"/>
      <c r="T79" s="250"/>
      <c r="U79" s="250"/>
      <c r="V79" s="250"/>
      <c r="W79" s="250"/>
      <c r="X79" s="250"/>
      <c r="Y79" s="250"/>
      <c r="Z79" s="264"/>
      <c r="AA79" s="250"/>
      <c r="AB79" s="250"/>
      <c r="AC79" s="250"/>
      <c r="AD79" s="250"/>
      <c r="AE79" s="250"/>
      <c r="AF79" s="250"/>
      <c r="AG79" s="250"/>
      <c r="AH79" s="250"/>
      <c r="AI79" s="250"/>
      <c r="AR79" s="240"/>
      <c r="AS79" s="264"/>
      <c r="AT79" s="250"/>
      <c r="AU79" s="250"/>
      <c r="AV79" s="250"/>
      <c r="AW79" s="250"/>
      <c r="AX79" s="250"/>
      <c r="AY79" s="250"/>
      <c r="AZ79" s="250"/>
      <c r="BA79" s="250"/>
      <c r="BB79" s="264"/>
      <c r="BC79" s="250"/>
      <c r="BD79" s="250"/>
      <c r="BE79" s="250"/>
      <c r="BF79" s="250"/>
      <c r="BG79" s="250"/>
      <c r="BH79" s="250"/>
      <c r="BI79" s="250"/>
      <c r="BJ79" s="250"/>
      <c r="BK79" s="264"/>
      <c r="BL79" s="250"/>
      <c r="BM79" s="250"/>
      <c r="BN79" s="250"/>
      <c r="BO79" s="250"/>
      <c r="BP79" s="250"/>
      <c r="BQ79" s="250"/>
    </row>
    <row r="80" spans="2:72" s="95" customFormat="1" ht="22.5" customHeight="1">
      <c r="J80" s="264"/>
      <c r="K80" s="250"/>
      <c r="L80" s="250"/>
      <c r="M80" s="250"/>
      <c r="N80" s="250"/>
      <c r="O80" s="250"/>
      <c r="P80" s="250"/>
      <c r="Q80" s="250"/>
      <c r="R80" s="264"/>
      <c r="S80" s="250"/>
      <c r="T80" s="250"/>
      <c r="U80" s="250"/>
      <c r="V80" s="250"/>
      <c r="W80" s="250"/>
      <c r="X80" s="250"/>
      <c r="Y80" s="250"/>
      <c r="Z80" s="264"/>
      <c r="AA80" s="250"/>
      <c r="AB80" s="250"/>
      <c r="AC80" s="250"/>
      <c r="AD80" s="250"/>
      <c r="AE80" s="250"/>
      <c r="AF80" s="250"/>
      <c r="AG80" s="250"/>
      <c r="AH80" s="250"/>
      <c r="AI80" s="250"/>
      <c r="AR80" s="250"/>
      <c r="AS80" s="264"/>
      <c r="AT80" s="250"/>
      <c r="AU80" s="250"/>
      <c r="AV80" s="250"/>
      <c r="AW80" s="250"/>
      <c r="AX80" s="250"/>
      <c r="AY80" s="250"/>
      <c r="AZ80" s="250"/>
      <c r="BA80" s="250"/>
      <c r="BB80" s="264"/>
      <c r="BC80" s="250"/>
      <c r="BD80" s="250"/>
      <c r="BE80" s="250"/>
      <c r="BF80" s="250"/>
      <c r="BG80" s="250"/>
      <c r="BH80" s="250"/>
      <c r="BI80" s="250"/>
      <c r="BJ80" s="250"/>
      <c r="BK80" s="264"/>
      <c r="BL80" s="250"/>
      <c r="BM80" s="250"/>
      <c r="BN80" s="250"/>
      <c r="BO80" s="250"/>
      <c r="BP80" s="250"/>
      <c r="BQ80" s="250"/>
    </row>
    <row r="81" spans="10:72" s="95" customFormat="1" ht="22.5" customHeight="1">
      <c r="J81" s="264"/>
      <c r="K81" s="250"/>
      <c r="L81" s="250"/>
      <c r="M81" s="250"/>
      <c r="N81" s="250"/>
      <c r="O81" s="250"/>
      <c r="P81" s="250"/>
      <c r="Q81" s="250"/>
      <c r="R81" s="264"/>
      <c r="S81" s="250"/>
      <c r="T81" s="250"/>
      <c r="U81" s="250"/>
      <c r="V81" s="250"/>
      <c r="W81" s="250"/>
      <c r="X81" s="250"/>
      <c r="Y81" s="250"/>
      <c r="Z81" s="264"/>
      <c r="AA81" s="250"/>
      <c r="AB81" s="250"/>
      <c r="AC81" s="250"/>
      <c r="AD81" s="250"/>
      <c r="AE81" s="250"/>
      <c r="AF81" s="250"/>
      <c r="AG81" s="250"/>
      <c r="AH81" s="250"/>
      <c r="AI81" s="250"/>
      <c r="AR81" s="250"/>
      <c r="AS81" s="264"/>
      <c r="AT81" s="250"/>
      <c r="AU81" s="250"/>
      <c r="AV81" s="250"/>
      <c r="AW81" s="250"/>
      <c r="AX81" s="250"/>
      <c r="AY81" s="250"/>
      <c r="AZ81" s="250"/>
      <c r="BA81" s="250"/>
      <c r="BB81" s="264"/>
      <c r="BC81" s="250"/>
      <c r="BD81" s="250"/>
      <c r="BE81" s="250"/>
      <c r="BF81" s="250"/>
      <c r="BG81" s="250"/>
      <c r="BH81" s="250"/>
      <c r="BI81" s="250"/>
      <c r="BJ81" s="250"/>
      <c r="BK81" s="264"/>
      <c r="BL81" s="250"/>
      <c r="BM81" s="250"/>
      <c r="BN81" s="250"/>
      <c r="BO81" s="250"/>
      <c r="BP81" s="250"/>
      <c r="BQ81" s="250"/>
    </row>
    <row r="82" spans="10:72" s="95" customFormat="1" ht="22.5" customHeight="1">
      <c r="J82" s="264"/>
      <c r="K82" s="250"/>
      <c r="L82" s="250"/>
      <c r="M82" s="250"/>
      <c r="N82" s="250"/>
      <c r="O82" s="250"/>
      <c r="P82" s="250"/>
      <c r="Q82" s="250"/>
      <c r="R82" s="264"/>
      <c r="S82" s="250"/>
      <c r="T82" s="250"/>
      <c r="U82" s="250"/>
      <c r="V82" s="250"/>
      <c r="W82" s="250"/>
      <c r="X82" s="250"/>
      <c r="Y82" s="250"/>
      <c r="Z82" s="264"/>
      <c r="AA82" s="250"/>
      <c r="AB82" s="250"/>
      <c r="AC82" s="250"/>
      <c r="AD82" s="250"/>
      <c r="AE82" s="250"/>
      <c r="AF82" s="250"/>
      <c r="AG82" s="250"/>
      <c r="AH82" s="250"/>
      <c r="AI82" s="250"/>
      <c r="AR82" s="250"/>
      <c r="AS82" s="264"/>
      <c r="AT82" s="250"/>
      <c r="AU82" s="250"/>
      <c r="AV82" s="250"/>
      <c r="AW82" s="250"/>
      <c r="AX82" s="250"/>
      <c r="AY82" s="250"/>
      <c r="AZ82" s="250"/>
      <c r="BA82" s="250"/>
      <c r="BB82" s="264"/>
      <c r="BC82" s="250"/>
      <c r="BD82" s="250"/>
      <c r="BE82" s="250"/>
      <c r="BF82" s="250"/>
      <c r="BG82" s="250"/>
      <c r="BH82" s="250"/>
      <c r="BI82" s="250"/>
      <c r="BJ82" s="250"/>
      <c r="BK82" s="264"/>
      <c r="BL82" s="250"/>
      <c r="BM82" s="250"/>
      <c r="BN82" s="250"/>
      <c r="BO82" s="250"/>
      <c r="BP82" s="250"/>
      <c r="BQ82" s="250"/>
    </row>
    <row r="83" spans="10:72" s="95" customFormat="1" ht="22.5" customHeight="1">
      <c r="J83" s="264"/>
      <c r="K83" s="250"/>
      <c r="L83" s="250"/>
      <c r="M83" s="250"/>
      <c r="N83" s="250"/>
      <c r="O83" s="250"/>
      <c r="P83" s="250"/>
      <c r="Q83" s="250"/>
      <c r="R83" s="264"/>
      <c r="S83" s="250"/>
      <c r="T83" s="250"/>
      <c r="U83" s="250"/>
      <c r="V83" s="250"/>
      <c r="W83" s="250"/>
      <c r="X83" s="250"/>
      <c r="Y83" s="250"/>
      <c r="Z83" s="264"/>
      <c r="AA83" s="250"/>
      <c r="AB83" s="250"/>
      <c r="AC83" s="250"/>
      <c r="AD83" s="250"/>
      <c r="AE83" s="250"/>
      <c r="AF83" s="250"/>
      <c r="AG83" s="250"/>
      <c r="AH83" s="250"/>
      <c r="AI83" s="250"/>
      <c r="AR83" s="250"/>
      <c r="AS83" s="264"/>
      <c r="AT83" s="250"/>
      <c r="AU83" s="250"/>
      <c r="AV83" s="250"/>
      <c r="AW83" s="250"/>
      <c r="AX83" s="250"/>
      <c r="AY83" s="250"/>
      <c r="AZ83" s="250"/>
      <c r="BA83" s="250"/>
      <c r="BB83" s="264"/>
      <c r="BC83" s="250"/>
      <c r="BD83" s="250"/>
      <c r="BE83" s="250"/>
      <c r="BF83" s="250"/>
      <c r="BG83" s="250"/>
      <c r="BH83" s="250"/>
      <c r="BI83" s="250"/>
      <c r="BJ83" s="250"/>
      <c r="BK83" s="264"/>
      <c r="BL83" s="250"/>
      <c r="BM83" s="250"/>
      <c r="BN83" s="250"/>
      <c r="BO83" s="250"/>
      <c r="BP83" s="250"/>
      <c r="BQ83" s="250"/>
      <c r="BR83" s="8"/>
      <c r="BS83" s="8"/>
      <c r="BT83" s="8"/>
    </row>
    <row r="84" spans="10:72" s="95" customFormat="1" ht="22.5" customHeight="1">
      <c r="J84" s="264"/>
      <c r="K84" s="250"/>
      <c r="L84" s="250"/>
      <c r="M84" s="250"/>
      <c r="N84" s="250"/>
      <c r="O84" s="250"/>
      <c r="P84" s="250"/>
      <c r="Q84" s="250"/>
      <c r="R84" s="264"/>
      <c r="S84" s="250"/>
      <c r="T84" s="250"/>
      <c r="U84" s="250"/>
      <c r="V84" s="250"/>
      <c r="W84" s="250"/>
      <c r="X84" s="250"/>
      <c r="Y84" s="250"/>
      <c r="Z84" s="264"/>
      <c r="AA84" s="250"/>
      <c r="AB84" s="250"/>
      <c r="AC84" s="250"/>
      <c r="AD84" s="250"/>
      <c r="AE84" s="250"/>
      <c r="AF84" s="250"/>
      <c r="AG84" s="250"/>
      <c r="AH84" s="250"/>
      <c r="AI84" s="250"/>
      <c r="AR84" s="250"/>
      <c r="AS84" s="264"/>
      <c r="AT84" s="250"/>
      <c r="AU84" s="250"/>
      <c r="AV84" s="250"/>
      <c r="AW84" s="250"/>
      <c r="AX84" s="250"/>
      <c r="AY84" s="250"/>
      <c r="AZ84" s="250"/>
      <c r="BA84" s="250"/>
      <c r="BB84" s="264"/>
      <c r="BC84" s="250"/>
      <c r="BD84" s="250"/>
      <c r="BE84" s="250"/>
      <c r="BF84" s="250"/>
      <c r="BG84" s="250"/>
      <c r="BH84" s="250"/>
      <c r="BI84" s="250"/>
      <c r="BJ84" s="250"/>
      <c r="BK84" s="264"/>
      <c r="BL84" s="250"/>
      <c r="BM84" s="250"/>
      <c r="BN84" s="250"/>
      <c r="BO84" s="250"/>
      <c r="BP84" s="250"/>
      <c r="BQ84" s="250"/>
      <c r="BR84" s="201"/>
      <c r="BS84" s="201"/>
      <c r="BT84" s="201"/>
    </row>
    <row r="85" spans="10:72" s="95" customFormat="1" ht="22.5" customHeight="1">
      <c r="J85" s="264"/>
      <c r="K85" s="250"/>
      <c r="L85" s="250"/>
      <c r="M85" s="250"/>
      <c r="N85" s="250"/>
      <c r="O85" s="250"/>
      <c r="P85" s="250"/>
      <c r="Q85" s="250"/>
      <c r="R85" s="264"/>
      <c r="S85" s="250"/>
      <c r="T85" s="250"/>
      <c r="U85" s="250"/>
      <c r="V85" s="250"/>
      <c r="W85" s="250"/>
      <c r="X85" s="250"/>
      <c r="Y85" s="250"/>
      <c r="Z85" s="264"/>
      <c r="AA85" s="250"/>
      <c r="AB85" s="250"/>
      <c r="AC85" s="250"/>
      <c r="AD85" s="250"/>
      <c r="AE85" s="250"/>
      <c r="AF85" s="250"/>
      <c r="AG85" s="250"/>
      <c r="AH85" s="250"/>
      <c r="AI85" s="250"/>
      <c r="AR85" s="250"/>
      <c r="AS85" s="264"/>
      <c r="AT85" s="250"/>
      <c r="AU85" s="250"/>
      <c r="AV85" s="250"/>
      <c r="AW85" s="250"/>
      <c r="AX85" s="250"/>
      <c r="AY85" s="250"/>
      <c r="AZ85" s="250"/>
      <c r="BA85" s="250"/>
      <c r="BB85" s="264"/>
      <c r="BC85" s="250"/>
      <c r="BD85" s="250"/>
      <c r="BE85" s="250"/>
      <c r="BF85" s="250"/>
      <c r="BG85" s="250"/>
      <c r="BH85" s="250"/>
      <c r="BI85" s="250"/>
      <c r="BJ85" s="250"/>
      <c r="BK85" s="264"/>
      <c r="BL85" s="250"/>
      <c r="BM85" s="250"/>
      <c r="BN85" s="250"/>
      <c r="BO85" s="250"/>
      <c r="BP85" s="250"/>
      <c r="BQ85" s="250"/>
      <c r="BR85" s="201"/>
      <c r="BS85" s="201"/>
      <c r="BT85" s="201"/>
    </row>
    <row r="86" spans="10:72" s="95" customFormat="1" ht="22.5" customHeight="1">
      <c r="J86" s="264"/>
      <c r="K86" s="250"/>
      <c r="L86" s="250"/>
      <c r="M86" s="250"/>
      <c r="N86" s="250"/>
      <c r="O86" s="250"/>
      <c r="P86" s="250"/>
      <c r="Q86" s="250"/>
      <c r="R86" s="264"/>
      <c r="S86" s="250"/>
      <c r="T86" s="250"/>
      <c r="U86" s="250"/>
      <c r="V86" s="250"/>
      <c r="W86" s="250"/>
      <c r="X86" s="250"/>
      <c r="Y86" s="250"/>
      <c r="Z86" s="264"/>
      <c r="AA86" s="250"/>
      <c r="AB86" s="250"/>
      <c r="AC86" s="250"/>
      <c r="AD86" s="250"/>
      <c r="AE86" s="250"/>
      <c r="AF86" s="250"/>
      <c r="AG86" s="250"/>
      <c r="AH86" s="250"/>
      <c r="AI86" s="250"/>
      <c r="AJ86" s="250"/>
      <c r="AK86" s="264"/>
      <c r="AL86" s="250"/>
      <c r="AM86" s="250"/>
      <c r="AN86" s="250"/>
      <c r="AO86" s="250"/>
      <c r="AP86" s="250"/>
      <c r="AQ86" s="250"/>
      <c r="AR86" s="250"/>
      <c r="AS86" s="264"/>
      <c r="AT86" s="250"/>
      <c r="AU86" s="250"/>
      <c r="AV86" s="250"/>
      <c r="AW86" s="250"/>
      <c r="AX86" s="250"/>
      <c r="AY86" s="250"/>
      <c r="AZ86" s="250"/>
      <c r="BA86" s="250"/>
      <c r="BB86" s="264"/>
      <c r="BC86" s="250"/>
      <c r="BD86" s="250"/>
      <c r="BE86" s="250"/>
      <c r="BF86" s="250"/>
      <c r="BG86" s="250"/>
      <c r="BH86" s="250"/>
      <c r="BI86" s="250"/>
      <c r="BJ86" s="250"/>
      <c r="BK86" s="264"/>
      <c r="BL86" s="250"/>
      <c r="BM86" s="250"/>
      <c r="BN86" s="250"/>
      <c r="BO86" s="250"/>
      <c r="BP86" s="250"/>
      <c r="BQ86" s="250"/>
      <c r="BR86" s="37"/>
      <c r="BS86" s="37"/>
      <c r="BT86" s="37"/>
    </row>
    <row r="87" spans="10:72" s="95" customFormat="1" ht="22.5" customHeight="1">
      <c r="J87" s="264"/>
      <c r="K87" s="250"/>
      <c r="L87" s="250"/>
      <c r="M87" s="250"/>
      <c r="N87" s="250"/>
      <c r="O87" s="250"/>
      <c r="P87" s="250"/>
      <c r="Q87" s="250"/>
      <c r="R87" s="264"/>
      <c r="S87" s="250"/>
      <c r="T87" s="250"/>
      <c r="U87" s="250"/>
      <c r="V87" s="250"/>
      <c r="W87" s="250"/>
      <c r="X87" s="250"/>
      <c r="Y87" s="250"/>
      <c r="Z87" s="264"/>
      <c r="AA87" s="250"/>
      <c r="AB87" s="250"/>
      <c r="AC87" s="250"/>
      <c r="AD87" s="250"/>
      <c r="AE87" s="250"/>
      <c r="AF87" s="250"/>
      <c r="AG87" s="250"/>
      <c r="AH87" s="250"/>
      <c r="AI87" s="250"/>
      <c r="AJ87" s="250"/>
      <c r="AK87" s="264"/>
      <c r="AL87" s="250"/>
      <c r="AM87" s="250"/>
      <c r="AN87" s="250"/>
      <c r="AO87" s="250"/>
      <c r="AP87" s="250"/>
      <c r="AQ87" s="250"/>
      <c r="AR87" s="250"/>
      <c r="AS87" s="264"/>
      <c r="AT87" s="250"/>
      <c r="AU87" s="250"/>
      <c r="AV87" s="250"/>
      <c r="AW87" s="250"/>
      <c r="AX87" s="250"/>
      <c r="AY87" s="250"/>
      <c r="AZ87" s="250"/>
      <c r="BA87" s="250"/>
      <c r="BB87" s="264"/>
      <c r="BC87" s="250"/>
      <c r="BD87" s="250"/>
      <c r="BE87" s="250"/>
      <c r="BF87" s="250"/>
      <c r="BG87" s="250"/>
      <c r="BH87" s="250"/>
      <c r="BI87" s="250"/>
      <c r="BJ87" s="250"/>
      <c r="BK87" s="264"/>
      <c r="BL87" s="164"/>
      <c r="BM87" s="164"/>
      <c r="BN87" s="164"/>
      <c r="BO87" s="164"/>
      <c r="BP87" s="164"/>
      <c r="BQ87" s="164"/>
      <c r="BR87" s="37"/>
      <c r="BS87" s="37"/>
      <c r="BT87" s="37"/>
    </row>
    <row r="88" spans="10:72" s="95" customFormat="1" ht="22.5" customHeight="1">
      <c r="J88" s="264"/>
      <c r="K88" s="250"/>
      <c r="L88" s="250"/>
      <c r="M88" s="250"/>
      <c r="N88" s="250"/>
      <c r="O88" s="250"/>
      <c r="P88" s="250"/>
      <c r="Q88" s="250"/>
      <c r="R88" s="264"/>
      <c r="S88" s="250"/>
      <c r="T88" s="250"/>
      <c r="U88" s="250"/>
      <c r="V88" s="250"/>
      <c r="W88" s="250"/>
      <c r="X88" s="250"/>
      <c r="Y88" s="250"/>
      <c r="Z88" s="264"/>
      <c r="AA88" s="250"/>
      <c r="AB88" s="250"/>
      <c r="AC88" s="250"/>
      <c r="AD88" s="250"/>
      <c r="AE88" s="250"/>
      <c r="AF88" s="250"/>
      <c r="AG88" s="250"/>
      <c r="AH88" s="250"/>
      <c r="AI88" s="250"/>
      <c r="AJ88" s="250"/>
      <c r="AK88" s="264"/>
      <c r="AL88" s="250"/>
      <c r="AM88" s="250"/>
      <c r="AN88" s="250"/>
      <c r="AO88" s="250"/>
      <c r="AP88" s="250"/>
      <c r="AQ88" s="250"/>
      <c r="AR88" s="250"/>
      <c r="AS88" s="264"/>
      <c r="AT88" s="250"/>
      <c r="AU88" s="250"/>
      <c r="AV88" s="250"/>
      <c r="AW88" s="250"/>
      <c r="AX88" s="250"/>
      <c r="AY88" s="250"/>
      <c r="AZ88" s="250"/>
      <c r="BA88" s="250"/>
      <c r="BB88" s="264"/>
      <c r="BC88" s="250"/>
      <c r="BD88" s="250"/>
      <c r="BE88" s="250"/>
      <c r="BF88" s="250"/>
      <c r="BG88" s="250"/>
      <c r="BH88" s="250"/>
      <c r="BI88" s="250"/>
      <c r="BJ88" s="250"/>
      <c r="BK88" s="264"/>
      <c r="BL88" s="266"/>
      <c r="BM88" s="266"/>
      <c r="BN88" s="266"/>
      <c r="BO88" s="266"/>
      <c r="BP88" s="266"/>
      <c r="BQ88" s="266"/>
      <c r="BR88" s="37"/>
      <c r="BS88" s="37"/>
      <c r="BT88" s="37"/>
    </row>
    <row r="89" spans="10:72" s="95" customFormat="1" ht="22.5" customHeight="1">
      <c r="J89" s="264"/>
      <c r="K89" s="250"/>
      <c r="L89" s="250"/>
      <c r="M89" s="250"/>
      <c r="N89" s="250"/>
      <c r="O89" s="250"/>
      <c r="P89" s="250"/>
      <c r="Q89" s="250"/>
      <c r="R89" s="264"/>
      <c r="S89" s="250"/>
      <c r="T89" s="250"/>
      <c r="U89" s="250"/>
      <c r="V89" s="250"/>
      <c r="W89" s="250"/>
      <c r="X89" s="250"/>
      <c r="Y89" s="250"/>
      <c r="Z89" s="264"/>
      <c r="AA89" s="250"/>
      <c r="AB89" s="250"/>
      <c r="AC89" s="250"/>
      <c r="AD89" s="250"/>
      <c r="AE89" s="250"/>
      <c r="AF89" s="250"/>
      <c r="AG89" s="250"/>
      <c r="AH89" s="250"/>
      <c r="AI89" s="250"/>
      <c r="AJ89" s="250"/>
      <c r="AK89" s="264"/>
      <c r="AL89" s="250"/>
      <c r="AM89" s="250"/>
      <c r="AN89" s="250"/>
      <c r="AO89" s="250"/>
      <c r="AP89" s="250"/>
      <c r="AQ89" s="250"/>
      <c r="AR89" s="250"/>
      <c r="AS89" s="264"/>
      <c r="AT89" s="250"/>
      <c r="AU89" s="250"/>
      <c r="AV89" s="250"/>
      <c r="AW89" s="250"/>
      <c r="AX89" s="250"/>
      <c r="AY89" s="250"/>
      <c r="AZ89" s="250"/>
      <c r="BA89" s="250"/>
      <c r="BB89" s="264"/>
      <c r="BC89" s="250"/>
      <c r="BD89" s="250"/>
      <c r="BE89" s="250"/>
      <c r="BF89" s="250"/>
      <c r="BG89" s="250"/>
      <c r="BH89" s="250"/>
      <c r="BI89" s="250"/>
      <c r="BJ89" s="250"/>
      <c r="BK89" s="264"/>
      <c r="BL89" s="266"/>
      <c r="BM89" s="266"/>
      <c r="BN89" s="266"/>
      <c r="BO89" s="266"/>
      <c r="BP89" s="266"/>
      <c r="BQ89" s="266"/>
      <c r="BR89" s="37"/>
      <c r="BS89" s="37"/>
      <c r="BT89" s="37"/>
    </row>
    <row r="90" spans="10:72" s="95" customFormat="1" ht="22.5" customHeight="1">
      <c r="J90" s="264"/>
      <c r="K90" s="250"/>
      <c r="L90" s="250"/>
      <c r="M90" s="250"/>
      <c r="N90" s="250"/>
      <c r="O90" s="250"/>
      <c r="P90" s="250"/>
      <c r="Q90" s="250"/>
      <c r="R90" s="264"/>
      <c r="S90" s="250"/>
      <c r="T90" s="250"/>
      <c r="U90" s="250"/>
      <c r="V90" s="250"/>
      <c r="W90" s="250"/>
      <c r="X90" s="250"/>
      <c r="Y90" s="250"/>
      <c r="Z90" s="264"/>
      <c r="AA90" s="250"/>
      <c r="AB90" s="250"/>
      <c r="AC90" s="250"/>
      <c r="AD90" s="250"/>
      <c r="AE90" s="250"/>
      <c r="AF90" s="250"/>
      <c r="AG90" s="250"/>
      <c r="AH90" s="250"/>
      <c r="AI90" s="250"/>
      <c r="AJ90" s="250"/>
      <c r="AK90" s="264"/>
      <c r="AL90" s="250"/>
      <c r="AM90" s="250"/>
      <c r="AN90" s="250"/>
      <c r="AO90" s="250"/>
      <c r="AP90" s="250"/>
      <c r="AQ90" s="250"/>
      <c r="AR90" s="250"/>
      <c r="AS90" s="264"/>
      <c r="AT90" s="250"/>
      <c r="AU90" s="250"/>
      <c r="AV90" s="250"/>
      <c r="AW90" s="250"/>
      <c r="AX90" s="250"/>
      <c r="AY90" s="250"/>
      <c r="AZ90" s="250"/>
      <c r="BA90" s="250"/>
      <c r="BB90" s="264"/>
      <c r="BC90" s="250"/>
      <c r="BD90" s="250"/>
      <c r="BE90" s="250"/>
      <c r="BF90" s="250"/>
      <c r="BG90" s="250"/>
      <c r="BH90" s="250"/>
      <c r="BI90" s="250"/>
      <c r="BJ90" s="250"/>
      <c r="BK90" s="264"/>
      <c r="BL90" s="263"/>
      <c r="BM90" s="263"/>
      <c r="BN90" s="263"/>
      <c r="BO90" s="263"/>
      <c r="BP90" s="263"/>
      <c r="BQ90" s="263"/>
      <c r="BR90" s="37"/>
      <c r="BS90" s="37"/>
      <c r="BT90" s="37"/>
    </row>
    <row r="91" spans="10:72" s="95" customFormat="1" ht="22.5" customHeight="1">
      <c r="J91" s="264"/>
      <c r="K91" s="250"/>
      <c r="L91" s="250"/>
      <c r="M91" s="250"/>
      <c r="N91" s="250"/>
      <c r="O91" s="250"/>
      <c r="P91" s="250"/>
      <c r="Q91" s="250"/>
      <c r="R91" s="264"/>
      <c r="S91" s="250"/>
      <c r="T91" s="250"/>
      <c r="U91" s="250"/>
      <c r="V91" s="250"/>
      <c r="W91" s="250"/>
      <c r="X91" s="250"/>
      <c r="Y91" s="250"/>
      <c r="Z91" s="264"/>
      <c r="AA91" s="250"/>
      <c r="AB91" s="250"/>
      <c r="AC91" s="250"/>
      <c r="AD91" s="250"/>
      <c r="AE91" s="250"/>
      <c r="AF91" s="250"/>
      <c r="AG91" s="250"/>
      <c r="AH91" s="250"/>
      <c r="AI91" s="250"/>
      <c r="AJ91" s="250"/>
      <c r="AK91" s="264"/>
      <c r="AL91" s="250"/>
      <c r="AM91" s="250"/>
      <c r="AN91" s="250"/>
      <c r="AO91" s="250"/>
      <c r="AP91" s="250"/>
      <c r="AQ91" s="250"/>
      <c r="AR91" s="250"/>
      <c r="AS91" s="264"/>
      <c r="AT91" s="250"/>
      <c r="AU91" s="250"/>
      <c r="AV91" s="250"/>
      <c r="AW91" s="250"/>
      <c r="AX91" s="250"/>
      <c r="AY91" s="250"/>
      <c r="AZ91" s="250"/>
      <c r="BA91" s="250"/>
      <c r="BB91" s="264"/>
      <c r="BC91" s="250"/>
      <c r="BD91" s="250"/>
      <c r="BE91" s="250"/>
      <c r="BF91" s="250"/>
      <c r="BG91" s="250"/>
      <c r="BH91" s="250"/>
      <c r="BI91" s="250"/>
      <c r="BJ91" s="250"/>
      <c r="BK91" s="264"/>
      <c r="BL91" s="263"/>
      <c r="BM91" s="263"/>
      <c r="BN91" s="263"/>
      <c r="BO91" s="263"/>
      <c r="BP91" s="263"/>
      <c r="BQ91" s="263"/>
      <c r="BR91" s="37"/>
      <c r="BS91" s="37"/>
      <c r="BT91" s="37"/>
    </row>
    <row r="92" spans="10:72" s="95" customFormat="1" ht="22.5" customHeight="1">
      <c r="J92" s="264"/>
      <c r="K92" s="250"/>
      <c r="L92" s="250"/>
      <c r="M92" s="250"/>
      <c r="N92" s="250"/>
      <c r="O92" s="250"/>
      <c r="P92" s="250"/>
      <c r="Q92" s="250"/>
      <c r="R92" s="264"/>
      <c r="S92" s="250"/>
      <c r="T92" s="250"/>
      <c r="U92" s="250"/>
      <c r="V92" s="250"/>
      <c r="W92" s="250"/>
      <c r="X92" s="250"/>
      <c r="Y92" s="250"/>
      <c r="Z92" s="264"/>
      <c r="AA92" s="250"/>
      <c r="AB92" s="250"/>
      <c r="AC92" s="250"/>
      <c r="AD92" s="250"/>
      <c r="AE92" s="250"/>
      <c r="AF92" s="250"/>
      <c r="AG92" s="250"/>
      <c r="AH92" s="250"/>
      <c r="AI92" s="250"/>
      <c r="AJ92" s="250"/>
      <c r="AK92" s="264"/>
      <c r="AL92" s="250"/>
      <c r="AM92" s="250"/>
      <c r="AN92" s="250"/>
      <c r="AO92" s="250"/>
      <c r="AP92" s="250"/>
      <c r="AQ92" s="250"/>
      <c r="AR92" s="250"/>
      <c r="AS92" s="264"/>
      <c r="AT92" s="250"/>
      <c r="AU92" s="250"/>
      <c r="AV92" s="250"/>
      <c r="AW92" s="250"/>
      <c r="AX92" s="250"/>
      <c r="AY92" s="250"/>
      <c r="AZ92" s="250"/>
      <c r="BA92" s="250"/>
      <c r="BB92" s="264"/>
      <c r="BC92" s="250"/>
      <c r="BD92" s="250"/>
      <c r="BE92" s="250"/>
      <c r="BF92" s="250"/>
      <c r="BG92" s="250"/>
      <c r="BH92" s="250"/>
      <c r="BI92" s="250"/>
      <c r="BJ92" s="250"/>
      <c r="BK92" s="264"/>
      <c r="BL92" s="263"/>
      <c r="BM92" s="263"/>
      <c r="BN92" s="263"/>
      <c r="BO92" s="263"/>
      <c r="BP92" s="263"/>
      <c r="BQ92" s="263"/>
      <c r="BR92" s="203"/>
      <c r="BS92" s="203"/>
      <c r="BT92" s="203"/>
    </row>
    <row r="93" spans="10:72" s="95" customFormat="1" ht="22.5" customHeight="1">
      <c r="J93" s="264"/>
      <c r="K93" s="250"/>
      <c r="L93" s="250"/>
      <c r="M93" s="250"/>
      <c r="N93" s="250"/>
      <c r="O93" s="250"/>
      <c r="P93" s="250"/>
      <c r="Q93" s="250"/>
      <c r="R93" s="264"/>
      <c r="S93" s="250"/>
      <c r="T93" s="250"/>
      <c r="U93" s="250"/>
      <c r="V93" s="250"/>
      <c r="W93" s="250"/>
      <c r="X93" s="250"/>
      <c r="Y93" s="250"/>
      <c r="Z93" s="264"/>
      <c r="AA93" s="250"/>
      <c r="AB93" s="250"/>
      <c r="AC93" s="250"/>
      <c r="AD93" s="250"/>
      <c r="AE93" s="250"/>
      <c r="AF93" s="250"/>
      <c r="AG93" s="250"/>
      <c r="AH93" s="250"/>
      <c r="AI93" s="250"/>
      <c r="AJ93" s="250"/>
      <c r="AK93" s="264"/>
      <c r="AL93" s="250"/>
      <c r="AM93" s="250"/>
      <c r="AN93" s="250"/>
      <c r="AO93" s="250"/>
      <c r="AP93" s="250"/>
      <c r="AQ93" s="250"/>
      <c r="AR93" s="250"/>
      <c r="AS93" s="264"/>
      <c r="AT93" s="250"/>
      <c r="AU93" s="250"/>
      <c r="AV93" s="250"/>
      <c r="AW93" s="250"/>
      <c r="AX93" s="250"/>
      <c r="AY93" s="250"/>
      <c r="AZ93" s="250"/>
      <c r="BA93" s="250"/>
      <c r="BB93" s="264"/>
      <c r="BC93" s="250"/>
      <c r="BD93" s="250"/>
      <c r="BE93" s="250"/>
      <c r="BF93" s="250"/>
      <c r="BG93" s="250"/>
      <c r="BH93" s="250"/>
      <c r="BI93" s="250"/>
      <c r="BJ93" s="250"/>
      <c r="BK93" s="264"/>
      <c r="BL93" s="263"/>
      <c r="BM93" s="263"/>
      <c r="BN93" s="263"/>
      <c r="BO93" s="263"/>
      <c r="BP93" s="263"/>
      <c r="BQ93" s="263"/>
      <c r="BR93" s="203"/>
      <c r="BS93" s="203"/>
      <c r="BT93" s="203"/>
    </row>
    <row r="94" spans="10:72" s="95" customFormat="1" ht="22.5" customHeight="1">
      <c r="J94" s="264"/>
      <c r="K94" s="250"/>
      <c r="L94" s="250"/>
      <c r="M94" s="250"/>
      <c r="N94" s="250"/>
      <c r="O94" s="250"/>
      <c r="P94" s="250"/>
      <c r="Q94" s="250"/>
      <c r="R94" s="264"/>
      <c r="S94" s="250"/>
      <c r="T94" s="250"/>
      <c r="U94" s="250"/>
      <c r="V94" s="250"/>
      <c r="W94" s="250"/>
      <c r="X94" s="250"/>
      <c r="Y94" s="250"/>
      <c r="Z94" s="264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64"/>
      <c r="AL94" s="250"/>
      <c r="AM94" s="250"/>
      <c r="AN94" s="250"/>
      <c r="AO94" s="250"/>
      <c r="AP94" s="250"/>
      <c r="AQ94" s="250"/>
      <c r="AR94" s="250"/>
      <c r="AS94" s="264"/>
      <c r="AT94" s="250"/>
      <c r="AU94" s="250"/>
      <c r="AV94" s="250"/>
      <c r="AW94" s="250"/>
      <c r="AX94" s="250"/>
      <c r="AY94" s="250"/>
      <c r="AZ94" s="250"/>
      <c r="BA94" s="250"/>
      <c r="BB94" s="264"/>
      <c r="BC94" s="250"/>
      <c r="BD94" s="250"/>
      <c r="BE94" s="250"/>
      <c r="BF94" s="250"/>
      <c r="BG94" s="250"/>
      <c r="BH94" s="250"/>
      <c r="BI94" s="250"/>
      <c r="BJ94" s="250"/>
      <c r="BK94" s="264"/>
      <c r="BL94" s="263"/>
      <c r="BM94" s="263"/>
      <c r="BN94" s="263"/>
      <c r="BO94" s="263"/>
      <c r="BP94" s="263"/>
      <c r="BQ94" s="263"/>
      <c r="BR94" s="203"/>
      <c r="BS94" s="203"/>
      <c r="BT94" s="203"/>
    </row>
    <row r="95" spans="10:72" s="95" customFormat="1" ht="22.5" customHeight="1">
      <c r="J95" s="264"/>
      <c r="K95" s="250"/>
      <c r="L95" s="250"/>
      <c r="M95" s="250"/>
      <c r="N95" s="250"/>
      <c r="O95" s="250"/>
      <c r="P95" s="250"/>
      <c r="Q95" s="250"/>
      <c r="R95" s="264"/>
      <c r="S95" s="250"/>
      <c r="T95" s="250"/>
      <c r="U95" s="250"/>
      <c r="V95" s="250"/>
      <c r="W95" s="250"/>
      <c r="X95" s="250"/>
      <c r="Y95" s="250"/>
      <c r="Z95" s="264"/>
      <c r="AA95" s="250"/>
      <c r="AB95" s="250"/>
      <c r="AC95" s="250"/>
      <c r="AD95" s="250"/>
      <c r="AE95" s="250"/>
      <c r="AF95" s="250"/>
      <c r="AG95" s="250"/>
      <c r="AH95" s="250"/>
      <c r="AI95" s="250"/>
      <c r="AJ95" s="250"/>
      <c r="AK95" s="264"/>
      <c r="AL95" s="250"/>
      <c r="AM95" s="250"/>
      <c r="AN95" s="250"/>
      <c r="AO95" s="250"/>
      <c r="AP95" s="250"/>
      <c r="AQ95" s="250"/>
      <c r="AR95" s="250"/>
      <c r="AS95" s="264"/>
      <c r="AT95" s="250"/>
      <c r="AU95" s="250"/>
      <c r="AV95" s="250"/>
      <c r="AW95" s="250"/>
      <c r="AX95" s="250"/>
      <c r="AY95" s="250"/>
      <c r="AZ95" s="250"/>
      <c r="BA95" s="250"/>
      <c r="BB95" s="264"/>
      <c r="BC95" s="250"/>
      <c r="BD95" s="250"/>
      <c r="BE95" s="250"/>
      <c r="BF95" s="250"/>
      <c r="BG95" s="250"/>
      <c r="BH95" s="250"/>
      <c r="BI95" s="250"/>
      <c r="BJ95" s="250"/>
      <c r="BK95" s="264"/>
      <c r="BL95" s="263"/>
      <c r="BM95" s="263"/>
      <c r="BN95" s="263"/>
      <c r="BO95" s="263"/>
      <c r="BP95" s="263"/>
      <c r="BQ95" s="263"/>
      <c r="BR95" s="203"/>
      <c r="BS95" s="203"/>
      <c r="BT95" s="203"/>
    </row>
    <row r="96" spans="10:72" s="95" customFormat="1" ht="22.5" customHeight="1">
      <c r="J96" s="264"/>
      <c r="K96" s="250"/>
      <c r="L96" s="250"/>
      <c r="M96" s="250"/>
      <c r="N96" s="250"/>
      <c r="O96" s="250"/>
      <c r="P96" s="250"/>
      <c r="Q96" s="250"/>
      <c r="R96" s="264"/>
      <c r="S96" s="250"/>
      <c r="T96" s="250"/>
      <c r="U96" s="250"/>
      <c r="V96" s="250"/>
      <c r="W96" s="250"/>
      <c r="X96" s="250"/>
      <c r="Y96" s="250"/>
      <c r="Z96" s="264"/>
      <c r="AA96" s="250"/>
      <c r="AB96" s="250"/>
      <c r="AC96" s="250"/>
      <c r="AD96" s="250"/>
      <c r="AE96" s="250"/>
      <c r="AF96" s="250"/>
      <c r="AG96" s="250"/>
      <c r="AH96" s="250"/>
      <c r="AI96" s="250"/>
      <c r="AJ96" s="250"/>
      <c r="AK96" s="264"/>
      <c r="AL96" s="250"/>
      <c r="AM96" s="250"/>
      <c r="AN96" s="250"/>
      <c r="AO96" s="250"/>
      <c r="AP96" s="250"/>
      <c r="AQ96" s="250"/>
      <c r="AR96" s="250"/>
      <c r="AS96" s="264"/>
      <c r="AT96" s="250"/>
      <c r="AU96" s="250"/>
      <c r="AV96" s="250"/>
      <c r="AW96" s="250"/>
      <c r="AX96" s="250"/>
      <c r="AY96" s="250"/>
      <c r="AZ96" s="250"/>
      <c r="BA96" s="250"/>
      <c r="BB96" s="264"/>
      <c r="BC96" s="250"/>
      <c r="BD96" s="250"/>
      <c r="BE96" s="250"/>
      <c r="BF96" s="250"/>
      <c r="BG96" s="250"/>
      <c r="BH96" s="250"/>
      <c r="BI96" s="250"/>
      <c r="BJ96" s="250"/>
      <c r="BK96" s="264"/>
      <c r="BL96" s="265"/>
      <c r="BM96" s="265"/>
      <c r="BN96" s="265"/>
      <c r="BO96" s="265"/>
      <c r="BP96" s="265"/>
      <c r="BQ96" s="265"/>
      <c r="BR96" s="204"/>
      <c r="BS96" s="204"/>
      <c r="BT96" s="204"/>
    </row>
    <row r="97" spans="2:72" s="95" customFormat="1" ht="22.5" customHeight="1">
      <c r="J97" s="264"/>
      <c r="K97" s="250"/>
      <c r="L97" s="250"/>
      <c r="M97" s="250"/>
      <c r="N97" s="250"/>
      <c r="O97" s="250"/>
      <c r="P97" s="250"/>
      <c r="Q97" s="250"/>
      <c r="R97" s="264"/>
      <c r="S97" s="250"/>
      <c r="T97" s="250"/>
      <c r="U97" s="250"/>
      <c r="V97" s="250"/>
      <c r="W97" s="250"/>
      <c r="X97" s="250"/>
      <c r="Y97" s="250"/>
      <c r="Z97" s="264"/>
      <c r="AA97" s="250"/>
      <c r="AB97" s="250"/>
      <c r="AC97" s="250"/>
      <c r="AD97" s="250"/>
      <c r="AE97" s="250"/>
      <c r="AF97" s="250"/>
      <c r="AG97" s="250"/>
      <c r="AH97" s="250"/>
      <c r="AI97" s="250"/>
      <c r="AJ97" s="250"/>
      <c r="AK97" s="264"/>
      <c r="AL97" s="250"/>
      <c r="AM97" s="250"/>
      <c r="AN97" s="250"/>
      <c r="AO97" s="250"/>
      <c r="AP97" s="250"/>
      <c r="AQ97" s="250"/>
      <c r="AR97" s="250"/>
      <c r="AS97" s="264"/>
      <c r="AT97" s="250"/>
      <c r="AU97" s="250"/>
      <c r="AV97" s="250"/>
      <c r="AW97" s="250"/>
      <c r="AX97" s="250"/>
      <c r="AY97" s="250"/>
      <c r="AZ97" s="250"/>
      <c r="BA97" s="250"/>
      <c r="BB97" s="264"/>
      <c r="BC97" s="250"/>
      <c r="BD97" s="250"/>
      <c r="BE97" s="250"/>
      <c r="BF97" s="250"/>
      <c r="BG97" s="250"/>
      <c r="BH97" s="250"/>
      <c r="BI97" s="250"/>
      <c r="BJ97" s="250"/>
      <c r="BK97" s="264"/>
      <c r="BL97" s="265"/>
      <c r="BM97" s="265"/>
      <c r="BN97" s="265"/>
      <c r="BO97" s="265"/>
      <c r="BP97" s="265"/>
      <c r="BQ97" s="265"/>
      <c r="BR97" s="203"/>
      <c r="BS97" s="203"/>
      <c r="BT97" s="203"/>
    </row>
    <row r="98" spans="2:72" s="95" customFormat="1" ht="22.5" customHeight="1">
      <c r="J98" s="264"/>
      <c r="K98" s="250"/>
      <c r="L98" s="250"/>
      <c r="M98" s="250"/>
      <c r="N98" s="250"/>
      <c r="O98" s="250"/>
      <c r="P98" s="250"/>
      <c r="Q98" s="250"/>
      <c r="R98" s="264"/>
      <c r="S98" s="250"/>
      <c r="T98" s="250"/>
      <c r="U98" s="250"/>
      <c r="V98" s="250"/>
      <c r="W98" s="250"/>
      <c r="X98" s="250"/>
      <c r="Y98" s="250"/>
      <c r="Z98" s="264"/>
      <c r="AA98" s="250"/>
      <c r="AB98" s="250"/>
      <c r="AC98" s="250"/>
      <c r="AD98" s="250"/>
      <c r="AE98" s="250"/>
      <c r="AF98" s="250"/>
      <c r="AG98" s="250"/>
      <c r="AH98" s="250"/>
      <c r="AI98" s="250"/>
      <c r="AJ98" s="250"/>
      <c r="AK98" s="264"/>
      <c r="AL98" s="250"/>
      <c r="AM98" s="250"/>
      <c r="AN98" s="250"/>
      <c r="AO98" s="250"/>
      <c r="AP98" s="250"/>
      <c r="AQ98" s="250"/>
      <c r="AR98" s="250"/>
      <c r="AS98" s="264"/>
      <c r="AT98" s="250"/>
      <c r="AU98" s="250"/>
      <c r="AV98" s="250"/>
      <c r="AW98" s="250"/>
      <c r="AX98" s="250"/>
      <c r="AY98" s="250"/>
      <c r="AZ98" s="250"/>
      <c r="BA98" s="250"/>
      <c r="BB98" s="264"/>
      <c r="BC98" s="250"/>
      <c r="BD98" s="250"/>
      <c r="BE98" s="250"/>
      <c r="BF98" s="250"/>
      <c r="BG98" s="250"/>
      <c r="BH98" s="250"/>
      <c r="BI98" s="250"/>
      <c r="BJ98" s="250"/>
      <c r="BK98" s="264"/>
      <c r="BL98" s="265"/>
      <c r="BM98" s="265"/>
      <c r="BN98" s="265"/>
      <c r="BO98" s="265"/>
      <c r="BP98" s="265"/>
      <c r="BQ98" s="265"/>
      <c r="BR98" s="201"/>
      <c r="BS98" s="201"/>
      <c r="BT98" s="201"/>
    </row>
    <row r="99" spans="2:72" s="95" customFormat="1" ht="22.5" customHeight="1">
      <c r="J99" s="264"/>
      <c r="K99" s="250"/>
      <c r="L99" s="250"/>
      <c r="M99" s="250"/>
      <c r="N99" s="250"/>
      <c r="O99" s="250"/>
      <c r="P99" s="250"/>
      <c r="Q99" s="250"/>
      <c r="R99" s="264"/>
      <c r="S99" s="250"/>
      <c r="T99" s="250"/>
      <c r="U99" s="250"/>
      <c r="V99" s="250"/>
      <c r="W99" s="250"/>
      <c r="X99" s="250"/>
      <c r="Y99" s="250"/>
      <c r="Z99" s="264"/>
      <c r="AA99" s="250"/>
      <c r="AB99" s="250"/>
      <c r="AC99" s="250"/>
      <c r="AD99" s="250"/>
      <c r="AE99" s="250"/>
      <c r="AF99" s="250"/>
      <c r="AG99" s="250"/>
      <c r="AH99" s="250"/>
      <c r="AI99" s="250"/>
      <c r="AJ99" s="250"/>
      <c r="AK99" s="264"/>
      <c r="AL99" s="250"/>
      <c r="AM99" s="250"/>
      <c r="AN99" s="250"/>
      <c r="AO99" s="250"/>
      <c r="AP99" s="250"/>
      <c r="AQ99" s="250"/>
      <c r="AR99" s="250"/>
      <c r="AS99" s="264"/>
      <c r="AT99" s="250"/>
      <c r="AU99" s="250"/>
      <c r="AV99" s="250"/>
      <c r="AW99" s="250"/>
      <c r="AX99" s="250"/>
      <c r="AY99" s="250"/>
      <c r="AZ99" s="250"/>
      <c r="BA99" s="250"/>
      <c r="BB99" s="264"/>
      <c r="BC99" s="250"/>
      <c r="BD99" s="250"/>
      <c r="BE99" s="250"/>
      <c r="BF99" s="250"/>
      <c r="BG99" s="265"/>
      <c r="BH99" s="265"/>
      <c r="BI99" s="250"/>
      <c r="BJ99" s="250"/>
      <c r="BK99" s="264"/>
      <c r="BL99" s="265"/>
      <c r="BM99" s="265"/>
      <c r="BN99" s="265"/>
      <c r="BO99" s="265"/>
      <c r="BP99" s="265"/>
      <c r="BQ99" s="265"/>
      <c r="BR99" s="201"/>
      <c r="BS99" s="201"/>
      <c r="BT99" s="201"/>
    </row>
    <row r="100" spans="2:72" s="95" customFormat="1" ht="22.5" customHeight="1">
      <c r="J100" s="264"/>
      <c r="K100" s="250"/>
      <c r="L100" s="250"/>
      <c r="M100" s="250"/>
      <c r="N100" s="250"/>
      <c r="O100" s="250"/>
      <c r="P100" s="250"/>
      <c r="Q100" s="250"/>
      <c r="R100" s="264"/>
      <c r="S100" s="250"/>
      <c r="T100" s="250"/>
      <c r="U100" s="250"/>
      <c r="V100" s="250"/>
      <c r="W100" s="250"/>
      <c r="X100" s="250"/>
      <c r="Y100" s="250"/>
      <c r="Z100" s="264"/>
      <c r="AA100" s="250"/>
      <c r="AB100" s="250"/>
      <c r="AC100" s="250"/>
      <c r="AD100" s="250"/>
      <c r="AE100" s="250"/>
      <c r="AF100" s="250"/>
      <c r="AG100" s="250"/>
      <c r="AH100" s="250"/>
      <c r="AI100" s="250"/>
      <c r="AJ100" s="250"/>
      <c r="AK100" s="264"/>
      <c r="AL100" s="250"/>
      <c r="AM100" s="250"/>
      <c r="AN100" s="250"/>
      <c r="AO100" s="250"/>
      <c r="AP100" s="250"/>
      <c r="AQ100" s="250"/>
      <c r="AR100" s="250"/>
      <c r="AS100" s="264"/>
      <c r="AT100" s="250"/>
      <c r="AU100" s="250"/>
      <c r="AV100" s="250"/>
      <c r="AW100" s="250"/>
      <c r="AX100" s="250"/>
      <c r="AY100" s="250"/>
      <c r="AZ100" s="250"/>
      <c r="BA100" s="164"/>
      <c r="BB100" s="262"/>
      <c r="BC100" s="164"/>
      <c r="BD100" s="164"/>
      <c r="BE100" s="164"/>
      <c r="BF100" s="164"/>
      <c r="BG100" s="164"/>
      <c r="BH100" s="164"/>
      <c r="BI100" s="164"/>
      <c r="BJ100" s="250"/>
      <c r="BK100" s="264"/>
      <c r="BL100" s="269"/>
      <c r="BM100" s="269"/>
      <c r="BN100" s="269"/>
      <c r="BO100" s="269"/>
      <c r="BP100" s="269"/>
      <c r="BQ100" s="269"/>
      <c r="BR100" s="201"/>
      <c r="BS100" s="201"/>
      <c r="BT100" s="201"/>
    </row>
    <row r="101" spans="2:72" s="95" customFormat="1" ht="22.5" customHeight="1">
      <c r="J101" s="264"/>
      <c r="K101" s="250"/>
      <c r="L101" s="250"/>
      <c r="M101" s="250"/>
      <c r="N101" s="250"/>
      <c r="O101" s="250"/>
      <c r="P101" s="250"/>
      <c r="Q101" s="250"/>
      <c r="R101" s="264"/>
      <c r="S101" s="250"/>
      <c r="T101" s="250"/>
      <c r="U101" s="250"/>
      <c r="V101" s="250"/>
      <c r="W101" s="250"/>
      <c r="X101" s="250"/>
      <c r="Y101" s="250"/>
      <c r="Z101" s="264"/>
      <c r="AA101" s="250"/>
      <c r="AB101" s="250"/>
      <c r="AC101" s="250"/>
      <c r="AD101" s="250"/>
      <c r="AE101" s="250"/>
      <c r="AF101" s="250"/>
      <c r="AG101" s="250"/>
      <c r="AH101" s="250"/>
      <c r="AI101" s="250"/>
      <c r="AJ101" s="250"/>
      <c r="AK101" s="264"/>
      <c r="AL101" s="250"/>
      <c r="AM101" s="250"/>
      <c r="AN101" s="250"/>
      <c r="AO101" s="250"/>
      <c r="AP101" s="250"/>
      <c r="AQ101" s="250"/>
      <c r="AR101" s="250"/>
      <c r="AS101" s="264"/>
      <c r="AT101" s="250"/>
      <c r="AU101" s="250"/>
      <c r="AV101" s="250"/>
      <c r="AW101" s="250"/>
      <c r="AX101" s="250"/>
      <c r="AY101" s="250"/>
      <c r="AZ101" s="250"/>
      <c r="BA101" s="266"/>
      <c r="BB101" s="264"/>
      <c r="BC101" s="266"/>
      <c r="BD101" s="266"/>
      <c r="BE101" s="266"/>
      <c r="BF101" s="266"/>
      <c r="BG101" s="266"/>
      <c r="BH101" s="266"/>
      <c r="BI101" s="266"/>
      <c r="BJ101" s="250"/>
      <c r="BK101" s="264"/>
      <c r="BL101" s="265"/>
      <c r="BM101" s="265"/>
      <c r="BN101" s="265"/>
      <c r="BO101" s="265"/>
      <c r="BP101" s="265"/>
      <c r="BQ101" s="265"/>
      <c r="BR101" s="201"/>
      <c r="BS101" s="201"/>
      <c r="BT101" s="201"/>
    </row>
    <row r="102" spans="2:72" s="95" customFormat="1" ht="22.5" customHeight="1">
      <c r="J102" s="264"/>
      <c r="K102" s="250"/>
      <c r="L102" s="250"/>
      <c r="M102" s="250"/>
      <c r="N102" s="250"/>
      <c r="O102" s="250"/>
      <c r="P102" s="250"/>
      <c r="Q102" s="250"/>
      <c r="R102" s="264"/>
      <c r="S102" s="250"/>
      <c r="T102" s="250"/>
      <c r="U102" s="250"/>
      <c r="V102" s="250"/>
      <c r="W102" s="250"/>
      <c r="X102" s="250"/>
      <c r="Y102" s="250"/>
      <c r="Z102" s="264"/>
      <c r="AA102" s="250"/>
      <c r="AB102" s="250"/>
      <c r="AC102" s="250"/>
      <c r="AD102" s="250"/>
      <c r="AE102" s="250"/>
      <c r="AF102" s="250"/>
      <c r="AG102" s="250"/>
      <c r="AH102" s="250"/>
      <c r="AI102" s="250"/>
      <c r="AJ102" s="250"/>
      <c r="AK102" s="264"/>
      <c r="AL102" s="250"/>
      <c r="AM102" s="250"/>
      <c r="AN102" s="250"/>
      <c r="AO102" s="250"/>
      <c r="AP102" s="250"/>
      <c r="AQ102" s="250"/>
      <c r="AR102" s="250"/>
      <c r="AS102" s="264"/>
      <c r="AT102" s="164"/>
      <c r="AU102" s="164"/>
      <c r="AV102" s="164"/>
      <c r="AW102" s="164"/>
      <c r="AX102" s="164"/>
      <c r="AY102" s="164"/>
      <c r="AZ102" s="164"/>
      <c r="BA102" s="266"/>
      <c r="BB102" s="267"/>
      <c r="BC102" s="266"/>
      <c r="BD102" s="266"/>
      <c r="BE102" s="266"/>
      <c r="BF102" s="266"/>
      <c r="BG102" s="266"/>
      <c r="BH102" s="266"/>
      <c r="BI102" s="266"/>
      <c r="BJ102" s="250"/>
      <c r="BK102" s="264"/>
      <c r="BL102" s="266"/>
      <c r="BM102" s="266"/>
      <c r="BN102" s="266"/>
      <c r="BO102" s="266"/>
      <c r="BP102" s="266"/>
      <c r="BQ102" s="266"/>
      <c r="BR102" s="201"/>
      <c r="BS102" s="201"/>
      <c r="BT102" s="201"/>
    </row>
    <row r="103" spans="2:72" s="95" customFormat="1" ht="22.5" customHeight="1">
      <c r="J103" s="264"/>
      <c r="K103" s="250"/>
      <c r="L103" s="250"/>
      <c r="M103" s="250"/>
      <c r="N103" s="250"/>
      <c r="O103" s="250"/>
      <c r="P103" s="250"/>
      <c r="Q103" s="250"/>
      <c r="R103" s="264"/>
      <c r="S103" s="250"/>
      <c r="T103" s="250"/>
      <c r="U103" s="250"/>
      <c r="V103" s="250"/>
      <c r="W103" s="250"/>
      <c r="X103" s="250"/>
      <c r="Y103" s="250"/>
      <c r="Z103" s="264"/>
      <c r="AA103" s="250"/>
      <c r="AB103" s="250"/>
      <c r="AC103" s="250"/>
      <c r="AD103" s="250"/>
      <c r="AE103" s="250"/>
      <c r="AF103" s="250"/>
      <c r="AG103" s="250"/>
      <c r="AH103" s="250"/>
      <c r="AI103" s="250"/>
      <c r="AJ103" s="250"/>
      <c r="AK103" s="264"/>
      <c r="AL103" s="250"/>
      <c r="AM103" s="250"/>
      <c r="AN103" s="250"/>
      <c r="AO103" s="250"/>
      <c r="AP103" s="250"/>
      <c r="AQ103" s="250"/>
      <c r="AR103" s="250"/>
      <c r="AS103" s="264"/>
      <c r="AT103" s="266"/>
      <c r="AU103" s="266"/>
      <c r="AV103" s="266"/>
      <c r="AW103" s="266"/>
      <c r="AX103" s="266"/>
      <c r="AY103" s="266"/>
      <c r="AZ103" s="266"/>
      <c r="BA103" s="263"/>
      <c r="BB103" s="267"/>
      <c r="BC103" s="263"/>
      <c r="BD103" s="263"/>
      <c r="BE103" s="263"/>
      <c r="BF103" s="263"/>
      <c r="BG103" s="263"/>
      <c r="BH103" s="263"/>
      <c r="BI103" s="263"/>
      <c r="BJ103" s="164"/>
      <c r="BK103" s="264"/>
      <c r="BL103" s="266"/>
      <c r="BM103" s="266"/>
      <c r="BN103" s="266"/>
      <c r="BO103" s="266"/>
      <c r="BP103" s="266"/>
      <c r="BQ103" s="266"/>
      <c r="BR103" s="201"/>
      <c r="BS103" s="201"/>
      <c r="BT103" s="201"/>
    </row>
    <row r="104" spans="2:72" s="95" customFormat="1" ht="22.5" customHeight="1">
      <c r="J104" s="264"/>
      <c r="K104" s="250"/>
      <c r="L104" s="250"/>
      <c r="M104" s="250"/>
      <c r="N104" s="250"/>
      <c r="O104" s="250"/>
      <c r="P104" s="250"/>
      <c r="Q104" s="250"/>
      <c r="R104" s="264"/>
      <c r="S104" s="250"/>
      <c r="T104" s="250"/>
      <c r="U104" s="250"/>
      <c r="V104" s="250"/>
      <c r="W104" s="250"/>
      <c r="X104" s="250"/>
      <c r="Y104" s="250"/>
      <c r="Z104" s="264"/>
      <c r="AA104" s="250"/>
      <c r="AB104" s="250"/>
      <c r="AC104" s="250"/>
      <c r="AD104" s="250"/>
      <c r="AE104" s="250"/>
      <c r="AF104" s="250"/>
      <c r="AG104" s="250"/>
      <c r="AH104" s="250"/>
      <c r="AI104" s="250"/>
      <c r="AJ104" s="250"/>
      <c r="AK104" s="264"/>
      <c r="AL104" s="250"/>
      <c r="AM104" s="250"/>
      <c r="AN104" s="250"/>
      <c r="AO104" s="250"/>
      <c r="AP104" s="250"/>
      <c r="AQ104" s="250"/>
      <c r="AR104" s="250"/>
      <c r="AS104" s="264"/>
      <c r="AT104" s="266"/>
      <c r="AU104" s="266"/>
      <c r="AV104" s="266"/>
      <c r="AW104" s="266"/>
      <c r="AX104" s="266"/>
      <c r="AY104" s="266"/>
      <c r="AZ104" s="266"/>
      <c r="BA104" s="263"/>
      <c r="BB104" s="268"/>
      <c r="BC104" s="263"/>
      <c r="BD104" s="263"/>
      <c r="BE104" s="263"/>
      <c r="BF104" s="263"/>
      <c r="BG104" s="263"/>
      <c r="BH104" s="263"/>
      <c r="BI104" s="263"/>
      <c r="BJ104" s="266"/>
      <c r="BK104" s="264"/>
      <c r="BL104" s="266"/>
      <c r="BM104" s="266"/>
      <c r="BN104" s="266"/>
      <c r="BO104" s="266"/>
      <c r="BP104" s="266"/>
      <c r="BQ104" s="266"/>
      <c r="BR104" s="201"/>
      <c r="BS104" s="201"/>
      <c r="BT104" s="201"/>
    </row>
    <row r="105" spans="2:72" s="95" customFormat="1" ht="22.5" customHeight="1">
      <c r="J105" s="264"/>
      <c r="K105" s="250"/>
      <c r="L105" s="250"/>
      <c r="M105" s="250"/>
      <c r="N105" s="250"/>
      <c r="O105" s="250"/>
      <c r="P105" s="250"/>
      <c r="Q105" s="250"/>
      <c r="R105" s="264"/>
      <c r="S105" s="250"/>
      <c r="T105" s="250"/>
      <c r="U105" s="250"/>
      <c r="V105" s="250"/>
      <c r="W105" s="250"/>
      <c r="X105" s="250"/>
      <c r="Y105" s="250"/>
      <c r="Z105" s="264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  <c r="AK105" s="264"/>
      <c r="AL105" s="250"/>
      <c r="AM105" s="250"/>
      <c r="AN105" s="250"/>
      <c r="AO105" s="250"/>
      <c r="AP105" s="250"/>
      <c r="AQ105" s="250"/>
      <c r="AR105" s="250"/>
      <c r="AS105" s="264"/>
      <c r="AT105" s="263"/>
      <c r="AU105" s="263"/>
      <c r="AV105" s="263"/>
      <c r="AW105" s="263"/>
      <c r="AX105" s="263"/>
      <c r="AY105" s="263"/>
      <c r="AZ105" s="263"/>
      <c r="BA105" s="263"/>
      <c r="BB105" s="268"/>
      <c r="BC105" s="263"/>
      <c r="BD105" s="263"/>
      <c r="BE105" s="263"/>
      <c r="BF105" s="263"/>
      <c r="BG105" s="263"/>
      <c r="BH105" s="263"/>
      <c r="BI105" s="263"/>
      <c r="BJ105" s="266"/>
      <c r="BK105" s="267"/>
      <c r="BL105" s="266"/>
      <c r="BM105" s="266"/>
      <c r="BN105" s="266"/>
      <c r="BO105" s="266"/>
      <c r="BP105" s="266"/>
      <c r="BQ105" s="266"/>
      <c r="BR105" s="201"/>
      <c r="BS105" s="201"/>
      <c r="BT105" s="201"/>
    </row>
    <row r="106" spans="2:72" s="95" customFormat="1" ht="22.5" customHeight="1">
      <c r="J106" s="264"/>
      <c r="K106" s="250"/>
      <c r="L106" s="250"/>
      <c r="M106" s="250"/>
      <c r="N106" s="250"/>
      <c r="O106" s="250"/>
      <c r="P106" s="250"/>
      <c r="Q106" s="250"/>
      <c r="R106" s="264"/>
      <c r="S106" s="250"/>
      <c r="T106" s="250"/>
      <c r="U106" s="250"/>
      <c r="V106" s="250"/>
      <c r="W106" s="250"/>
      <c r="X106" s="250"/>
      <c r="Y106" s="250"/>
      <c r="Z106" s="264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  <c r="AK106" s="264"/>
      <c r="AL106" s="250"/>
      <c r="AM106" s="250"/>
      <c r="AN106" s="250"/>
      <c r="AO106" s="250"/>
      <c r="AP106" s="250"/>
      <c r="AQ106" s="250"/>
      <c r="AR106" s="250"/>
      <c r="AS106" s="264"/>
      <c r="AT106" s="263"/>
      <c r="AU106" s="263"/>
      <c r="AV106" s="263"/>
      <c r="AW106" s="263"/>
      <c r="AX106" s="263"/>
      <c r="AY106" s="263"/>
      <c r="AZ106" s="263"/>
      <c r="BA106" s="263"/>
      <c r="BB106" s="268"/>
      <c r="BC106" s="263"/>
      <c r="BD106" s="263"/>
      <c r="BE106" s="263"/>
      <c r="BF106" s="263"/>
      <c r="BG106" s="263"/>
      <c r="BH106" s="263"/>
      <c r="BI106" s="263"/>
      <c r="BJ106" s="263"/>
      <c r="BK106" s="267"/>
      <c r="BL106" s="266"/>
      <c r="BM106" s="266"/>
      <c r="BN106" s="266"/>
      <c r="BO106" s="266"/>
      <c r="BP106" s="266"/>
      <c r="BQ106" s="266"/>
      <c r="BR106" s="201"/>
      <c r="BS106" s="201"/>
      <c r="BT106" s="201"/>
    </row>
    <row r="107" spans="2:72" s="95" customFormat="1" ht="22.5" customHeight="1">
      <c r="J107" s="264"/>
      <c r="K107" s="250"/>
      <c r="L107" s="250"/>
      <c r="M107" s="250"/>
      <c r="N107" s="250"/>
      <c r="O107" s="250"/>
      <c r="P107" s="250"/>
      <c r="Q107" s="250"/>
      <c r="R107" s="264"/>
      <c r="S107" s="250"/>
      <c r="T107" s="250"/>
      <c r="U107" s="250"/>
      <c r="V107" s="250"/>
      <c r="W107" s="250"/>
      <c r="X107" s="250"/>
      <c r="Y107" s="250"/>
      <c r="Z107" s="264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  <c r="AK107" s="264"/>
      <c r="AL107" s="250"/>
      <c r="AM107" s="250"/>
      <c r="AN107" s="250"/>
      <c r="AO107" s="250"/>
      <c r="AP107" s="250"/>
      <c r="AQ107" s="250"/>
      <c r="AR107" s="250"/>
      <c r="AS107" s="264"/>
      <c r="AT107" s="263"/>
      <c r="AU107" s="263"/>
      <c r="AV107" s="263"/>
      <c r="AW107" s="263"/>
      <c r="AX107" s="263"/>
      <c r="AY107" s="263"/>
      <c r="AZ107" s="263"/>
      <c r="BA107" s="263"/>
      <c r="BB107" s="268"/>
      <c r="BC107" s="263"/>
      <c r="BD107" s="263"/>
      <c r="BE107" s="263"/>
      <c r="BF107" s="263"/>
      <c r="BG107" s="263"/>
      <c r="BH107" s="263"/>
      <c r="BI107" s="263"/>
      <c r="BJ107" s="263"/>
      <c r="BK107" s="268"/>
      <c r="BL107" s="266"/>
      <c r="BM107" s="266"/>
      <c r="BN107" s="266"/>
      <c r="BO107" s="266"/>
      <c r="BP107" s="266"/>
      <c r="BQ107" s="266"/>
      <c r="BR107" s="37"/>
      <c r="BS107" s="37"/>
      <c r="BT107" s="37"/>
    </row>
    <row r="108" spans="2:72" s="95" customFormat="1" ht="22.5" customHeight="1">
      <c r="E108" s="8"/>
      <c r="F108" s="8"/>
      <c r="G108" s="8"/>
      <c r="H108" s="37"/>
      <c r="I108" s="8"/>
      <c r="J108" s="264"/>
      <c r="K108" s="250"/>
      <c r="L108" s="250"/>
      <c r="M108" s="250"/>
      <c r="N108" s="250"/>
      <c r="O108" s="250"/>
      <c r="P108" s="250"/>
      <c r="Q108" s="250"/>
      <c r="R108" s="264"/>
      <c r="S108" s="250"/>
      <c r="T108" s="250"/>
      <c r="U108" s="250"/>
      <c r="V108" s="250"/>
      <c r="W108" s="250"/>
      <c r="X108" s="250"/>
      <c r="Y108" s="250"/>
      <c r="Z108" s="264"/>
      <c r="AA108" s="250"/>
      <c r="AB108" s="250"/>
      <c r="AC108" s="250"/>
      <c r="AD108" s="250"/>
      <c r="AE108" s="250"/>
      <c r="AF108" s="250"/>
      <c r="AG108" s="250"/>
      <c r="AH108" s="250"/>
      <c r="AI108" s="250"/>
      <c r="AJ108" s="250"/>
      <c r="AK108" s="264"/>
      <c r="AL108" s="250"/>
      <c r="AM108" s="250"/>
      <c r="AN108" s="250"/>
      <c r="AO108" s="250"/>
      <c r="AP108" s="250"/>
      <c r="AQ108" s="250"/>
      <c r="AR108" s="250"/>
      <c r="AS108" s="264"/>
      <c r="AT108" s="263"/>
      <c r="AU108" s="263"/>
      <c r="AV108" s="263"/>
      <c r="AW108" s="263"/>
      <c r="AX108" s="263"/>
      <c r="AY108" s="263"/>
      <c r="AZ108" s="263"/>
      <c r="BA108" s="263"/>
      <c r="BB108" s="268"/>
      <c r="BC108" s="263"/>
      <c r="BD108" s="263"/>
      <c r="BE108" s="263"/>
      <c r="BF108" s="263"/>
      <c r="BG108" s="263"/>
      <c r="BH108" s="263"/>
      <c r="BI108" s="263"/>
      <c r="BJ108" s="263"/>
      <c r="BK108" s="268"/>
      <c r="BL108" s="266"/>
      <c r="BM108" s="266"/>
      <c r="BN108" s="266"/>
      <c r="BO108" s="266"/>
      <c r="BP108" s="266"/>
      <c r="BQ108" s="266"/>
      <c r="BR108" s="37"/>
      <c r="BS108" s="37"/>
      <c r="BT108" s="37"/>
    </row>
    <row r="109" spans="2:72" s="95" customFormat="1" ht="22.5" customHeight="1">
      <c r="B109" s="203"/>
      <c r="H109" s="203"/>
      <c r="J109" s="264"/>
      <c r="K109" s="250"/>
      <c r="L109" s="250"/>
      <c r="M109" s="250"/>
      <c r="N109" s="250"/>
      <c r="O109" s="250"/>
      <c r="P109" s="250"/>
      <c r="Q109" s="250"/>
      <c r="R109" s="264"/>
      <c r="S109" s="250"/>
      <c r="T109" s="250"/>
      <c r="U109" s="250"/>
      <c r="V109" s="250"/>
      <c r="W109" s="250"/>
      <c r="X109" s="250"/>
      <c r="Y109" s="250"/>
      <c r="Z109" s="264"/>
      <c r="AA109" s="250"/>
      <c r="AB109" s="250"/>
      <c r="AC109" s="250"/>
      <c r="AD109" s="250"/>
      <c r="AE109" s="250"/>
      <c r="AF109" s="250"/>
      <c r="AG109" s="250"/>
      <c r="AH109" s="250"/>
      <c r="AI109" s="250"/>
      <c r="AJ109" s="250"/>
      <c r="AK109" s="262"/>
      <c r="AL109" s="250"/>
      <c r="AM109" s="250"/>
      <c r="AN109" s="250"/>
      <c r="AO109" s="250"/>
      <c r="AP109" s="265"/>
      <c r="AQ109" s="250"/>
      <c r="AR109" s="250"/>
      <c r="AS109" s="264"/>
      <c r="AT109" s="263"/>
      <c r="AU109" s="263"/>
      <c r="AV109" s="263"/>
      <c r="AW109" s="263"/>
      <c r="AX109" s="263"/>
      <c r="AY109" s="263"/>
      <c r="AZ109" s="263"/>
      <c r="BA109" s="265"/>
      <c r="BB109" s="268"/>
      <c r="BC109" s="265"/>
      <c r="BD109" s="265"/>
      <c r="BE109" s="265"/>
      <c r="BF109" s="265"/>
      <c r="BG109" s="265"/>
      <c r="BH109" s="265"/>
      <c r="BI109" s="265"/>
      <c r="BJ109" s="263"/>
      <c r="BK109" s="268"/>
      <c r="BL109" s="266"/>
      <c r="BM109" s="266"/>
      <c r="BN109" s="266"/>
      <c r="BO109" s="266"/>
      <c r="BP109" s="266"/>
      <c r="BQ109" s="266"/>
      <c r="BR109" s="37"/>
      <c r="BS109" s="37"/>
      <c r="BT109" s="37"/>
    </row>
    <row r="110" spans="2:72" ht="22.5" customHeight="1">
      <c r="AT110" s="263"/>
      <c r="AU110" s="263"/>
      <c r="AV110" s="263"/>
      <c r="AW110" s="263"/>
      <c r="AX110" s="263"/>
      <c r="AY110" s="263"/>
      <c r="AZ110" s="263"/>
      <c r="BA110" s="265"/>
      <c r="BB110" s="268"/>
      <c r="BC110" s="265"/>
      <c r="BD110" s="265"/>
      <c r="BE110" s="265"/>
      <c r="BF110" s="265"/>
      <c r="BG110" s="265"/>
      <c r="BH110" s="265"/>
      <c r="BI110" s="265"/>
      <c r="BJ110" s="263"/>
      <c r="BK110" s="268"/>
      <c r="BL110" s="266"/>
      <c r="BM110" s="266"/>
      <c r="BN110" s="266"/>
      <c r="BO110" s="266"/>
      <c r="BP110" s="266"/>
      <c r="BQ110" s="266"/>
      <c r="BR110" s="37"/>
      <c r="BS110" s="37"/>
      <c r="BT110" s="37"/>
    </row>
    <row r="111" spans="2:72" s="201" customFormat="1" ht="22.5" customHeight="1">
      <c r="B111" s="37"/>
      <c r="H111" s="37"/>
      <c r="J111" s="267"/>
      <c r="K111" s="266"/>
      <c r="L111" s="266"/>
      <c r="M111" s="266"/>
      <c r="N111" s="266"/>
      <c r="O111" s="266"/>
      <c r="P111" s="266"/>
      <c r="Q111" s="266"/>
      <c r="R111" s="267"/>
      <c r="S111" s="266"/>
      <c r="T111" s="266"/>
      <c r="U111" s="266"/>
      <c r="V111" s="266"/>
      <c r="W111" s="266"/>
      <c r="X111" s="266"/>
      <c r="Y111" s="266"/>
      <c r="Z111" s="267"/>
      <c r="AA111" s="266"/>
      <c r="AB111" s="266"/>
      <c r="AC111" s="266"/>
      <c r="AD111" s="266"/>
      <c r="AE111" s="266"/>
      <c r="AF111" s="266"/>
      <c r="AG111" s="266"/>
      <c r="AH111" s="266"/>
      <c r="AI111" s="266"/>
      <c r="AJ111" s="266"/>
      <c r="AK111" s="267"/>
      <c r="AL111" s="266"/>
      <c r="AM111" s="266"/>
      <c r="AN111" s="266"/>
      <c r="AO111" s="266"/>
      <c r="AP111" s="266"/>
      <c r="AQ111" s="266"/>
      <c r="AR111" s="266"/>
      <c r="AS111" s="267"/>
      <c r="AT111" s="265"/>
      <c r="AU111" s="265"/>
      <c r="AV111" s="265"/>
      <c r="AW111" s="265"/>
      <c r="AX111" s="265"/>
      <c r="AY111" s="265"/>
      <c r="AZ111" s="265"/>
      <c r="BA111" s="265"/>
      <c r="BB111" s="268"/>
      <c r="BC111" s="265"/>
      <c r="BD111" s="265"/>
      <c r="BE111" s="265"/>
      <c r="BF111" s="265"/>
      <c r="BG111" s="265"/>
      <c r="BH111" s="265"/>
      <c r="BI111" s="265"/>
      <c r="BJ111" s="263"/>
      <c r="BK111" s="268"/>
      <c r="BL111" s="263"/>
      <c r="BM111" s="263"/>
      <c r="BN111" s="263"/>
      <c r="BO111" s="263"/>
      <c r="BP111" s="263"/>
      <c r="BQ111" s="263"/>
      <c r="BR111" s="37"/>
      <c r="BS111" s="37"/>
      <c r="BT111" s="37"/>
    </row>
    <row r="112" spans="2:72" s="201" customFormat="1" ht="22.5" customHeight="1">
      <c r="B112" s="37"/>
      <c r="D112" s="208"/>
      <c r="E112" s="208"/>
      <c r="F112" s="208"/>
      <c r="G112" s="208"/>
      <c r="H112" s="203"/>
      <c r="I112" s="208"/>
      <c r="J112" s="267"/>
      <c r="K112" s="266"/>
      <c r="L112" s="266"/>
      <c r="M112" s="266"/>
      <c r="N112" s="266"/>
      <c r="O112" s="266"/>
      <c r="P112" s="266"/>
      <c r="Q112" s="266"/>
      <c r="R112" s="267"/>
      <c r="S112" s="266"/>
      <c r="T112" s="266"/>
      <c r="U112" s="266"/>
      <c r="V112" s="266"/>
      <c r="W112" s="266"/>
      <c r="X112" s="266"/>
      <c r="Y112" s="266"/>
      <c r="Z112" s="267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7"/>
      <c r="AL112" s="266"/>
      <c r="AM112" s="266"/>
      <c r="AN112" s="266"/>
      <c r="AO112" s="266"/>
      <c r="AP112" s="266"/>
      <c r="AQ112" s="266"/>
      <c r="AR112" s="266"/>
      <c r="AS112" s="267"/>
      <c r="AT112" s="265"/>
      <c r="AU112" s="265"/>
      <c r="AV112" s="265"/>
      <c r="AW112" s="265"/>
      <c r="AX112" s="265"/>
      <c r="AY112" s="265"/>
      <c r="AZ112" s="265"/>
      <c r="BA112" s="265"/>
      <c r="BB112" s="268"/>
      <c r="BC112" s="265"/>
      <c r="BD112" s="265"/>
      <c r="BE112" s="265"/>
      <c r="BF112" s="265"/>
      <c r="BG112" s="265"/>
      <c r="BH112" s="265"/>
      <c r="BI112" s="265"/>
      <c r="BJ112" s="265"/>
      <c r="BK112" s="268"/>
      <c r="BL112" s="263"/>
      <c r="BM112" s="263"/>
      <c r="BN112" s="263"/>
      <c r="BO112" s="263"/>
      <c r="BP112" s="263"/>
      <c r="BQ112" s="263"/>
      <c r="BR112" s="37"/>
      <c r="BS112" s="37"/>
      <c r="BT112" s="37"/>
    </row>
    <row r="113" spans="2:72" s="37" customFormat="1" ht="22.5" customHeight="1">
      <c r="J113" s="268"/>
      <c r="K113" s="263"/>
      <c r="L113" s="263"/>
      <c r="M113" s="263"/>
      <c r="N113" s="263"/>
      <c r="O113" s="263"/>
      <c r="P113" s="263"/>
      <c r="Q113" s="263"/>
      <c r="R113" s="268"/>
      <c r="S113" s="263"/>
      <c r="T113" s="263"/>
      <c r="U113" s="263"/>
      <c r="V113" s="263"/>
      <c r="W113" s="263"/>
      <c r="X113" s="263"/>
      <c r="Y113" s="263"/>
      <c r="Z113" s="268"/>
      <c r="AA113" s="263"/>
      <c r="AB113" s="263"/>
      <c r="AC113" s="263"/>
      <c r="AD113" s="263"/>
      <c r="AE113" s="263"/>
      <c r="AF113" s="263"/>
      <c r="AG113" s="263"/>
      <c r="AH113" s="263"/>
      <c r="AI113" s="263"/>
      <c r="AJ113" s="263"/>
      <c r="AK113" s="268"/>
      <c r="AL113" s="263"/>
      <c r="AM113" s="263"/>
      <c r="AN113" s="263"/>
      <c r="AO113" s="263"/>
      <c r="AP113" s="263"/>
      <c r="AQ113" s="263"/>
      <c r="AR113" s="263"/>
      <c r="AS113" s="268"/>
      <c r="AT113" s="265"/>
      <c r="AU113" s="265"/>
      <c r="AV113" s="265"/>
      <c r="AW113" s="265"/>
      <c r="AX113" s="265"/>
      <c r="AY113" s="265"/>
      <c r="AZ113" s="265"/>
      <c r="BA113" s="269"/>
      <c r="BB113" s="268"/>
      <c r="BC113" s="269"/>
      <c r="BD113" s="269"/>
      <c r="BE113" s="269"/>
      <c r="BF113" s="269"/>
      <c r="BG113" s="269"/>
      <c r="BH113" s="269"/>
      <c r="BI113" s="269"/>
      <c r="BJ113" s="265"/>
      <c r="BK113" s="268"/>
      <c r="BL113" s="263"/>
      <c r="BM113" s="263"/>
      <c r="BN113" s="263"/>
      <c r="BO113" s="263"/>
      <c r="BP113" s="263"/>
      <c r="BQ113" s="263"/>
    </row>
    <row r="114" spans="2:72" s="37" customFormat="1" ht="22.5" customHeight="1">
      <c r="J114" s="268"/>
      <c r="K114" s="263"/>
      <c r="L114" s="263"/>
      <c r="M114" s="263"/>
      <c r="N114" s="263"/>
      <c r="O114" s="263"/>
      <c r="P114" s="263"/>
      <c r="Q114" s="263"/>
      <c r="R114" s="268"/>
      <c r="S114" s="263"/>
      <c r="T114" s="263"/>
      <c r="U114" s="263"/>
      <c r="V114" s="263"/>
      <c r="W114" s="263"/>
      <c r="X114" s="263"/>
      <c r="Y114" s="263"/>
      <c r="Z114" s="268"/>
      <c r="AA114" s="263"/>
      <c r="AB114" s="263"/>
      <c r="AC114" s="263"/>
      <c r="AD114" s="263"/>
      <c r="AE114" s="263"/>
      <c r="AF114" s="263"/>
      <c r="AG114" s="263"/>
      <c r="AH114" s="263"/>
      <c r="AI114" s="263"/>
      <c r="AJ114" s="263"/>
      <c r="AK114" s="268"/>
      <c r="AL114" s="263"/>
      <c r="AM114" s="263"/>
      <c r="AN114" s="263"/>
      <c r="AO114" s="263"/>
      <c r="AP114" s="263"/>
      <c r="AQ114" s="263"/>
      <c r="AR114" s="263"/>
      <c r="AS114" s="268"/>
      <c r="AT114" s="265"/>
      <c r="AU114" s="265"/>
      <c r="AV114" s="265"/>
      <c r="AW114" s="265"/>
      <c r="AX114" s="265"/>
      <c r="AY114" s="265"/>
      <c r="AZ114" s="265"/>
      <c r="BA114" s="265"/>
      <c r="BB114" s="270"/>
      <c r="BC114" s="265"/>
      <c r="BD114" s="265"/>
      <c r="BE114" s="265"/>
      <c r="BF114" s="265"/>
      <c r="BG114" s="265"/>
      <c r="BH114" s="265"/>
      <c r="BI114" s="265"/>
      <c r="BJ114" s="265"/>
      <c r="BK114" s="268"/>
      <c r="BL114" s="263"/>
      <c r="BM114" s="263"/>
      <c r="BN114" s="263"/>
      <c r="BO114" s="263"/>
      <c r="BP114" s="263"/>
      <c r="BQ114" s="263"/>
    </row>
    <row r="115" spans="2:72" s="37" customFormat="1" ht="22.5" customHeight="1">
      <c r="J115" s="268"/>
      <c r="K115" s="263"/>
      <c r="L115" s="263"/>
      <c r="M115" s="263"/>
      <c r="N115" s="263"/>
      <c r="O115" s="263"/>
      <c r="P115" s="263"/>
      <c r="Q115" s="263"/>
      <c r="R115" s="268"/>
      <c r="S115" s="263"/>
      <c r="T115" s="263"/>
      <c r="U115" s="263"/>
      <c r="V115" s="263"/>
      <c r="W115" s="263"/>
      <c r="X115" s="263"/>
      <c r="Y115" s="263"/>
      <c r="Z115" s="268"/>
      <c r="AA115" s="263"/>
      <c r="AB115" s="263"/>
      <c r="AC115" s="263"/>
      <c r="AD115" s="263"/>
      <c r="AE115" s="263"/>
      <c r="AF115" s="263"/>
      <c r="AG115" s="263"/>
      <c r="AH115" s="263"/>
      <c r="AI115" s="263"/>
      <c r="AJ115" s="263"/>
      <c r="AK115" s="268"/>
      <c r="AL115" s="263"/>
      <c r="AM115" s="263"/>
      <c r="AN115" s="263"/>
      <c r="AO115" s="263"/>
      <c r="AP115" s="263"/>
      <c r="AQ115" s="263"/>
      <c r="AR115" s="263"/>
      <c r="AS115" s="268"/>
      <c r="AT115" s="269"/>
      <c r="AU115" s="269"/>
      <c r="AV115" s="269"/>
      <c r="AW115" s="269"/>
      <c r="AX115" s="269"/>
      <c r="AY115" s="269"/>
      <c r="AZ115" s="269"/>
      <c r="BA115" s="266"/>
      <c r="BB115" s="268"/>
      <c r="BC115" s="266"/>
      <c r="BD115" s="266"/>
      <c r="BE115" s="266"/>
      <c r="BF115" s="266"/>
      <c r="BG115" s="266"/>
      <c r="BH115" s="266"/>
      <c r="BI115" s="266"/>
      <c r="BJ115" s="265"/>
      <c r="BK115" s="268"/>
      <c r="BL115" s="263"/>
      <c r="BM115" s="263"/>
      <c r="BN115" s="263"/>
      <c r="BO115" s="263"/>
      <c r="BP115" s="263"/>
      <c r="BQ115" s="263"/>
    </row>
    <row r="116" spans="2:72" s="37" customFormat="1" ht="22.5" customHeight="1">
      <c r="J116" s="268"/>
      <c r="K116" s="263"/>
      <c r="L116" s="263"/>
      <c r="M116" s="263"/>
      <c r="N116" s="263"/>
      <c r="O116" s="263"/>
      <c r="P116" s="263"/>
      <c r="Q116" s="263"/>
      <c r="R116" s="268"/>
      <c r="S116" s="263"/>
      <c r="T116" s="263"/>
      <c r="U116" s="263"/>
      <c r="V116" s="263"/>
      <c r="W116" s="263"/>
      <c r="X116" s="263"/>
      <c r="Y116" s="263"/>
      <c r="Z116" s="268"/>
      <c r="AA116" s="263"/>
      <c r="AB116" s="263"/>
      <c r="AC116" s="263"/>
      <c r="AD116" s="263"/>
      <c r="AE116" s="263"/>
      <c r="AF116" s="263"/>
      <c r="AG116" s="263"/>
      <c r="AH116" s="263"/>
      <c r="AI116" s="263"/>
      <c r="AJ116" s="263"/>
      <c r="AK116" s="268"/>
      <c r="AL116" s="263"/>
      <c r="AM116" s="263"/>
      <c r="AN116" s="263"/>
      <c r="AO116" s="263"/>
      <c r="AP116" s="263"/>
      <c r="AQ116" s="263"/>
      <c r="AR116" s="263"/>
      <c r="AS116" s="268"/>
      <c r="AT116" s="265"/>
      <c r="AU116" s="265"/>
      <c r="AV116" s="265"/>
      <c r="AW116" s="265"/>
      <c r="AX116" s="265"/>
      <c r="AY116" s="265"/>
      <c r="AZ116" s="265"/>
      <c r="BA116" s="266"/>
      <c r="BB116" s="267"/>
      <c r="BC116" s="266"/>
      <c r="BD116" s="266"/>
      <c r="BE116" s="266"/>
      <c r="BF116" s="266"/>
      <c r="BG116" s="266"/>
      <c r="BH116" s="266"/>
      <c r="BI116" s="266"/>
      <c r="BJ116" s="269"/>
      <c r="BK116" s="268"/>
      <c r="BL116" s="263"/>
      <c r="BM116" s="263"/>
      <c r="BN116" s="263"/>
      <c r="BO116" s="263"/>
      <c r="BP116" s="263"/>
      <c r="BQ116" s="263"/>
    </row>
    <row r="117" spans="2:72" s="37" customFormat="1" ht="22.5" customHeight="1">
      <c r="J117" s="268"/>
      <c r="K117" s="263"/>
      <c r="L117" s="263"/>
      <c r="M117" s="263"/>
      <c r="N117" s="263"/>
      <c r="O117" s="263"/>
      <c r="P117" s="263"/>
      <c r="Q117" s="263"/>
      <c r="R117" s="268"/>
      <c r="S117" s="263"/>
      <c r="T117" s="263"/>
      <c r="U117" s="263"/>
      <c r="V117" s="263"/>
      <c r="W117" s="263"/>
      <c r="X117" s="263"/>
      <c r="Y117" s="263"/>
      <c r="Z117" s="268"/>
      <c r="AA117" s="263"/>
      <c r="AB117" s="263"/>
      <c r="AC117" s="263"/>
      <c r="AD117" s="263"/>
      <c r="AE117" s="263"/>
      <c r="AF117" s="263"/>
      <c r="AG117" s="263"/>
      <c r="AH117" s="263"/>
      <c r="AI117" s="263"/>
      <c r="AJ117" s="263"/>
      <c r="AK117" s="268"/>
      <c r="AL117" s="263"/>
      <c r="AM117" s="263"/>
      <c r="AN117" s="263"/>
      <c r="AO117" s="263"/>
      <c r="AP117" s="263"/>
      <c r="AQ117" s="263"/>
      <c r="AR117" s="263"/>
      <c r="AS117" s="268"/>
      <c r="AT117" s="266"/>
      <c r="AU117" s="266"/>
      <c r="AV117" s="266"/>
      <c r="AW117" s="266"/>
      <c r="AX117" s="266"/>
      <c r="AY117" s="266"/>
      <c r="AZ117" s="266"/>
      <c r="BA117" s="266"/>
      <c r="BB117" s="267"/>
      <c r="BC117" s="266"/>
      <c r="BD117" s="266"/>
      <c r="BE117" s="266"/>
      <c r="BF117" s="266"/>
      <c r="BG117" s="266"/>
      <c r="BH117" s="266"/>
      <c r="BI117" s="266"/>
      <c r="BJ117" s="265"/>
      <c r="BK117" s="270"/>
      <c r="BL117" s="263"/>
      <c r="BM117" s="263"/>
      <c r="BN117" s="263"/>
      <c r="BO117" s="263"/>
      <c r="BP117" s="263"/>
      <c r="BQ117" s="263"/>
    </row>
    <row r="118" spans="2:72" s="37" customFormat="1" ht="22.5" customHeight="1">
      <c r="J118" s="268"/>
      <c r="K118" s="263"/>
      <c r="L118" s="263"/>
      <c r="M118" s="263"/>
      <c r="N118" s="263"/>
      <c r="O118" s="263"/>
      <c r="P118" s="263"/>
      <c r="Q118" s="263"/>
      <c r="R118" s="268"/>
      <c r="S118" s="263"/>
      <c r="T118" s="263"/>
      <c r="U118" s="263"/>
      <c r="V118" s="263"/>
      <c r="W118" s="263"/>
      <c r="X118" s="263"/>
      <c r="Y118" s="263"/>
      <c r="Z118" s="268"/>
      <c r="AA118" s="263"/>
      <c r="AB118" s="263"/>
      <c r="AC118" s="263"/>
      <c r="AD118" s="263"/>
      <c r="AE118" s="263"/>
      <c r="AF118" s="263"/>
      <c r="AG118" s="263"/>
      <c r="AH118" s="263"/>
      <c r="AI118" s="263"/>
      <c r="AJ118" s="263"/>
      <c r="AK118" s="268"/>
      <c r="AL118" s="263"/>
      <c r="AM118" s="263"/>
      <c r="AN118" s="263"/>
      <c r="AO118" s="263"/>
      <c r="AP118" s="263"/>
      <c r="AQ118" s="263"/>
      <c r="AR118" s="263"/>
      <c r="AS118" s="268"/>
      <c r="AT118" s="266"/>
      <c r="AU118" s="266"/>
      <c r="AV118" s="266"/>
      <c r="AW118" s="266"/>
      <c r="AX118" s="266"/>
      <c r="AY118" s="266"/>
      <c r="AZ118" s="266"/>
      <c r="BA118" s="266"/>
      <c r="BB118" s="267"/>
      <c r="BC118" s="266"/>
      <c r="BD118" s="266"/>
      <c r="BE118" s="266"/>
      <c r="BF118" s="266"/>
      <c r="BG118" s="266"/>
      <c r="BH118" s="266"/>
      <c r="BI118" s="266"/>
      <c r="BJ118" s="266"/>
      <c r="BK118" s="268"/>
      <c r="BL118" s="263"/>
      <c r="BM118" s="263"/>
      <c r="BN118" s="263"/>
      <c r="BO118" s="263"/>
      <c r="BP118" s="263"/>
      <c r="BQ118" s="263"/>
    </row>
    <row r="119" spans="2:72" s="203" customFormat="1" ht="22.5" customHeight="1">
      <c r="J119" s="268"/>
      <c r="K119" s="265"/>
      <c r="L119" s="265"/>
      <c r="M119" s="265"/>
      <c r="N119" s="265"/>
      <c r="O119" s="265"/>
      <c r="P119" s="265"/>
      <c r="Q119" s="265"/>
      <c r="R119" s="268"/>
      <c r="S119" s="265"/>
      <c r="T119" s="265"/>
      <c r="U119" s="265"/>
      <c r="V119" s="265"/>
      <c r="W119" s="265"/>
      <c r="X119" s="265"/>
      <c r="Y119" s="265"/>
      <c r="Z119" s="268"/>
      <c r="AA119" s="265"/>
      <c r="AB119" s="265"/>
      <c r="AC119" s="265"/>
      <c r="AD119" s="265"/>
      <c r="AE119" s="265"/>
      <c r="AF119" s="265"/>
      <c r="AG119" s="265"/>
      <c r="AH119" s="265"/>
      <c r="AI119" s="265"/>
      <c r="AJ119" s="265"/>
      <c r="AK119" s="268"/>
      <c r="AL119" s="265"/>
      <c r="AM119" s="265"/>
      <c r="AN119" s="265"/>
      <c r="AO119" s="265"/>
      <c r="AP119" s="265"/>
      <c r="AQ119" s="265"/>
      <c r="AR119" s="265"/>
      <c r="AS119" s="268"/>
      <c r="AT119" s="266"/>
      <c r="AU119" s="266"/>
      <c r="AV119" s="266"/>
      <c r="AW119" s="266"/>
      <c r="AX119" s="266"/>
      <c r="AY119" s="266"/>
      <c r="AZ119" s="266"/>
      <c r="BA119" s="266"/>
      <c r="BB119" s="267"/>
      <c r="BC119" s="266"/>
      <c r="BD119" s="266"/>
      <c r="BE119" s="266"/>
      <c r="BF119" s="266"/>
      <c r="BG119" s="266"/>
      <c r="BH119" s="266"/>
      <c r="BI119" s="266"/>
      <c r="BJ119" s="266"/>
      <c r="BK119" s="267"/>
      <c r="BL119" s="263"/>
      <c r="BM119" s="263"/>
      <c r="BN119" s="263"/>
      <c r="BO119" s="263"/>
      <c r="BP119" s="263"/>
      <c r="BQ119" s="263"/>
      <c r="BR119" s="37"/>
      <c r="BS119" s="37"/>
      <c r="BT119" s="37"/>
    </row>
    <row r="120" spans="2:72" s="203" customFormat="1" ht="22.5" customHeight="1">
      <c r="J120" s="268"/>
      <c r="K120" s="265"/>
      <c r="L120" s="265"/>
      <c r="M120" s="265"/>
      <c r="N120" s="265"/>
      <c r="O120" s="265"/>
      <c r="P120" s="265"/>
      <c r="Q120" s="265"/>
      <c r="R120" s="262"/>
      <c r="S120" s="265"/>
      <c r="T120" s="265"/>
      <c r="U120" s="265"/>
      <c r="V120" s="265"/>
      <c r="W120" s="265"/>
      <c r="X120" s="265"/>
      <c r="Y120" s="265"/>
      <c r="Z120" s="268"/>
      <c r="AA120" s="265"/>
      <c r="AB120" s="265"/>
      <c r="AC120" s="265"/>
      <c r="AD120" s="265"/>
      <c r="AE120" s="265"/>
      <c r="AF120" s="265"/>
      <c r="AG120" s="265"/>
      <c r="AH120" s="265"/>
      <c r="AI120" s="265"/>
      <c r="AJ120" s="265"/>
      <c r="AK120" s="268"/>
      <c r="AL120" s="265"/>
      <c r="AM120" s="265"/>
      <c r="AN120" s="265"/>
      <c r="AO120" s="265"/>
      <c r="AP120" s="265"/>
      <c r="AQ120" s="265"/>
      <c r="AR120" s="265"/>
      <c r="AS120" s="268"/>
      <c r="AT120" s="266"/>
      <c r="AU120" s="266"/>
      <c r="AV120" s="266"/>
      <c r="AW120" s="266"/>
      <c r="AX120" s="266"/>
      <c r="AY120" s="266"/>
      <c r="AZ120" s="266"/>
      <c r="BA120" s="266"/>
      <c r="BB120" s="267"/>
      <c r="BC120" s="266"/>
      <c r="BD120" s="266"/>
      <c r="BE120" s="266"/>
      <c r="BF120" s="266"/>
      <c r="BG120" s="266"/>
      <c r="BH120" s="266"/>
      <c r="BI120" s="266"/>
      <c r="BJ120" s="266"/>
      <c r="BK120" s="267"/>
      <c r="BL120" s="263"/>
      <c r="BM120" s="263"/>
      <c r="BN120" s="263"/>
      <c r="BO120" s="263"/>
      <c r="BP120" s="263"/>
      <c r="BQ120" s="263"/>
      <c r="BR120" s="37"/>
      <c r="BS120" s="37"/>
      <c r="BT120" s="37"/>
    </row>
    <row r="121" spans="2:72" s="203" customFormat="1" ht="22.5" customHeight="1">
      <c r="J121" s="268"/>
      <c r="K121" s="265"/>
      <c r="L121" s="265"/>
      <c r="M121" s="265"/>
      <c r="N121" s="265"/>
      <c r="O121" s="265"/>
      <c r="P121" s="265"/>
      <c r="Q121" s="265"/>
      <c r="R121" s="262"/>
      <c r="S121" s="265"/>
      <c r="T121" s="265"/>
      <c r="U121" s="265"/>
      <c r="V121" s="265"/>
      <c r="W121" s="265"/>
      <c r="X121" s="265"/>
      <c r="Y121" s="265"/>
      <c r="Z121" s="268"/>
      <c r="AA121" s="265"/>
      <c r="AB121" s="265"/>
      <c r="AC121" s="265"/>
      <c r="AD121" s="265"/>
      <c r="AE121" s="265"/>
      <c r="AF121" s="265"/>
      <c r="AG121" s="265"/>
      <c r="AH121" s="265"/>
      <c r="AI121" s="265"/>
      <c r="AJ121" s="265"/>
      <c r="AK121" s="268"/>
      <c r="AL121" s="265"/>
      <c r="AM121" s="265"/>
      <c r="AN121" s="265"/>
      <c r="AO121" s="265"/>
      <c r="AP121" s="265"/>
      <c r="AQ121" s="265"/>
      <c r="AR121" s="265"/>
      <c r="AS121" s="268"/>
      <c r="AT121" s="266"/>
      <c r="AU121" s="266"/>
      <c r="AV121" s="266"/>
      <c r="AW121" s="266"/>
      <c r="AX121" s="266"/>
      <c r="AY121" s="266"/>
      <c r="AZ121" s="266"/>
      <c r="BA121" s="266"/>
      <c r="BB121" s="267"/>
      <c r="BC121" s="266"/>
      <c r="BD121" s="266"/>
      <c r="BE121" s="266"/>
      <c r="BF121" s="266"/>
      <c r="BG121" s="266"/>
      <c r="BH121" s="266"/>
      <c r="BI121" s="266"/>
      <c r="BJ121" s="266"/>
      <c r="BK121" s="267"/>
      <c r="BL121" s="263"/>
      <c r="BM121" s="263"/>
      <c r="BN121" s="263"/>
      <c r="BO121" s="263"/>
      <c r="BP121" s="263"/>
      <c r="BQ121" s="263"/>
      <c r="BR121" s="37"/>
      <c r="BS121" s="37"/>
      <c r="BT121" s="37"/>
    </row>
    <row r="122" spans="2:72" s="203" customFormat="1" ht="22.5" customHeight="1">
      <c r="J122" s="268"/>
      <c r="K122" s="265"/>
      <c r="L122" s="265"/>
      <c r="M122" s="265"/>
      <c r="N122" s="265"/>
      <c r="O122" s="265"/>
      <c r="P122" s="265"/>
      <c r="Q122" s="265"/>
      <c r="R122" s="262"/>
      <c r="S122" s="265"/>
      <c r="T122" s="265"/>
      <c r="U122" s="265"/>
      <c r="V122" s="265"/>
      <c r="W122" s="265"/>
      <c r="X122" s="265"/>
      <c r="Y122" s="265"/>
      <c r="Z122" s="268"/>
      <c r="AA122" s="265"/>
      <c r="AB122" s="265"/>
      <c r="AC122" s="265"/>
      <c r="AD122" s="265"/>
      <c r="AE122" s="265"/>
      <c r="AF122" s="265"/>
      <c r="AG122" s="265"/>
      <c r="AH122" s="265"/>
      <c r="AI122" s="265"/>
      <c r="AJ122" s="265"/>
      <c r="AK122" s="268"/>
      <c r="AL122" s="265"/>
      <c r="AM122" s="265"/>
      <c r="AN122" s="265"/>
      <c r="AO122" s="265"/>
      <c r="AP122" s="265"/>
      <c r="AQ122" s="265"/>
      <c r="AR122" s="265"/>
      <c r="AS122" s="268"/>
      <c r="AT122" s="266"/>
      <c r="AU122" s="266"/>
      <c r="AV122" s="266"/>
      <c r="AW122" s="266"/>
      <c r="AX122" s="266"/>
      <c r="AY122" s="266"/>
      <c r="AZ122" s="266"/>
      <c r="BA122" s="266"/>
      <c r="BB122" s="267"/>
      <c r="BC122" s="266"/>
      <c r="BD122" s="266"/>
      <c r="BE122" s="266"/>
      <c r="BF122" s="266"/>
      <c r="BG122" s="266"/>
      <c r="BH122" s="266"/>
      <c r="BI122" s="266"/>
      <c r="BJ122" s="266"/>
      <c r="BK122" s="267"/>
      <c r="BL122" s="263"/>
      <c r="BM122" s="263"/>
      <c r="BN122" s="263"/>
      <c r="BO122" s="263"/>
      <c r="BP122" s="263"/>
      <c r="BQ122" s="263"/>
      <c r="BR122" s="37"/>
      <c r="BS122" s="37"/>
      <c r="BT122" s="37"/>
    </row>
    <row r="123" spans="2:72" s="204" customFormat="1" ht="22.5" customHeight="1">
      <c r="J123" s="270"/>
      <c r="K123" s="269"/>
      <c r="L123" s="269"/>
      <c r="M123" s="269"/>
      <c r="N123" s="269"/>
      <c r="O123" s="269"/>
      <c r="P123" s="269"/>
      <c r="Q123" s="269"/>
      <c r="R123" s="261"/>
      <c r="S123" s="269"/>
      <c r="T123" s="269"/>
      <c r="U123" s="269"/>
      <c r="V123" s="269"/>
      <c r="W123" s="269"/>
      <c r="X123" s="269"/>
      <c r="Y123" s="269"/>
      <c r="Z123" s="270"/>
      <c r="AA123" s="269"/>
      <c r="AB123" s="269"/>
      <c r="AC123" s="269"/>
      <c r="AD123" s="269"/>
      <c r="AE123" s="269"/>
      <c r="AF123" s="269"/>
      <c r="AG123" s="269"/>
      <c r="AH123" s="269"/>
      <c r="AI123" s="269"/>
      <c r="AJ123" s="269"/>
      <c r="AK123" s="270"/>
      <c r="AL123" s="269"/>
      <c r="AM123" s="269"/>
      <c r="AN123" s="269"/>
      <c r="AO123" s="269"/>
      <c r="AP123" s="269"/>
      <c r="AQ123" s="269"/>
      <c r="AR123" s="269"/>
      <c r="AS123" s="270"/>
      <c r="AT123" s="266"/>
      <c r="AU123" s="266"/>
      <c r="AV123" s="266"/>
      <c r="AW123" s="266"/>
      <c r="AX123" s="266"/>
      <c r="AY123" s="266"/>
      <c r="AZ123" s="266"/>
      <c r="BA123" s="266"/>
      <c r="BB123" s="267"/>
      <c r="BC123" s="266"/>
      <c r="BD123" s="266"/>
      <c r="BE123" s="266"/>
      <c r="BF123" s="266"/>
      <c r="BG123" s="266"/>
      <c r="BH123" s="266"/>
      <c r="BI123" s="266"/>
      <c r="BJ123" s="266"/>
      <c r="BK123" s="267"/>
      <c r="BL123" s="263"/>
      <c r="BM123" s="263"/>
      <c r="BN123" s="263"/>
      <c r="BO123" s="263"/>
      <c r="BP123" s="263"/>
      <c r="BQ123" s="263"/>
      <c r="BR123" s="37"/>
      <c r="BS123" s="37"/>
      <c r="BT123" s="37"/>
    </row>
    <row r="124" spans="2:72" s="203" customFormat="1" ht="22.5" customHeight="1">
      <c r="J124" s="268"/>
      <c r="K124" s="265"/>
      <c r="L124" s="265"/>
      <c r="M124" s="265"/>
      <c r="N124" s="265"/>
      <c r="O124" s="265"/>
      <c r="P124" s="265"/>
      <c r="Q124" s="265"/>
      <c r="R124" s="262"/>
      <c r="S124" s="265"/>
      <c r="T124" s="265"/>
      <c r="U124" s="265"/>
      <c r="V124" s="265"/>
      <c r="W124" s="265"/>
      <c r="X124" s="265"/>
      <c r="Y124" s="265"/>
      <c r="Z124" s="268"/>
      <c r="AA124" s="265"/>
      <c r="AB124" s="265"/>
      <c r="AC124" s="265"/>
      <c r="AD124" s="265"/>
      <c r="AE124" s="265"/>
      <c r="AF124" s="265"/>
      <c r="AG124" s="265"/>
      <c r="AH124" s="265"/>
      <c r="AI124" s="265"/>
      <c r="AJ124" s="265"/>
      <c r="AK124" s="268"/>
      <c r="AL124" s="265"/>
      <c r="AM124" s="265"/>
      <c r="AN124" s="265"/>
      <c r="AO124" s="265"/>
      <c r="AP124" s="265"/>
      <c r="AQ124" s="265"/>
      <c r="AR124" s="265"/>
      <c r="AS124" s="268"/>
      <c r="AT124" s="266"/>
      <c r="AU124" s="266"/>
      <c r="AV124" s="266"/>
      <c r="AW124" s="266"/>
      <c r="AX124" s="266"/>
      <c r="AY124" s="266"/>
      <c r="AZ124" s="266"/>
      <c r="BA124" s="263"/>
      <c r="BB124" s="267"/>
      <c r="BC124" s="263"/>
      <c r="BD124" s="263"/>
      <c r="BE124" s="263"/>
      <c r="BF124" s="263"/>
      <c r="BG124" s="263"/>
      <c r="BH124" s="263"/>
      <c r="BI124" s="263"/>
      <c r="BJ124" s="266"/>
      <c r="BK124" s="267"/>
      <c r="BL124" s="263"/>
      <c r="BM124" s="263"/>
      <c r="BN124" s="263"/>
      <c r="BO124" s="263"/>
      <c r="BP124" s="263"/>
      <c r="BQ124" s="263"/>
      <c r="BR124" s="82"/>
      <c r="BS124" s="82"/>
      <c r="BT124" s="82"/>
    </row>
    <row r="125" spans="2:72" s="201" customFormat="1" ht="22.5" customHeight="1">
      <c r="B125" s="37"/>
      <c r="H125" s="37"/>
      <c r="J125" s="267"/>
      <c r="K125" s="266"/>
      <c r="L125" s="266"/>
      <c r="M125" s="266"/>
      <c r="N125" s="266"/>
      <c r="O125" s="266"/>
      <c r="P125" s="266"/>
      <c r="Q125" s="266"/>
      <c r="R125" s="262"/>
      <c r="S125" s="266"/>
      <c r="T125" s="266"/>
      <c r="U125" s="266"/>
      <c r="V125" s="266"/>
      <c r="W125" s="263"/>
      <c r="X125" s="266"/>
      <c r="Y125" s="266"/>
      <c r="Z125" s="267"/>
      <c r="AA125" s="266"/>
      <c r="AB125" s="266"/>
      <c r="AC125" s="266"/>
      <c r="AD125" s="266"/>
      <c r="AE125" s="266"/>
      <c r="AF125" s="266"/>
      <c r="AG125" s="266"/>
      <c r="AH125" s="266"/>
      <c r="AI125" s="266"/>
      <c r="AJ125" s="266"/>
      <c r="AK125" s="267"/>
      <c r="AL125" s="266"/>
      <c r="AM125" s="266"/>
      <c r="AN125" s="266"/>
      <c r="AO125" s="266"/>
      <c r="AP125" s="266"/>
      <c r="AQ125" s="266"/>
      <c r="AR125" s="266"/>
      <c r="AS125" s="267"/>
      <c r="AT125" s="266"/>
      <c r="AU125" s="266"/>
      <c r="AV125" s="266"/>
      <c r="AW125" s="266"/>
      <c r="AX125" s="266"/>
      <c r="AY125" s="266"/>
      <c r="AZ125" s="266"/>
      <c r="BA125" s="263"/>
      <c r="BB125" s="268"/>
      <c r="BC125" s="263"/>
      <c r="BD125" s="263"/>
      <c r="BE125" s="263"/>
      <c r="BF125" s="263"/>
      <c r="BG125" s="263"/>
      <c r="BH125" s="263"/>
      <c r="BI125" s="263"/>
      <c r="BJ125" s="266"/>
      <c r="BK125" s="267"/>
      <c r="BL125" s="263"/>
      <c r="BM125" s="263"/>
      <c r="BN125" s="263"/>
      <c r="BO125" s="263"/>
      <c r="BP125" s="263"/>
      <c r="BQ125" s="263"/>
      <c r="BR125" s="82"/>
      <c r="BS125" s="82"/>
      <c r="BT125" s="82"/>
    </row>
    <row r="126" spans="2:72" s="201" customFormat="1" ht="22.5" customHeight="1">
      <c r="B126" s="37"/>
      <c r="H126" s="37"/>
      <c r="J126" s="267"/>
      <c r="K126" s="266"/>
      <c r="L126" s="266"/>
      <c r="M126" s="266"/>
      <c r="N126" s="266"/>
      <c r="O126" s="266"/>
      <c r="P126" s="266"/>
      <c r="Q126" s="271"/>
      <c r="R126" s="254"/>
      <c r="S126" s="272"/>
      <c r="T126" s="266"/>
      <c r="U126" s="266"/>
      <c r="V126" s="266"/>
      <c r="W126" s="263"/>
      <c r="X126" s="266"/>
      <c r="Y126" s="266"/>
      <c r="Z126" s="267"/>
      <c r="AA126" s="266"/>
      <c r="AB126" s="266"/>
      <c r="AC126" s="266"/>
      <c r="AD126" s="266"/>
      <c r="AE126" s="266"/>
      <c r="AF126" s="266"/>
      <c r="AG126" s="266"/>
      <c r="AH126" s="266"/>
      <c r="AI126" s="266"/>
      <c r="AJ126" s="266"/>
      <c r="AK126" s="267"/>
      <c r="AL126" s="266"/>
      <c r="AM126" s="266"/>
      <c r="AN126" s="266"/>
      <c r="AO126" s="266"/>
      <c r="AP126" s="266"/>
      <c r="AQ126" s="266"/>
      <c r="AR126" s="266"/>
      <c r="AS126" s="267"/>
      <c r="AT126" s="263"/>
      <c r="AU126" s="263"/>
      <c r="AV126" s="263"/>
      <c r="AW126" s="263"/>
      <c r="AX126" s="263"/>
      <c r="AY126" s="263"/>
      <c r="AZ126" s="263"/>
      <c r="BA126" s="263"/>
      <c r="BB126" s="268"/>
      <c r="BC126" s="263"/>
      <c r="BD126" s="263"/>
      <c r="BE126" s="263"/>
      <c r="BF126" s="263"/>
      <c r="BG126" s="263"/>
      <c r="BH126" s="263"/>
      <c r="BI126" s="263"/>
      <c r="BJ126" s="266"/>
      <c r="BK126" s="267"/>
      <c r="BL126" s="263"/>
      <c r="BM126" s="263"/>
      <c r="BN126" s="263"/>
      <c r="BO126" s="263"/>
      <c r="BP126" s="263"/>
      <c r="BQ126" s="263"/>
      <c r="BR126" s="82"/>
      <c r="BS126" s="82"/>
      <c r="BT126" s="82"/>
    </row>
    <row r="127" spans="2:72" s="201" customFormat="1" ht="22.5" customHeight="1">
      <c r="B127" s="37"/>
      <c r="H127" s="37"/>
      <c r="J127" s="267"/>
      <c r="K127" s="266"/>
      <c r="L127" s="266"/>
      <c r="M127" s="266"/>
      <c r="N127" s="266"/>
      <c r="O127" s="266"/>
      <c r="P127" s="266"/>
      <c r="Q127" s="271"/>
      <c r="R127" s="254"/>
      <c r="S127" s="272"/>
      <c r="T127" s="266"/>
      <c r="U127" s="266"/>
      <c r="V127" s="266"/>
      <c r="W127" s="263"/>
      <c r="X127" s="266"/>
      <c r="Y127" s="266"/>
      <c r="Z127" s="267"/>
      <c r="AA127" s="266"/>
      <c r="AB127" s="266"/>
      <c r="AC127" s="266"/>
      <c r="AD127" s="266"/>
      <c r="AE127" s="266"/>
      <c r="AF127" s="266"/>
      <c r="AG127" s="266"/>
      <c r="AH127" s="266"/>
      <c r="AI127" s="266"/>
      <c r="AJ127" s="266"/>
      <c r="AK127" s="267"/>
      <c r="AL127" s="266"/>
      <c r="AM127" s="266"/>
      <c r="AN127" s="266"/>
      <c r="AO127" s="266"/>
      <c r="AP127" s="266"/>
      <c r="AQ127" s="266"/>
      <c r="AR127" s="266"/>
      <c r="AS127" s="267"/>
      <c r="AT127" s="263"/>
      <c r="AU127" s="263"/>
      <c r="AV127" s="263"/>
      <c r="AW127" s="263"/>
      <c r="AX127" s="263"/>
      <c r="AY127" s="263"/>
      <c r="AZ127" s="263"/>
      <c r="BA127" s="263"/>
      <c r="BB127" s="268"/>
      <c r="BC127" s="263"/>
      <c r="BD127" s="263"/>
      <c r="BE127" s="263"/>
      <c r="BF127" s="263"/>
      <c r="BG127" s="263"/>
      <c r="BH127" s="263"/>
      <c r="BI127" s="263"/>
      <c r="BJ127" s="263"/>
      <c r="BK127" s="267"/>
      <c r="BL127" s="263"/>
      <c r="BM127" s="263"/>
      <c r="BN127" s="263"/>
      <c r="BO127" s="263"/>
      <c r="BP127" s="263"/>
      <c r="BQ127" s="263"/>
      <c r="BR127" s="82"/>
      <c r="BS127" s="82"/>
      <c r="BT127" s="82"/>
    </row>
    <row r="128" spans="2:72" s="201" customFormat="1" ht="22.5" customHeight="1">
      <c r="B128" s="37"/>
      <c r="H128" s="37"/>
      <c r="J128" s="267"/>
      <c r="K128" s="266"/>
      <c r="L128" s="266"/>
      <c r="M128" s="266"/>
      <c r="N128" s="266"/>
      <c r="O128" s="266"/>
      <c r="P128" s="266"/>
      <c r="Q128" s="271"/>
      <c r="R128" s="254"/>
      <c r="S128" s="272"/>
      <c r="T128" s="266"/>
      <c r="U128" s="266"/>
      <c r="V128" s="266"/>
      <c r="W128" s="263"/>
      <c r="X128" s="266"/>
      <c r="Y128" s="266"/>
      <c r="Z128" s="267"/>
      <c r="AA128" s="266"/>
      <c r="AB128" s="266"/>
      <c r="AC128" s="266"/>
      <c r="AD128" s="266"/>
      <c r="AE128" s="266"/>
      <c r="AF128" s="266"/>
      <c r="AG128" s="266"/>
      <c r="AH128" s="266"/>
      <c r="AI128" s="266"/>
      <c r="AJ128" s="266"/>
      <c r="AK128" s="267"/>
      <c r="AL128" s="266"/>
      <c r="AM128" s="266"/>
      <c r="AN128" s="266"/>
      <c r="AO128" s="266"/>
      <c r="AP128" s="266"/>
      <c r="AQ128" s="266"/>
      <c r="AR128" s="266"/>
      <c r="AS128" s="267"/>
      <c r="AT128" s="263"/>
      <c r="AU128" s="263"/>
      <c r="AV128" s="263"/>
      <c r="AW128" s="263"/>
      <c r="AX128" s="263"/>
      <c r="AY128" s="263"/>
      <c r="AZ128" s="263"/>
      <c r="BA128" s="263"/>
      <c r="BB128" s="268"/>
      <c r="BC128" s="263"/>
      <c r="BD128" s="263"/>
      <c r="BE128" s="263"/>
      <c r="BF128" s="263"/>
      <c r="BG128" s="263"/>
      <c r="BH128" s="263"/>
      <c r="BI128" s="263"/>
      <c r="BJ128" s="263"/>
      <c r="BK128" s="268"/>
      <c r="BL128" s="273"/>
      <c r="BM128" s="273"/>
      <c r="BN128" s="273"/>
      <c r="BO128" s="273"/>
      <c r="BP128" s="273"/>
      <c r="BQ128" s="273"/>
      <c r="BR128" s="82"/>
      <c r="BS128" s="82"/>
      <c r="BT128" s="82"/>
    </row>
    <row r="129" spans="1:72" s="201" customFormat="1" ht="22.5" customHeight="1">
      <c r="B129" s="37"/>
      <c r="H129" s="37"/>
      <c r="J129" s="267"/>
      <c r="K129" s="266"/>
      <c r="L129" s="266"/>
      <c r="M129" s="266"/>
      <c r="N129" s="266"/>
      <c r="O129" s="266"/>
      <c r="P129" s="266"/>
      <c r="Q129" s="271"/>
      <c r="R129" s="254"/>
      <c r="S129" s="272"/>
      <c r="T129" s="271"/>
      <c r="U129" s="271"/>
      <c r="V129" s="271"/>
      <c r="W129" s="247"/>
      <c r="X129" s="271"/>
      <c r="Y129" s="266"/>
      <c r="Z129" s="267"/>
      <c r="AA129" s="266"/>
      <c r="AB129" s="266"/>
      <c r="AC129" s="266"/>
      <c r="AD129" s="266"/>
      <c r="AE129" s="266"/>
      <c r="AF129" s="266"/>
      <c r="AG129" s="266"/>
      <c r="AH129" s="266"/>
      <c r="AI129" s="266"/>
      <c r="AJ129" s="266"/>
      <c r="AK129" s="267"/>
      <c r="AL129" s="266"/>
      <c r="AM129" s="266"/>
      <c r="AN129" s="266"/>
      <c r="AO129" s="266"/>
      <c r="AP129" s="266"/>
      <c r="AQ129" s="266"/>
      <c r="AR129" s="266"/>
      <c r="AS129" s="267"/>
      <c r="AT129" s="263"/>
      <c r="AU129" s="263"/>
      <c r="AV129" s="263"/>
      <c r="AW129" s="263"/>
      <c r="AX129" s="263"/>
      <c r="AY129" s="263"/>
      <c r="AZ129" s="263"/>
      <c r="BA129" s="263"/>
      <c r="BB129" s="268"/>
      <c r="BC129" s="263"/>
      <c r="BD129" s="263"/>
      <c r="BE129" s="263"/>
      <c r="BF129" s="263"/>
      <c r="BG129" s="263"/>
      <c r="BH129" s="263"/>
      <c r="BI129" s="263"/>
      <c r="BJ129" s="263"/>
      <c r="BK129" s="268"/>
      <c r="BL129" s="273"/>
      <c r="BM129" s="273"/>
      <c r="BN129" s="273"/>
      <c r="BO129" s="273"/>
      <c r="BP129" s="273"/>
      <c r="BQ129" s="273"/>
      <c r="BR129" s="82"/>
      <c r="BS129" s="82"/>
      <c r="BT129" s="82"/>
    </row>
    <row r="130" spans="1:72" s="201" customFormat="1" ht="22.5" customHeight="1">
      <c r="B130" s="37"/>
      <c r="H130" s="37"/>
      <c r="J130" s="267"/>
      <c r="K130" s="266"/>
      <c r="L130" s="266"/>
      <c r="M130" s="266"/>
      <c r="N130" s="266"/>
      <c r="O130" s="266"/>
      <c r="P130" s="266"/>
      <c r="Q130" s="266"/>
      <c r="R130" s="262"/>
      <c r="S130" s="266"/>
      <c r="T130" s="266"/>
      <c r="U130" s="266"/>
      <c r="V130" s="266"/>
      <c r="W130" s="263"/>
      <c r="X130" s="266"/>
      <c r="Y130" s="266"/>
      <c r="Z130" s="267"/>
      <c r="AA130" s="266"/>
      <c r="AB130" s="266"/>
      <c r="AC130" s="266"/>
      <c r="AD130" s="266"/>
      <c r="AE130" s="266"/>
      <c r="AF130" s="266"/>
      <c r="AG130" s="266"/>
      <c r="AH130" s="266"/>
      <c r="AI130" s="266"/>
      <c r="AJ130" s="266"/>
      <c r="AK130" s="267"/>
      <c r="AL130" s="266"/>
      <c r="AM130" s="266"/>
      <c r="AN130" s="266"/>
      <c r="AO130" s="266"/>
      <c r="AP130" s="266"/>
      <c r="AQ130" s="266"/>
      <c r="AR130" s="266"/>
      <c r="AS130" s="267"/>
      <c r="AT130" s="263"/>
      <c r="AU130" s="263"/>
      <c r="AV130" s="263"/>
      <c r="AW130" s="263"/>
      <c r="AX130" s="263"/>
      <c r="AY130" s="263"/>
      <c r="AZ130" s="263"/>
      <c r="BA130" s="263"/>
      <c r="BB130" s="268"/>
      <c r="BC130" s="263"/>
      <c r="BD130" s="263"/>
      <c r="BE130" s="263"/>
      <c r="BF130" s="263"/>
      <c r="BG130" s="263"/>
      <c r="BH130" s="263"/>
      <c r="BI130" s="263"/>
      <c r="BJ130" s="263"/>
      <c r="BK130" s="268"/>
      <c r="BL130" s="273"/>
      <c r="BM130" s="273"/>
      <c r="BN130" s="273"/>
      <c r="BO130" s="273"/>
      <c r="BP130" s="273"/>
      <c r="BQ130" s="273"/>
      <c r="BR130" s="82"/>
      <c r="BS130" s="82"/>
      <c r="BT130" s="82"/>
    </row>
    <row r="131" spans="1:72" s="201" customFormat="1" ht="22.5" customHeight="1">
      <c r="A131" s="202"/>
      <c r="B131" s="37"/>
      <c r="H131" s="37"/>
      <c r="J131" s="267"/>
      <c r="K131" s="266"/>
      <c r="L131" s="266"/>
      <c r="M131" s="266"/>
      <c r="N131" s="266"/>
      <c r="O131" s="266"/>
      <c r="P131" s="266"/>
      <c r="Q131" s="266"/>
      <c r="R131" s="262"/>
      <c r="S131" s="266"/>
      <c r="T131" s="266"/>
      <c r="U131" s="266"/>
      <c r="V131" s="266"/>
      <c r="W131" s="263"/>
      <c r="X131" s="266"/>
      <c r="Y131" s="266"/>
      <c r="Z131" s="267"/>
      <c r="AA131" s="266"/>
      <c r="AB131" s="266"/>
      <c r="AC131" s="266"/>
      <c r="AD131" s="266"/>
      <c r="AE131" s="266"/>
      <c r="AF131" s="266"/>
      <c r="AG131" s="266"/>
      <c r="AH131" s="266"/>
      <c r="AI131" s="266"/>
      <c r="AJ131" s="266"/>
      <c r="AK131" s="267"/>
      <c r="AL131" s="266"/>
      <c r="AM131" s="266"/>
      <c r="AN131" s="266"/>
      <c r="AO131" s="266"/>
      <c r="AP131" s="266"/>
      <c r="AQ131" s="266"/>
      <c r="AR131" s="266"/>
      <c r="AS131" s="267"/>
      <c r="AT131" s="263"/>
      <c r="AU131" s="263"/>
      <c r="AV131" s="263"/>
      <c r="AW131" s="263"/>
      <c r="AX131" s="263"/>
      <c r="AY131" s="263"/>
      <c r="AZ131" s="263"/>
      <c r="BA131" s="263"/>
      <c r="BB131" s="268"/>
      <c r="BC131" s="263"/>
      <c r="BD131" s="263"/>
      <c r="BE131" s="263"/>
      <c r="BF131" s="263"/>
      <c r="BG131" s="263"/>
      <c r="BH131" s="263"/>
      <c r="BI131" s="263"/>
      <c r="BJ131" s="263"/>
      <c r="BK131" s="268"/>
      <c r="BL131" s="273"/>
      <c r="BM131" s="273"/>
      <c r="BN131" s="273"/>
      <c r="BO131" s="273"/>
      <c r="BP131" s="273"/>
      <c r="BQ131" s="273"/>
      <c r="BR131" s="82"/>
      <c r="BS131" s="82"/>
      <c r="BT131" s="82"/>
    </row>
    <row r="132" spans="1:72" s="201" customFormat="1" ht="22.5" customHeight="1">
      <c r="B132" s="37"/>
      <c r="H132" s="37"/>
      <c r="J132" s="267"/>
      <c r="K132" s="266"/>
      <c r="L132" s="266"/>
      <c r="M132" s="266"/>
      <c r="N132" s="266"/>
      <c r="O132" s="266"/>
      <c r="P132" s="266"/>
      <c r="Q132" s="266"/>
      <c r="R132" s="262"/>
      <c r="S132" s="266"/>
      <c r="T132" s="266"/>
      <c r="U132" s="266"/>
      <c r="V132" s="266"/>
      <c r="W132" s="263"/>
      <c r="X132" s="266"/>
      <c r="Y132" s="266"/>
      <c r="Z132" s="267"/>
      <c r="AA132" s="266"/>
      <c r="AB132" s="266"/>
      <c r="AC132" s="266"/>
      <c r="AD132" s="266"/>
      <c r="AE132" s="266"/>
      <c r="AF132" s="266"/>
      <c r="AG132" s="266"/>
      <c r="AH132" s="266"/>
      <c r="AI132" s="266"/>
      <c r="AJ132" s="266"/>
      <c r="AK132" s="267"/>
      <c r="AL132" s="266"/>
      <c r="AM132" s="266"/>
      <c r="AN132" s="266"/>
      <c r="AO132" s="266"/>
      <c r="AP132" s="266"/>
      <c r="AQ132" s="266"/>
      <c r="AR132" s="266"/>
      <c r="AS132" s="267"/>
      <c r="AT132" s="263"/>
      <c r="AU132" s="263"/>
      <c r="AV132" s="263"/>
      <c r="AW132" s="263"/>
      <c r="AX132" s="263"/>
      <c r="AY132" s="263"/>
      <c r="AZ132" s="263"/>
      <c r="BA132" s="263"/>
      <c r="BB132" s="268"/>
      <c r="BC132" s="263"/>
      <c r="BD132" s="263"/>
      <c r="BE132" s="263"/>
      <c r="BF132" s="263"/>
      <c r="BG132" s="263"/>
      <c r="BH132" s="263"/>
      <c r="BI132" s="263"/>
      <c r="BJ132" s="263"/>
      <c r="BK132" s="268"/>
      <c r="BL132" s="273"/>
      <c r="BM132" s="273"/>
      <c r="BN132" s="273"/>
      <c r="BO132" s="273"/>
      <c r="BP132" s="273"/>
      <c r="BQ132" s="273"/>
      <c r="BR132" s="82"/>
      <c r="BS132" s="82"/>
      <c r="BT132" s="82"/>
    </row>
    <row r="133" spans="1:72" s="201" customFormat="1" ht="22.5" customHeight="1">
      <c r="B133" s="37"/>
      <c r="H133" s="37"/>
      <c r="J133" s="267"/>
      <c r="K133" s="266"/>
      <c r="L133" s="266"/>
      <c r="M133" s="266"/>
      <c r="N133" s="266"/>
      <c r="O133" s="266"/>
      <c r="P133" s="266"/>
      <c r="Q133" s="266"/>
      <c r="R133" s="262"/>
      <c r="S133" s="266"/>
      <c r="T133" s="266"/>
      <c r="U133" s="266"/>
      <c r="V133" s="266"/>
      <c r="W133" s="263"/>
      <c r="X133" s="266"/>
      <c r="Y133" s="266"/>
      <c r="Z133" s="267"/>
      <c r="AA133" s="266"/>
      <c r="AB133" s="266"/>
      <c r="AC133" s="266"/>
      <c r="AD133" s="266"/>
      <c r="AE133" s="266"/>
      <c r="AF133" s="266"/>
      <c r="AG133" s="266"/>
      <c r="AH133" s="266"/>
      <c r="AI133" s="266"/>
      <c r="AJ133" s="266"/>
      <c r="AK133" s="267"/>
      <c r="AL133" s="266"/>
      <c r="AM133" s="266"/>
      <c r="AN133" s="266"/>
      <c r="AO133" s="266"/>
      <c r="AP133" s="266"/>
      <c r="AQ133" s="266"/>
      <c r="AR133" s="266"/>
      <c r="AS133" s="267"/>
      <c r="AT133" s="263"/>
      <c r="AU133" s="263"/>
      <c r="AV133" s="263"/>
      <c r="AW133" s="263"/>
      <c r="AX133" s="263"/>
      <c r="AY133" s="263"/>
      <c r="AZ133" s="263"/>
      <c r="BA133" s="263"/>
      <c r="BB133" s="268"/>
      <c r="BC133" s="263"/>
      <c r="BD133" s="263"/>
      <c r="BE133" s="263"/>
      <c r="BF133" s="263"/>
      <c r="BG133" s="263"/>
      <c r="BH133" s="263"/>
      <c r="BI133" s="263"/>
      <c r="BJ133" s="263"/>
      <c r="BK133" s="268"/>
      <c r="BL133" s="273"/>
      <c r="BM133" s="273"/>
      <c r="BN133" s="273"/>
      <c r="BO133" s="273"/>
      <c r="BP133" s="273"/>
      <c r="BQ133" s="273"/>
      <c r="BR133" s="82"/>
      <c r="BS133" s="82"/>
      <c r="BT133" s="82"/>
    </row>
    <row r="134" spans="1:72" s="37" customFormat="1" ht="22.5" customHeight="1">
      <c r="J134" s="268"/>
      <c r="K134" s="263"/>
      <c r="L134" s="263"/>
      <c r="M134" s="263"/>
      <c r="N134" s="263"/>
      <c r="O134" s="263"/>
      <c r="P134" s="263"/>
      <c r="Q134" s="263"/>
      <c r="R134" s="262"/>
      <c r="S134" s="263"/>
      <c r="T134" s="263"/>
      <c r="U134" s="263"/>
      <c r="V134" s="263"/>
      <c r="W134" s="263"/>
      <c r="X134" s="263"/>
      <c r="Y134" s="263"/>
      <c r="Z134" s="268"/>
      <c r="AA134" s="263"/>
      <c r="AB134" s="263"/>
      <c r="AC134" s="263"/>
      <c r="AD134" s="263"/>
      <c r="AE134" s="263"/>
      <c r="AF134" s="263"/>
      <c r="AG134" s="263"/>
      <c r="AH134" s="263"/>
      <c r="AI134" s="263"/>
      <c r="AJ134" s="263"/>
      <c r="AK134" s="268"/>
      <c r="AL134" s="263"/>
      <c r="AM134" s="263"/>
      <c r="AN134" s="263"/>
      <c r="AO134" s="263"/>
      <c r="AP134" s="263"/>
      <c r="AQ134" s="263"/>
      <c r="AR134" s="263"/>
      <c r="AS134" s="268"/>
      <c r="AT134" s="263"/>
      <c r="AU134" s="263"/>
      <c r="AV134" s="263"/>
      <c r="AW134" s="263"/>
      <c r="AX134" s="263"/>
      <c r="AY134" s="263"/>
      <c r="AZ134" s="263"/>
      <c r="BA134" s="263"/>
      <c r="BB134" s="268"/>
      <c r="BC134" s="263"/>
      <c r="BD134" s="263"/>
      <c r="BE134" s="263"/>
      <c r="BF134" s="263"/>
      <c r="BG134" s="263"/>
      <c r="BH134" s="263"/>
      <c r="BI134" s="263"/>
      <c r="BJ134" s="263"/>
      <c r="BK134" s="268"/>
      <c r="BL134" s="273"/>
      <c r="BM134" s="273"/>
      <c r="BN134" s="273"/>
      <c r="BO134" s="273"/>
      <c r="BP134" s="273"/>
      <c r="BQ134" s="273"/>
      <c r="BR134" s="82"/>
      <c r="BS134" s="82"/>
      <c r="BT134" s="82"/>
    </row>
    <row r="135" spans="1:72" s="37" customFormat="1" ht="22.5" customHeight="1">
      <c r="J135" s="268"/>
      <c r="K135" s="263"/>
      <c r="L135" s="263"/>
      <c r="M135" s="263"/>
      <c r="N135" s="263"/>
      <c r="O135" s="263"/>
      <c r="P135" s="263"/>
      <c r="Q135" s="263"/>
      <c r="R135" s="262"/>
      <c r="S135" s="263"/>
      <c r="T135" s="263"/>
      <c r="U135" s="263"/>
      <c r="V135" s="263"/>
      <c r="W135" s="263"/>
      <c r="X135" s="263"/>
      <c r="Y135" s="263"/>
      <c r="Z135" s="268"/>
      <c r="AA135" s="263"/>
      <c r="AB135" s="263"/>
      <c r="AC135" s="263"/>
      <c r="AD135" s="263"/>
      <c r="AE135" s="263"/>
      <c r="AF135" s="263"/>
      <c r="AG135" s="263"/>
      <c r="AH135" s="263"/>
      <c r="AI135" s="263"/>
      <c r="AJ135" s="263"/>
      <c r="AK135" s="268"/>
      <c r="AL135" s="263"/>
      <c r="AM135" s="263"/>
      <c r="AN135" s="263"/>
      <c r="AO135" s="263"/>
      <c r="AP135" s="263"/>
      <c r="AQ135" s="263"/>
      <c r="AR135" s="263"/>
      <c r="AS135" s="268"/>
      <c r="AT135" s="263"/>
      <c r="AU135" s="263"/>
      <c r="AV135" s="263"/>
      <c r="AW135" s="263"/>
      <c r="AX135" s="263"/>
      <c r="AY135" s="263"/>
      <c r="AZ135" s="263"/>
      <c r="BA135" s="263"/>
      <c r="BB135" s="268"/>
      <c r="BC135" s="263"/>
      <c r="BD135" s="263"/>
      <c r="BE135" s="263"/>
      <c r="BF135" s="263"/>
      <c r="BG135" s="263"/>
      <c r="BH135" s="263"/>
      <c r="BI135" s="263"/>
      <c r="BJ135" s="263"/>
      <c r="BK135" s="268"/>
      <c r="BL135" s="273"/>
      <c r="BM135" s="273"/>
      <c r="BN135" s="273"/>
      <c r="BO135" s="273"/>
      <c r="BP135" s="273"/>
      <c r="BQ135" s="273"/>
      <c r="BR135" s="156"/>
      <c r="BS135" s="156"/>
      <c r="BT135" s="156"/>
    </row>
    <row r="136" spans="1:72" s="37" customFormat="1" ht="22.5" customHeight="1">
      <c r="J136" s="268"/>
      <c r="K136" s="263"/>
      <c r="L136" s="263"/>
      <c r="M136" s="263"/>
      <c r="N136" s="263"/>
      <c r="O136" s="263"/>
      <c r="P136" s="263"/>
      <c r="Q136" s="263"/>
      <c r="R136" s="262"/>
      <c r="S136" s="263"/>
      <c r="T136" s="263"/>
      <c r="U136" s="263"/>
      <c r="V136" s="263"/>
      <c r="W136" s="263"/>
      <c r="X136" s="263"/>
      <c r="Y136" s="263"/>
      <c r="Z136" s="268"/>
      <c r="AA136" s="263"/>
      <c r="AB136" s="263"/>
      <c r="AC136" s="263"/>
      <c r="AD136" s="263"/>
      <c r="AE136" s="263"/>
      <c r="AF136" s="263"/>
      <c r="AG136" s="263"/>
      <c r="AH136" s="263"/>
      <c r="AI136" s="263"/>
      <c r="AJ136" s="263"/>
      <c r="AK136" s="268"/>
      <c r="AL136" s="263"/>
      <c r="AM136" s="263"/>
      <c r="AN136" s="263"/>
      <c r="AO136" s="263"/>
      <c r="AP136" s="263"/>
      <c r="AQ136" s="263"/>
      <c r="AR136" s="263"/>
      <c r="AS136" s="268"/>
      <c r="AT136" s="263"/>
      <c r="AU136" s="263"/>
      <c r="AV136" s="263"/>
      <c r="AW136" s="263"/>
      <c r="AX136" s="263"/>
      <c r="AY136" s="263"/>
      <c r="AZ136" s="263"/>
      <c r="BA136" s="263"/>
      <c r="BB136" s="268"/>
      <c r="BC136" s="263"/>
      <c r="BD136" s="263"/>
      <c r="BE136" s="263"/>
      <c r="BF136" s="263"/>
      <c r="BG136" s="263"/>
      <c r="BH136" s="263"/>
      <c r="BI136" s="263"/>
      <c r="BJ136" s="263"/>
      <c r="BK136" s="268"/>
      <c r="BL136" s="273"/>
      <c r="BM136" s="273"/>
      <c r="BN136" s="273"/>
      <c r="BO136" s="273"/>
      <c r="BP136" s="273"/>
      <c r="BQ136" s="273"/>
      <c r="BR136" s="82"/>
      <c r="BS136" s="82"/>
      <c r="BT136" s="82"/>
    </row>
    <row r="137" spans="1:72" s="37" customFormat="1" ht="22.5" customHeight="1">
      <c r="A137" s="200"/>
      <c r="J137" s="268"/>
      <c r="K137" s="263"/>
      <c r="L137" s="263"/>
      <c r="M137" s="263"/>
      <c r="N137" s="263"/>
      <c r="O137" s="263"/>
      <c r="P137" s="263"/>
      <c r="Q137" s="263"/>
      <c r="R137" s="262"/>
      <c r="S137" s="263"/>
      <c r="T137" s="263"/>
      <c r="U137" s="263"/>
      <c r="V137" s="263"/>
      <c r="W137" s="263"/>
      <c r="X137" s="263"/>
      <c r="Y137" s="263"/>
      <c r="Z137" s="268"/>
      <c r="AA137" s="263"/>
      <c r="AB137" s="263"/>
      <c r="AC137" s="263"/>
      <c r="AD137" s="263"/>
      <c r="AE137" s="263"/>
      <c r="AF137" s="263"/>
      <c r="AG137" s="263"/>
      <c r="AH137" s="263"/>
      <c r="AI137" s="263"/>
      <c r="AJ137" s="263"/>
      <c r="AK137" s="268"/>
      <c r="AL137" s="263"/>
      <c r="AM137" s="263"/>
      <c r="AN137" s="263"/>
      <c r="AO137" s="263"/>
      <c r="AP137" s="263"/>
      <c r="AQ137" s="263"/>
      <c r="AR137" s="263"/>
      <c r="AS137" s="268"/>
      <c r="AT137" s="263"/>
      <c r="AU137" s="263"/>
      <c r="AV137" s="263"/>
      <c r="AW137" s="263"/>
      <c r="AX137" s="263"/>
      <c r="AY137" s="263"/>
      <c r="AZ137" s="263"/>
      <c r="BA137" s="263"/>
      <c r="BB137" s="268"/>
      <c r="BC137" s="263"/>
      <c r="BD137" s="263"/>
      <c r="BE137" s="263"/>
      <c r="BF137" s="263"/>
      <c r="BG137" s="263"/>
      <c r="BH137" s="263"/>
      <c r="BI137" s="263"/>
      <c r="BJ137" s="263"/>
      <c r="BK137" s="268"/>
      <c r="BL137" s="273"/>
      <c r="BM137" s="273"/>
      <c r="BN137" s="273"/>
      <c r="BO137" s="273"/>
      <c r="BP137" s="273"/>
      <c r="BQ137" s="273"/>
      <c r="BR137" s="156"/>
      <c r="BS137" s="156"/>
      <c r="BT137" s="156"/>
    </row>
    <row r="138" spans="1:72" s="37" customFormat="1" ht="22.5" customHeight="1">
      <c r="J138" s="268"/>
      <c r="K138" s="263"/>
      <c r="L138" s="263"/>
      <c r="M138" s="263"/>
      <c r="N138" s="263"/>
      <c r="O138" s="263"/>
      <c r="P138" s="263"/>
      <c r="Q138" s="263"/>
      <c r="R138" s="262"/>
      <c r="S138" s="263"/>
      <c r="T138" s="263"/>
      <c r="U138" s="263"/>
      <c r="V138" s="263"/>
      <c r="W138" s="263"/>
      <c r="X138" s="263"/>
      <c r="Y138" s="263"/>
      <c r="Z138" s="268"/>
      <c r="AA138" s="263"/>
      <c r="AB138" s="263"/>
      <c r="AC138" s="263"/>
      <c r="AD138" s="263"/>
      <c r="AE138" s="263"/>
      <c r="AF138" s="263"/>
      <c r="AG138" s="263"/>
      <c r="AH138" s="263"/>
      <c r="AI138" s="263"/>
      <c r="AJ138" s="263"/>
      <c r="AK138" s="268"/>
      <c r="AL138" s="263"/>
      <c r="AM138" s="263"/>
      <c r="AN138" s="263"/>
      <c r="AO138" s="263"/>
      <c r="AP138" s="263"/>
      <c r="AQ138" s="263"/>
      <c r="AR138" s="263"/>
      <c r="AS138" s="268"/>
      <c r="AT138" s="263"/>
      <c r="AU138" s="263"/>
      <c r="AV138" s="263"/>
      <c r="AW138" s="263"/>
      <c r="AX138" s="263"/>
      <c r="AY138" s="263"/>
      <c r="AZ138" s="263"/>
      <c r="BA138" s="263"/>
      <c r="BB138" s="268"/>
      <c r="BC138" s="263"/>
      <c r="BD138" s="263"/>
      <c r="BE138" s="263"/>
      <c r="BF138" s="263"/>
      <c r="BG138" s="263"/>
      <c r="BH138" s="263"/>
      <c r="BI138" s="263"/>
      <c r="BJ138" s="263"/>
      <c r="BK138" s="268"/>
      <c r="BL138" s="273"/>
      <c r="BM138" s="273"/>
      <c r="BN138" s="273"/>
      <c r="BO138" s="273"/>
      <c r="BP138" s="273"/>
      <c r="BQ138" s="273"/>
      <c r="BR138" s="82"/>
      <c r="BS138" s="82"/>
      <c r="BT138" s="82"/>
    </row>
    <row r="139" spans="1:72" s="37" customFormat="1" ht="22.5" customHeight="1">
      <c r="J139" s="268"/>
      <c r="K139" s="263"/>
      <c r="L139" s="263"/>
      <c r="M139" s="263"/>
      <c r="N139" s="263"/>
      <c r="O139" s="263"/>
      <c r="P139" s="263"/>
      <c r="Q139" s="263"/>
      <c r="R139" s="262"/>
      <c r="S139" s="263"/>
      <c r="T139" s="263"/>
      <c r="U139" s="263"/>
      <c r="V139" s="263"/>
      <c r="W139" s="263"/>
      <c r="X139" s="263"/>
      <c r="Y139" s="263"/>
      <c r="Z139" s="268"/>
      <c r="AA139" s="263"/>
      <c r="AB139" s="263"/>
      <c r="AC139" s="263"/>
      <c r="AD139" s="263"/>
      <c r="AE139" s="263"/>
      <c r="AF139" s="263"/>
      <c r="AG139" s="263"/>
      <c r="AH139" s="263"/>
      <c r="AI139" s="263"/>
      <c r="AJ139" s="263"/>
      <c r="AK139" s="268"/>
      <c r="AL139" s="263"/>
      <c r="AM139" s="263"/>
      <c r="AN139" s="263"/>
      <c r="AO139" s="263"/>
      <c r="AP139" s="263"/>
      <c r="AQ139" s="263"/>
      <c r="AR139" s="263"/>
      <c r="AS139" s="268"/>
      <c r="AT139" s="263"/>
      <c r="AU139" s="263"/>
      <c r="AV139" s="263"/>
      <c r="AW139" s="263"/>
      <c r="AX139" s="263"/>
      <c r="AY139" s="263"/>
      <c r="AZ139" s="263"/>
      <c r="BA139" s="263"/>
      <c r="BB139" s="268"/>
      <c r="BC139" s="263"/>
      <c r="BD139" s="263"/>
      <c r="BE139" s="263"/>
      <c r="BF139" s="263"/>
      <c r="BG139" s="263"/>
      <c r="BH139" s="263"/>
      <c r="BI139" s="263"/>
      <c r="BJ139" s="263"/>
      <c r="BK139" s="268"/>
      <c r="BL139" s="275"/>
      <c r="BM139" s="275"/>
      <c r="BN139" s="275"/>
      <c r="BO139" s="275"/>
      <c r="BP139" s="275"/>
      <c r="BQ139" s="275"/>
      <c r="BR139" s="82"/>
      <c r="BS139" s="82"/>
      <c r="BT139" s="82"/>
    </row>
    <row r="140" spans="1:72" s="37" customFormat="1" ht="22.5" customHeight="1">
      <c r="J140" s="268"/>
      <c r="K140" s="263"/>
      <c r="L140" s="263"/>
      <c r="M140" s="263"/>
      <c r="N140" s="263"/>
      <c r="O140" s="263"/>
      <c r="P140" s="263"/>
      <c r="Q140" s="263"/>
      <c r="R140" s="262"/>
      <c r="S140" s="263"/>
      <c r="T140" s="263"/>
      <c r="U140" s="263"/>
      <c r="V140" s="263"/>
      <c r="W140" s="263"/>
      <c r="X140" s="263"/>
      <c r="Y140" s="263"/>
      <c r="Z140" s="268"/>
      <c r="AA140" s="263"/>
      <c r="AB140" s="263"/>
      <c r="AC140" s="263"/>
      <c r="AD140" s="263"/>
      <c r="AE140" s="263"/>
      <c r="AF140" s="263"/>
      <c r="AG140" s="263"/>
      <c r="AH140" s="263"/>
      <c r="AI140" s="263"/>
      <c r="AJ140" s="263"/>
      <c r="AK140" s="268"/>
      <c r="AL140" s="263"/>
      <c r="AM140" s="263"/>
      <c r="AN140" s="263"/>
      <c r="AO140" s="263"/>
      <c r="AP140" s="263"/>
      <c r="AQ140" s="263"/>
      <c r="AR140" s="263"/>
      <c r="AS140" s="268"/>
      <c r="AT140" s="263"/>
      <c r="AU140" s="263"/>
      <c r="AV140" s="263"/>
      <c r="AW140" s="263"/>
      <c r="AX140" s="263"/>
      <c r="AY140" s="263"/>
      <c r="AZ140" s="263"/>
      <c r="BA140" s="263"/>
      <c r="BB140" s="268"/>
      <c r="BC140" s="263"/>
      <c r="BD140" s="263"/>
      <c r="BE140" s="263"/>
      <c r="BF140" s="263"/>
      <c r="BG140" s="263"/>
      <c r="BH140" s="263"/>
      <c r="BI140" s="263"/>
      <c r="BJ140" s="263"/>
      <c r="BK140" s="268"/>
      <c r="BL140" s="273"/>
      <c r="BM140" s="273"/>
      <c r="BN140" s="273"/>
      <c r="BO140" s="273"/>
      <c r="BP140" s="273"/>
      <c r="BQ140" s="273"/>
      <c r="BR140" s="82"/>
      <c r="BS140" s="82"/>
      <c r="BT140" s="82"/>
    </row>
    <row r="141" spans="1:72" s="37" customFormat="1" ht="22.5" customHeight="1">
      <c r="J141" s="268"/>
      <c r="K141" s="263"/>
      <c r="L141" s="263"/>
      <c r="M141" s="263"/>
      <c r="N141" s="263"/>
      <c r="O141" s="263"/>
      <c r="P141" s="263"/>
      <c r="Q141" s="263"/>
      <c r="R141" s="262"/>
      <c r="S141" s="263"/>
      <c r="T141" s="263"/>
      <c r="U141" s="263"/>
      <c r="V141" s="263"/>
      <c r="W141" s="263"/>
      <c r="X141" s="263"/>
      <c r="Y141" s="263"/>
      <c r="Z141" s="268"/>
      <c r="AA141" s="263"/>
      <c r="AB141" s="263"/>
      <c r="AC141" s="263"/>
      <c r="AD141" s="263"/>
      <c r="AE141" s="263"/>
      <c r="AF141" s="263"/>
      <c r="AG141" s="263"/>
      <c r="AH141" s="263"/>
      <c r="AI141" s="263"/>
      <c r="AJ141" s="263"/>
      <c r="AK141" s="268"/>
      <c r="AL141" s="263"/>
      <c r="AM141" s="263"/>
      <c r="AN141" s="263"/>
      <c r="AO141" s="263"/>
      <c r="AP141" s="263"/>
      <c r="AQ141" s="263"/>
      <c r="AR141" s="263"/>
      <c r="AS141" s="268"/>
      <c r="AT141" s="263"/>
      <c r="AU141" s="263"/>
      <c r="AV141" s="263"/>
      <c r="AW141" s="263"/>
      <c r="AX141" s="263"/>
      <c r="AY141" s="263"/>
      <c r="AZ141" s="263"/>
      <c r="BA141" s="273"/>
      <c r="BB141" s="268"/>
      <c r="BC141" s="273"/>
      <c r="BD141" s="273"/>
      <c r="BE141" s="273"/>
      <c r="BF141" s="273"/>
      <c r="BG141" s="273"/>
      <c r="BH141" s="273"/>
      <c r="BI141" s="273"/>
      <c r="BJ141" s="263"/>
      <c r="BK141" s="268"/>
      <c r="BL141" s="275"/>
      <c r="BM141" s="275"/>
      <c r="BN141" s="275"/>
      <c r="BO141" s="275"/>
      <c r="BP141" s="275"/>
      <c r="BQ141" s="275"/>
      <c r="BR141" s="82"/>
      <c r="BS141" s="82"/>
      <c r="BT141" s="82"/>
    </row>
    <row r="142" spans="1:72" s="37" customFormat="1" ht="22.5" customHeight="1">
      <c r="A142" s="107"/>
      <c r="B142" s="1711"/>
      <c r="C142" s="1711"/>
      <c r="D142" s="1710"/>
      <c r="E142" s="108"/>
      <c r="F142" s="1710"/>
      <c r="G142" s="1710"/>
      <c r="H142" s="1710"/>
      <c r="I142" s="1710"/>
      <c r="J142" s="268"/>
      <c r="K142" s="263"/>
      <c r="L142" s="263"/>
      <c r="M142" s="263"/>
      <c r="N142" s="263"/>
      <c r="O142" s="263"/>
      <c r="P142" s="263"/>
      <c r="Q142" s="263"/>
      <c r="R142" s="262"/>
      <c r="S142" s="263"/>
      <c r="T142" s="263"/>
      <c r="U142" s="263"/>
      <c r="V142" s="263"/>
      <c r="W142" s="263"/>
      <c r="X142" s="263"/>
      <c r="Y142" s="263"/>
      <c r="Z142" s="268"/>
      <c r="AA142" s="263"/>
      <c r="AB142" s="263"/>
      <c r="AC142" s="263"/>
      <c r="AD142" s="263"/>
      <c r="AE142" s="263"/>
      <c r="AF142" s="263"/>
      <c r="AG142" s="263"/>
      <c r="AH142" s="263"/>
      <c r="AI142" s="263"/>
      <c r="AJ142" s="263"/>
      <c r="AK142" s="268"/>
      <c r="AL142" s="263"/>
      <c r="AM142" s="263"/>
      <c r="AN142" s="263"/>
      <c r="AO142" s="263"/>
      <c r="AP142" s="263"/>
      <c r="AQ142" s="263"/>
      <c r="AR142" s="263"/>
      <c r="AS142" s="268"/>
      <c r="AT142" s="263"/>
      <c r="AU142" s="263"/>
      <c r="AV142" s="263"/>
      <c r="AW142" s="263"/>
      <c r="AX142" s="263"/>
      <c r="AY142" s="263"/>
      <c r="AZ142" s="263"/>
      <c r="BA142" s="273"/>
      <c r="BB142" s="274"/>
      <c r="BC142" s="273"/>
      <c r="BD142" s="273"/>
      <c r="BE142" s="273"/>
      <c r="BF142" s="273"/>
      <c r="BG142" s="273"/>
      <c r="BH142" s="273"/>
      <c r="BI142" s="273"/>
      <c r="BJ142" s="263"/>
      <c r="BK142" s="268"/>
      <c r="BL142" s="273"/>
      <c r="BM142" s="273"/>
      <c r="BN142" s="273"/>
      <c r="BO142" s="273"/>
      <c r="BP142" s="273"/>
      <c r="BQ142" s="273"/>
      <c r="BR142" s="8"/>
      <c r="BS142" s="8"/>
      <c r="BT142" s="8"/>
    </row>
    <row r="143" spans="1:72" s="37" customFormat="1" ht="22.5" customHeight="1">
      <c r="A143" s="107"/>
      <c r="B143" s="1711"/>
      <c r="C143" s="1711"/>
      <c r="D143" s="1710"/>
      <c r="E143" s="108"/>
      <c r="F143" s="1710"/>
      <c r="G143" s="1710"/>
      <c r="H143" s="1710"/>
      <c r="I143" s="1710"/>
      <c r="J143" s="268"/>
      <c r="K143" s="263"/>
      <c r="L143" s="263"/>
      <c r="M143" s="263"/>
      <c r="N143" s="263"/>
      <c r="O143" s="263"/>
      <c r="P143" s="263"/>
      <c r="Q143" s="263"/>
      <c r="R143" s="262"/>
      <c r="S143" s="263"/>
      <c r="T143" s="263"/>
      <c r="U143" s="263"/>
      <c r="V143" s="263"/>
      <c r="W143" s="263"/>
      <c r="X143" s="263"/>
      <c r="Y143" s="263"/>
      <c r="Z143" s="268"/>
      <c r="AA143" s="263"/>
      <c r="AB143" s="263"/>
      <c r="AC143" s="263"/>
      <c r="AD143" s="263"/>
      <c r="AE143" s="263"/>
      <c r="AF143" s="263"/>
      <c r="AG143" s="263"/>
      <c r="AH143" s="263"/>
      <c r="AI143" s="263"/>
      <c r="AJ143" s="263"/>
      <c r="AK143" s="268"/>
      <c r="AL143" s="263"/>
      <c r="AM143" s="263"/>
      <c r="AN143" s="263"/>
      <c r="AO143" s="263"/>
      <c r="AP143" s="263"/>
      <c r="AQ143" s="263"/>
      <c r="AR143" s="263"/>
      <c r="AS143" s="268"/>
      <c r="AT143" s="273"/>
      <c r="AU143" s="273"/>
      <c r="AV143" s="273"/>
      <c r="AW143" s="273"/>
      <c r="AX143" s="273"/>
      <c r="AY143" s="273"/>
      <c r="AZ143" s="273"/>
      <c r="BA143" s="273"/>
      <c r="BB143" s="274"/>
      <c r="BC143" s="273"/>
      <c r="BD143" s="273"/>
      <c r="BE143" s="273"/>
      <c r="BF143" s="273"/>
      <c r="BG143" s="273"/>
      <c r="BH143" s="273"/>
      <c r="BI143" s="273"/>
      <c r="BJ143" s="263"/>
      <c r="BK143" s="268"/>
      <c r="BL143" s="273"/>
      <c r="BM143" s="273"/>
      <c r="BN143" s="273"/>
      <c r="BO143" s="273"/>
      <c r="BP143" s="273"/>
      <c r="BQ143" s="273"/>
      <c r="BR143" s="8"/>
      <c r="BS143" s="8"/>
      <c r="BT143" s="8"/>
    </row>
    <row r="144" spans="1:72" s="37" customFormat="1" ht="22.5" customHeight="1">
      <c r="A144" s="107"/>
      <c r="B144" s="1711"/>
      <c r="C144" s="1711"/>
      <c r="D144" s="1710"/>
      <c r="E144" s="108"/>
      <c r="F144" s="1710"/>
      <c r="G144" s="1710"/>
      <c r="H144" s="1710"/>
      <c r="I144" s="1710"/>
      <c r="J144" s="268"/>
      <c r="K144" s="263"/>
      <c r="L144" s="263"/>
      <c r="M144" s="263"/>
      <c r="N144" s="263"/>
      <c r="O144" s="263"/>
      <c r="P144" s="263"/>
      <c r="Q144" s="263"/>
      <c r="R144" s="262"/>
      <c r="S144" s="263"/>
      <c r="T144" s="263"/>
      <c r="U144" s="263"/>
      <c r="V144" s="263"/>
      <c r="W144" s="263"/>
      <c r="X144" s="263"/>
      <c r="Y144" s="263"/>
      <c r="Z144" s="268"/>
      <c r="AA144" s="263"/>
      <c r="AB144" s="263"/>
      <c r="AC144" s="263"/>
      <c r="AD144" s="263"/>
      <c r="AE144" s="263"/>
      <c r="AF144" s="263"/>
      <c r="AG144" s="263"/>
      <c r="AH144" s="263"/>
      <c r="AI144" s="263"/>
      <c r="AJ144" s="263"/>
      <c r="AK144" s="268"/>
      <c r="AL144" s="263"/>
      <c r="AM144" s="263"/>
      <c r="AN144" s="263"/>
      <c r="AO144" s="263"/>
      <c r="AP144" s="263"/>
      <c r="AQ144" s="263"/>
      <c r="AR144" s="263"/>
      <c r="AS144" s="268"/>
      <c r="AT144" s="273"/>
      <c r="AU144" s="273"/>
      <c r="AV144" s="273"/>
      <c r="AW144" s="273"/>
      <c r="AX144" s="273"/>
      <c r="AY144" s="273"/>
      <c r="AZ144" s="273"/>
      <c r="BA144" s="273"/>
      <c r="BB144" s="274"/>
      <c r="BC144" s="273"/>
      <c r="BD144" s="273"/>
      <c r="BE144" s="273"/>
      <c r="BF144" s="273"/>
      <c r="BG144" s="273"/>
      <c r="BH144" s="273"/>
      <c r="BI144" s="273"/>
      <c r="BJ144" s="273"/>
      <c r="BK144" s="268"/>
      <c r="BL144" s="273"/>
      <c r="BM144" s="273"/>
      <c r="BN144" s="273"/>
      <c r="BO144" s="273"/>
      <c r="BP144" s="273"/>
      <c r="BQ144" s="273"/>
      <c r="BR144" s="8"/>
      <c r="BS144" s="8"/>
      <c r="BT144" s="8"/>
    </row>
    <row r="145" spans="1:72" s="37" customFormat="1" ht="22.5" customHeight="1">
      <c r="A145" s="107"/>
      <c r="B145" s="1711"/>
      <c r="C145" s="1711"/>
      <c r="D145" s="1710"/>
      <c r="E145" s="108"/>
      <c r="F145" s="1710"/>
      <c r="G145" s="1710"/>
      <c r="H145" s="1710"/>
      <c r="I145" s="1710"/>
      <c r="J145" s="268"/>
      <c r="K145" s="263"/>
      <c r="L145" s="263"/>
      <c r="M145" s="263"/>
      <c r="N145" s="263"/>
      <c r="O145" s="263"/>
      <c r="P145" s="263"/>
      <c r="Q145" s="263"/>
      <c r="R145" s="262"/>
      <c r="S145" s="263"/>
      <c r="T145" s="263"/>
      <c r="U145" s="263"/>
      <c r="V145" s="263"/>
      <c r="W145" s="263"/>
      <c r="X145" s="263"/>
      <c r="Y145" s="263"/>
      <c r="Z145" s="268"/>
      <c r="AA145" s="263"/>
      <c r="AB145" s="263"/>
      <c r="AC145" s="263"/>
      <c r="AD145" s="263"/>
      <c r="AE145" s="263"/>
      <c r="AF145" s="263"/>
      <c r="AG145" s="263"/>
      <c r="AH145" s="263"/>
      <c r="AI145" s="263"/>
      <c r="AJ145" s="263"/>
      <c r="AK145" s="268"/>
      <c r="AL145" s="263"/>
      <c r="AM145" s="263"/>
      <c r="AN145" s="263"/>
      <c r="AO145" s="263"/>
      <c r="AP145" s="263"/>
      <c r="AQ145" s="263"/>
      <c r="AR145" s="263"/>
      <c r="AS145" s="268"/>
      <c r="AT145" s="273"/>
      <c r="AU145" s="273"/>
      <c r="AV145" s="273"/>
      <c r="AW145" s="273"/>
      <c r="AX145" s="273"/>
      <c r="AY145" s="273"/>
      <c r="AZ145" s="273"/>
      <c r="BA145" s="273"/>
      <c r="BB145" s="274"/>
      <c r="BC145" s="273"/>
      <c r="BD145" s="273"/>
      <c r="BE145" s="273"/>
      <c r="BF145" s="273"/>
      <c r="BG145" s="273"/>
      <c r="BH145" s="273"/>
      <c r="BI145" s="273"/>
      <c r="BJ145" s="273"/>
      <c r="BK145" s="274"/>
      <c r="BL145" s="273"/>
      <c r="BM145" s="273"/>
      <c r="BN145" s="273"/>
      <c r="BO145" s="273"/>
      <c r="BP145" s="273"/>
      <c r="BQ145" s="273"/>
      <c r="BR145" s="8"/>
      <c r="BS145" s="8"/>
      <c r="BT145" s="8"/>
    </row>
    <row r="146" spans="1:72" s="37" customFormat="1" ht="22.5" customHeight="1">
      <c r="A146" s="107"/>
      <c r="B146" s="1711"/>
      <c r="C146" s="1711"/>
      <c r="D146" s="1710"/>
      <c r="E146" s="108"/>
      <c r="F146" s="1710"/>
      <c r="G146" s="1710"/>
      <c r="H146" s="1710"/>
      <c r="I146" s="1710"/>
      <c r="J146" s="268"/>
      <c r="K146" s="263"/>
      <c r="L146" s="263"/>
      <c r="M146" s="263"/>
      <c r="N146" s="263"/>
      <c r="O146" s="263"/>
      <c r="P146" s="263"/>
      <c r="Q146" s="263"/>
      <c r="R146" s="262"/>
      <c r="S146" s="263"/>
      <c r="T146" s="263"/>
      <c r="U146" s="263"/>
      <c r="V146" s="263"/>
      <c r="W146" s="263"/>
      <c r="X146" s="263"/>
      <c r="Y146" s="263"/>
      <c r="Z146" s="268"/>
      <c r="AA146" s="263"/>
      <c r="AB146" s="263"/>
      <c r="AC146" s="263"/>
      <c r="AD146" s="263"/>
      <c r="AE146" s="263"/>
      <c r="AF146" s="263"/>
      <c r="AG146" s="263"/>
      <c r="AH146" s="263"/>
      <c r="AI146" s="263"/>
      <c r="AJ146" s="263"/>
      <c r="AK146" s="268"/>
      <c r="AL146" s="263"/>
      <c r="AM146" s="263"/>
      <c r="AN146" s="263"/>
      <c r="AO146" s="263"/>
      <c r="AP146" s="263"/>
      <c r="AQ146" s="263"/>
      <c r="AR146" s="263"/>
      <c r="AS146" s="268"/>
      <c r="AT146" s="273"/>
      <c r="AU146" s="273"/>
      <c r="AV146" s="273"/>
      <c r="AW146" s="273"/>
      <c r="AX146" s="273"/>
      <c r="AY146" s="273"/>
      <c r="AZ146" s="273"/>
      <c r="BA146" s="273"/>
      <c r="BB146" s="274"/>
      <c r="BC146" s="273"/>
      <c r="BD146" s="273"/>
      <c r="BE146" s="273"/>
      <c r="BF146" s="273"/>
      <c r="BG146" s="273"/>
      <c r="BH146" s="273"/>
      <c r="BI146" s="273"/>
      <c r="BJ146" s="273"/>
      <c r="BK146" s="274"/>
      <c r="BL146" s="164"/>
      <c r="BM146" s="164"/>
      <c r="BN146" s="164"/>
      <c r="BO146" s="164"/>
      <c r="BP146" s="164"/>
      <c r="BQ146" s="164"/>
      <c r="BR146" s="31"/>
      <c r="BS146" s="31"/>
      <c r="BT146" s="31"/>
    </row>
    <row r="147" spans="1:72" s="37" customFormat="1" ht="22.5" customHeight="1">
      <c r="A147" s="107"/>
      <c r="B147" s="1711"/>
      <c r="C147" s="1711"/>
      <c r="D147" s="1710"/>
      <c r="E147" s="108"/>
      <c r="F147" s="1710"/>
      <c r="G147" s="1710"/>
      <c r="H147" s="1710"/>
      <c r="I147" s="1710"/>
      <c r="J147" s="268"/>
      <c r="K147" s="263"/>
      <c r="L147" s="263"/>
      <c r="M147" s="263"/>
      <c r="N147" s="263"/>
      <c r="O147" s="263"/>
      <c r="P147" s="263"/>
      <c r="Q147" s="263"/>
      <c r="R147" s="262"/>
      <c r="S147" s="263"/>
      <c r="T147" s="263"/>
      <c r="U147" s="263"/>
      <c r="V147" s="263"/>
      <c r="W147" s="263"/>
      <c r="X147" s="263"/>
      <c r="Y147" s="263"/>
      <c r="Z147" s="268"/>
      <c r="AA147" s="263"/>
      <c r="AB147" s="263"/>
      <c r="AC147" s="263"/>
      <c r="AD147" s="263"/>
      <c r="AE147" s="263"/>
      <c r="AF147" s="263"/>
      <c r="AG147" s="263"/>
      <c r="AH147" s="263"/>
      <c r="AI147" s="263"/>
      <c r="AJ147" s="263"/>
      <c r="AK147" s="268"/>
      <c r="AL147" s="263"/>
      <c r="AM147" s="263"/>
      <c r="AN147" s="263"/>
      <c r="AO147" s="263"/>
      <c r="AP147" s="263"/>
      <c r="AQ147" s="263"/>
      <c r="AR147" s="263"/>
      <c r="AS147" s="268"/>
      <c r="AT147" s="273"/>
      <c r="AU147" s="273"/>
      <c r="AV147" s="273"/>
      <c r="AW147" s="273"/>
      <c r="AX147" s="273"/>
      <c r="AY147" s="273"/>
      <c r="AZ147" s="273"/>
      <c r="BA147" s="273"/>
      <c r="BB147" s="274"/>
      <c r="BC147" s="273"/>
      <c r="BD147" s="273"/>
      <c r="BE147" s="273"/>
      <c r="BF147" s="273"/>
      <c r="BG147" s="273"/>
      <c r="BH147" s="273"/>
      <c r="BI147" s="273"/>
      <c r="BJ147" s="273"/>
      <c r="BK147" s="274"/>
      <c r="BL147" s="164"/>
      <c r="BM147" s="164"/>
      <c r="BN147" s="164"/>
      <c r="BO147" s="164"/>
      <c r="BP147" s="164"/>
      <c r="BQ147" s="164"/>
      <c r="BR147" s="31"/>
      <c r="BS147" s="31"/>
      <c r="BT147" s="31"/>
    </row>
    <row r="148" spans="1:72" s="37" customFormat="1" ht="22.5" customHeight="1">
      <c r="A148" s="107"/>
      <c r="B148" s="1711"/>
      <c r="C148" s="1711"/>
      <c r="D148" s="1710"/>
      <c r="E148" s="108"/>
      <c r="F148" s="1710"/>
      <c r="G148" s="1710"/>
      <c r="H148" s="1710"/>
      <c r="I148" s="1710"/>
      <c r="J148" s="268"/>
      <c r="K148" s="263"/>
      <c r="L148" s="263"/>
      <c r="M148" s="263"/>
      <c r="N148" s="263"/>
      <c r="O148" s="263"/>
      <c r="P148" s="263"/>
      <c r="Q148" s="263"/>
      <c r="R148" s="262"/>
      <c r="S148" s="263"/>
      <c r="T148" s="263"/>
      <c r="U148" s="263"/>
      <c r="V148" s="263"/>
      <c r="W148" s="263"/>
      <c r="X148" s="263"/>
      <c r="Y148" s="263"/>
      <c r="Z148" s="268"/>
      <c r="AA148" s="263"/>
      <c r="AB148" s="263"/>
      <c r="AC148" s="263"/>
      <c r="AD148" s="263"/>
      <c r="AE148" s="263"/>
      <c r="AF148" s="263"/>
      <c r="AG148" s="263"/>
      <c r="AH148" s="263"/>
      <c r="AI148" s="263"/>
      <c r="AJ148" s="263"/>
      <c r="AK148" s="268"/>
      <c r="AL148" s="263"/>
      <c r="AM148" s="263"/>
      <c r="AN148" s="263"/>
      <c r="AO148" s="263"/>
      <c r="AP148" s="263"/>
      <c r="AQ148" s="263"/>
      <c r="AR148" s="263"/>
      <c r="AS148" s="268"/>
      <c r="AT148" s="273"/>
      <c r="AU148" s="273"/>
      <c r="AV148" s="273"/>
      <c r="AW148" s="273"/>
      <c r="AX148" s="273"/>
      <c r="AY148" s="273"/>
      <c r="AZ148" s="273"/>
      <c r="BA148" s="273"/>
      <c r="BB148" s="274"/>
      <c r="BC148" s="273"/>
      <c r="BD148" s="273"/>
      <c r="BE148" s="273"/>
      <c r="BF148" s="273"/>
      <c r="BG148" s="273"/>
      <c r="BH148" s="273"/>
      <c r="BI148" s="273"/>
      <c r="BJ148" s="273"/>
      <c r="BK148" s="274"/>
      <c r="BL148" s="164"/>
      <c r="BM148" s="164"/>
      <c r="BN148" s="164"/>
      <c r="BO148" s="164"/>
      <c r="BP148" s="164"/>
      <c r="BQ148" s="164"/>
      <c r="BR148" s="31"/>
      <c r="BS148" s="31"/>
      <c r="BT148" s="31"/>
    </row>
    <row r="149" spans="1:72" s="37" customFormat="1" ht="22.5" customHeight="1">
      <c r="A149" s="107"/>
      <c r="B149" s="1711"/>
      <c r="C149" s="1711"/>
      <c r="D149" s="1710"/>
      <c r="E149" s="108"/>
      <c r="F149" s="1710"/>
      <c r="G149" s="1710"/>
      <c r="H149" s="1710"/>
      <c r="I149" s="1710"/>
      <c r="J149" s="268"/>
      <c r="K149" s="263"/>
      <c r="L149" s="263"/>
      <c r="M149" s="263"/>
      <c r="N149" s="263"/>
      <c r="O149" s="263"/>
      <c r="P149" s="263"/>
      <c r="Q149" s="263"/>
      <c r="R149" s="262"/>
      <c r="S149" s="263"/>
      <c r="T149" s="263"/>
      <c r="U149" s="263"/>
      <c r="V149" s="263"/>
      <c r="W149" s="263"/>
      <c r="X149" s="263"/>
      <c r="Y149" s="263"/>
      <c r="Z149" s="268"/>
      <c r="AA149" s="263"/>
      <c r="AB149" s="263"/>
      <c r="AC149" s="263"/>
      <c r="AD149" s="263"/>
      <c r="AE149" s="263"/>
      <c r="AF149" s="263"/>
      <c r="AG149" s="263"/>
      <c r="AH149" s="263"/>
      <c r="AI149" s="263"/>
      <c r="AJ149" s="263"/>
      <c r="AK149" s="268"/>
      <c r="AL149" s="263"/>
      <c r="AM149" s="263"/>
      <c r="AN149" s="263"/>
      <c r="AO149" s="263"/>
      <c r="AP149" s="263"/>
      <c r="AQ149" s="263"/>
      <c r="AR149" s="263"/>
      <c r="AS149" s="268"/>
      <c r="AT149" s="273"/>
      <c r="AU149" s="273"/>
      <c r="AV149" s="273"/>
      <c r="AW149" s="273"/>
      <c r="AX149" s="273"/>
      <c r="AY149" s="273"/>
      <c r="AZ149" s="273"/>
      <c r="BA149" s="273"/>
      <c r="BB149" s="274"/>
      <c r="BC149" s="273"/>
      <c r="BD149" s="273"/>
      <c r="BE149" s="273"/>
      <c r="BF149" s="273"/>
      <c r="BG149" s="273"/>
      <c r="BH149" s="273"/>
      <c r="BI149" s="273"/>
      <c r="BJ149" s="273"/>
      <c r="BK149" s="274"/>
      <c r="BL149" s="164"/>
      <c r="BM149" s="164"/>
      <c r="BN149" s="164"/>
      <c r="BO149" s="164"/>
      <c r="BP149" s="164"/>
      <c r="BQ149" s="164"/>
      <c r="BR149" s="31"/>
      <c r="BS149" s="31"/>
      <c r="BT149" s="31"/>
    </row>
    <row r="150" spans="1:72" s="37" customFormat="1" ht="22.5" customHeight="1">
      <c r="A150" s="107"/>
      <c r="B150" s="1711"/>
      <c r="C150" s="1711"/>
      <c r="D150" s="1710"/>
      <c r="E150" s="108"/>
      <c r="F150" s="1710"/>
      <c r="G150" s="1710"/>
      <c r="H150" s="1710"/>
      <c r="I150" s="1710"/>
      <c r="J150" s="268"/>
      <c r="K150" s="263"/>
      <c r="L150" s="263"/>
      <c r="M150" s="263"/>
      <c r="N150" s="263"/>
      <c r="O150" s="263"/>
      <c r="P150" s="263"/>
      <c r="Q150" s="263"/>
      <c r="R150" s="262"/>
      <c r="S150" s="263"/>
      <c r="T150" s="263"/>
      <c r="U150" s="263"/>
      <c r="V150" s="263"/>
      <c r="W150" s="263"/>
      <c r="X150" s="263"/>
      <c r="Y150" s="263"/>
      <c r="Z150" s="268"/>
      <c r="AA150" s="263"/>
      <c r="AB150" s="263"/>
      <c r="AC150" s="263"/>
      <c r="AD150" s="263"/>
      <c r="AE150" s="263"/>
      <c r="AF150" s="263"/>
      <c r="AG150" s="263"/>
      <c r="AH150" s="263"/>
      <c r="AI150" s="263"/>
      <c r="AJ150" s="263"/>
      <c r="AK150" s="268"/>
      <c r="AL150" s="263"/>
      <c r="AM150" s="263"/>
      <c r="AN150" s="263"/>
      <c r="AO150" s="263"/>
      <c r="AP150" s="263"/>
      <c r="AQ150" s="263"/>
      <c r="AR150" s="263"/>
      <c r="AS150" s="268"/>
      <c r="AT150" s="273"/>
      <c r="AU150" s="273"/>
      <c r="AV150" s="273"/>
      <c r="AW150" s="273"/>
      <c r="AX150" s="273"/>
      <c r="AY150" s="273"/>
      <c r="AZ150" s="273"/>
      <c r="BA150" s="273"/>
      <c r="BB150" s="274"/>
      <c r="BC150" s="273"/>
      <c r="BD150" s="273"/>
      <c r="BE150" s="273"/>
      <c r="BF150" s="273"/>
      <c r="BG150" s="273"/>
      <c r="BH150" s="273"/>
      <c r="BI150" s="273"/>
      <c r="BJ150" s="273"/>
      <c r="BK150" s="274"/>
      <c r="BL150" s="223"/>
      <c r="BM150" s="223"/>
      <c r="BN150" s="223"/>
      <c r="BO150" s="223"/>
      <c r="BP150" s="223"/>
      <c r="BQ150" s="223"/>
      <c r="BR150" s="31"/>
      <c r="BS150" s="31"/>
      <c r="BT150" s="31"/>
    </row>
    <row r="151" spans="1:72" s="82" customFormat="1" ht="22.5" customHeight="1">
      <c r="A151" s="155"/>
      <c r="B151" s="1711"/>
      <c r="C151" s="151"/>
      <c r="D151" s="153"/>
      <c r="E151" s="154"/>
      <c r="F151" s="153"/>
      <c r="G151" s="153"/>
      <c r="H151" s="1710"/>
      <c r="I151" s="153"/>
      <c r="J151" s="274"/>
      <c r="K151" s="273"/>
      <c r="L151" s="273"/>
      <c r="M151" s="273"/>
      <c r="N151" s="273"/>
      <c r="O151" s="273"/>
      <c r="P151" s="273"/>
      <c r="Q151" s="273"/>
      <c r="R151" s="262"/>
      <c r="S151" s="273"/>
      <c r="T151" s="273"/>
      <c r="U151" s="273"/>
      <c r="V151" s="273"/>
      <c r="W151" s="263"/>
      <c r="X151" s="273"/>
      <c r="Y151" s="273"/>
      <c r="Z151" s="274"/>
      <c r="AA151" s="273"/>
      <c r="AB151" s="273"/>
      <c r="AC151" s="273"/>
      <c r="AD151" s="273"/>
      <c r="AE151" s="273"/>
      <c r="AF151" s="273"/>
      <c r="AG151" s="273"/>
      <c r="AH151" s="273"/>
      <c r="AI151" s="273"/>
      <c r="AJ151" s="273"/>
      <c r="AK151" s="274"/>
      <c r="AL151" s="273"/>
      <c r="AM151" s="273"/>
      <c r="AN151" s="273"/>
      <c r="AO151" s="273"/>
      <c r="AP151" s="273"/>
      <c r="AQ151" s="273"/>
      <c r="AR151" s="273"/>
      <c r="AS151" s="274"/>
      <c r="AT151" s="273"/>
      <c r="AU151" s="273"/>
      <c r="AV151" s="273"/>
      <c r="AW151" s="273"/>
      <c r="AX151" s="273"/>
      <c r="AY151" s="273"/>
      <c r="AZ151" s="273"/>
      <c r="BA151" s="273"/>
      <c r="BB151" s="274"/>
      <c r="BC151" s="273"/>
      <c r="BD151" s="273"/>
      <c r="BE151" s="273"/>
      <c r="BF151" s="273"/>
      <c r="BG151" s="273"/>
      <c r="BH151" s="273"/>
      <c r="BI151" s="273"/>
      <c r="BJ151" s="273"/>
      <c r="BK151" s="274"/>
      <c r="BL151" s="223"/>
      <c r="BM151" s="223"/>
      <c r="BN151" s="223"/>
      <c r="BO151" s="223"/>
      <c r="BP151" s="223"/>
      <c r="BQ151" s="223"/>
      <c r="BR151" s="31"/>
      <c r="BS151" s="31"/>
      <c r="BT151" s="31"/>
    </row>
    <row r="152" spans="1:72" s="82" customFormat="1" ht="22.5" customHeight="1">
      <c r="A152" s="155"/>
      <c r="B152" s="1711"/>
      <c r="C152" s="151"/>
      <c r="D152" s="153"/>
      <c r="E152" s="154"/>
      <c r="F152" s="153"/>
      <c r="G152" s="153"/>
      <c r="H152" s="1710"/>
      <c r="I152" s="153"/>
      <c r="J152" s="274"/>
      <c r="K152" s="273"/>
      <c r="L152" s="273"/>
      <c r="M152" s="273"/>
      <c r="N152" s="273"/>
      <c r="O152" s="273"/>
      <c r="P152" s="273"/>
      <c r="Q152" s="273"/>
      <c r="R152" s="262"/>
      <c r="S152" s="273"/>
      <c r="T152" s="273"/>
      <c r="U152" s="273"/>
      <c r="V152" s="273"/>
      <c r="W152" s="263"/>
      <c r="X152" s="273"/>
      <c r="Y152" s="273"/>
      <c r="Z152" s="274"/>
      <c r="AA152" s="273"/>
      <c r="AB152" s="273"/>
      <c r="AC152" s="273"/>
      <c r="AD152" s="273"/>
      <c r="AE152" s="273"/>
      <c r="AF152" s="273"/>
      <c r="AG152" s="273"/>
      <c r="AH152" s="273"/>
      <c r="AI152" s="273"/>
      <c r="AJ152" s="273"/>
      <c r="AK152" s="274"/>
      <c r="AL152" s="273"/>
      <c r="AM152" s="273"/>
      <c r="AN152" s="273"/>
      <c r="AO152" s="273"/>
      <c r="AP152" s="273"/>
      <c r="AQ152" s="273"/>
      <c r="AR152" s="273"/>
      <c r="AS152" s="274"/>
      <c r="AT152" s="273"/>
      <c r="AU152" s="273"/>
      <c r="AV152" s="273"/>
      <c r="AW152" s="273"/>
      <c r="AX152" s="273"/>
      <c r="AY152" s="273"/>
      <c r="AZ152" s="273"/>
      <c r="BA152" s="275"/>
      <c r="BB152" s="274"/>
      <c r="BC152" s="275"/>
      <c r="BD152" s="275"/>
      <c r="BE152" s="275"/>
      <c r="BF152" s="275"/>
      <c r="BG152" s="275"/>
      <c r="BH152" s="275"/>
      <c r="BI152" s="275"/>
      <c r="BJ152" s="273"/>
      <c r="BK152" s="274"/>
      <c r="BL152" s="223"/>
      <c r="BM152" s="223"/>
      <c r="BN152" s="223"/>
      <c r="BO152" s="223"/>
      <c r="BP152" s="223"/>
      <c r="BQ152" s="223"/>
      <c r="BR152" s="31"/>
      <c r="BS152" s="31"/>
      <c r="BT152" s="31"/>
    </row>
    <row r="153" spans="1:72" s="82" customFormat="1" ht="22.5" customHeight="1">
      <c r="A153" s="155"/>
      <c r="B153" s="1711"/>
      <c r="C153" s="151"/>
      <c r="D153" s="153"/>
      <c r="E153" s="154"/>
      <c r="F153" s="153"/>
      <c r="G153" s="153"/>
      <c r="H153" s="1710"/>
      <c r="I153" s="153"/>
      <c r="J153" s="274"/>
      <c r="K153" s="273"/>
      <c r="L153" s="273"/>
      <c r="M153" s="273"/>
      <c r="N153" s="273"/>
      <c r="O153" s="273"/>
      <c r="P153" s="273"/>
      <c r="Q153" s="273"/>
      <c r="R153" s="262"/>
      <c r="S153" s="273"/>
      <c r="T153" s="273"/>
      <c r="U153" s="273"/>
      <c r="V153" s="273"/>
      <c r="W153" s="263"/>
      <c r="X153" s="273"/>
      <c r="Y153" s="273"/>
      <c r="Z153" s="274"/>
      <c r="AA153" s="273"/>
      <c r="AB153" s="273"/>
      <c r="AC153" s="273"/>
      <c r="AD153" s="273"/>
      <c r="AE153" s="273"/>
      <c r="AF153" s="273"/>
      <c r="AG153" s="273"/>
      <c r="AH153" s="273"/>
      <c r="AI153" s="273"/>
      <c r="AJ153" s="273"/>
      <c r="AK153" s="274"/>
      <c r="AL153" s="273"/>
      <c r="AM153" s="273"/>
      <c r="AN153" s="273"/>
      <c r="AO153" s="273"/>
      <c r="AP153" s="273"/>
      <c r="AQ153" s="273"/>
      <c r="AR153" s="273"/>
      <c r="AS153" s="274"/>
      <c r="AT153" s="273"/>
      <c r="AU153" s="273"/>
      <c r="AV153" s="273"/>
      <c r="AW153" s="273"/>
      <c r="AX153" s="273"/>
      <c r="AY153" s="273"/>
      <c r="AZ153" s="273"/>
      <c r="BA153" s="273"/>
      <c r="BB153" s="276"/>
      <c r="BC153" s="273"/>
      <c r="BD153" s="273"/>
      <c r="BE153" s="273"/>
      <c r="BF153" s="273"/>
      <c r="BG153" s="273"/>
      <c r="BH153" s="273"/>
      <c r="BI153" s="273"/>
      <c r="BJ153" s="273"/>
      <c r="BK153" s="274"/>
      <c r="BL153" s="223"/>
      <c r="BM153" s="223"/>
      <c r="BN153" s="223"/>
      <c r="BO153" s="223"/>
      <c r="BP153" s="223"/>
      <c r="BQ153" s="223"/>
      <c r="BR153" s="31"/>
      <c r="BS153" s="31"/>
      <c r="BT153" s="31"/>
    </row>
    <row r="154" spans="1:72" s="82" customFormat="1" ht="22.5" customHeight="1">
      <c r="A154" s="155"/>
      <c r="B154" s="1711"/>
      <c r="C154" s="151"/>
      <c r="D154" s="153"/>
      <c r="E154" s="154"/>
      <c r="F154" s="153"/>
      <c r="G154" s="153"/>
      <c r="H154" s="1710"/>
      <c r="I154" s="153"/>
      <c r="J154" s="274"/>
      <c r="K154" s="273"/>
      <c r="L154" s="273"/>
      <c r="M154" s="273"/>
      <c r="N154" s="273"/>
      <c r="O154" s="273"/>
      <c r="P154" s="273"/>
      <c r="Q154" s="273"/>
      <c r="R154" s="262"/>
      <c r="S154" s="273"/>
      <c r="T154" s="273"/>
      <c r="U154" s="273"/>
      <c r="V154" s="273"/>
      <c r="W154" s="263"/>
      <c r="X154" s="273"/>
      <c r="Y154" s="273"/>
      <c r="Z154" s="274"/>
      <c r="AA154" s="273"/>
      <c r="AB154" s="273"/>
      <c r="AC154" s="273"/>
      <c r="AD154" s="273"/>
      <c r="AE154" s="273"/>
      <c r="AF154" s="273"/>
      <c r="AG154" s="273"/>
      <c r="AH154" s="273"/>
      <c r="AI154" s="273"/>
      <c r="AJ154" s="273"/>
      <c r="AK154" s="274"/>
      <c r="AL154" s="273"/>
      <c r="AM154" s="273"/>
      <c r="AN154" s="273"/>
      <c r="AO154" s="273"/>
      <c r="AP154" s="273"/>
      <c r="AQ154" s="273"/>
      <c r="AR154" s="273"/>
      <c r="AS154" s="274"/>
      <c r="AT154" s="275"/>
      <c r="AU154" s="275"/>
      <c r="AV154" s="275"/>
      <c r="AW154" s="275"/>
      <c r="AX154" s="275"/>
      <c r="AY154" s="275"/>
      <c r="AZ154" s="275"/>
      <c r="BA154" s="275"/>
      <c r="BB154" s="274"/>
      <c r="BC154" s="275"/>
      <c r="BD154" s="275"/>
      <c r="BE154" s="275"/>
      <c r="BF154" s="275"/>
      <c r="BG154" s="275"/>
      <c r="BH154" s="275"/>
      <c r="BI154" s="275"/>
      <c r="BJ154" s="273"/>
      <c r="BK154" s="274"/>
      <c r="BL154" s="223"/>
      <c r="BM154" s="223"/>
      <c r="BN154" s="223"/>
      <c r="BO154" s="223"/>
      <c r="BP154" s="223"/>
      <c r="BQ154" s="223"/>
      <c r="BR154" s="31"/>
      <c r="BS154" s="31"/>
      <c r="BT154" s="31"/>
    </row>
    <row r="155" spans="1:72" s="82" customFormat="1" ht="22.5" customHeight="1">
      <c r="A155" s="155"/>
      <c r="B155" s="1711"/>
      <c r="C155" s="151"/>
      <c r="D155" s="153"/>
      <c r="E155" s="154"/>
      <c r="F155" s="153"/>
      <c r="G155" s="153"/>
      <c r="H155" s="1710"/>
      <c r="I155" s="153"/>
      <c r="J155" s="274"/>
      <c r="K155" s="273"/>
      <c r="L155" s="273"/>
      <c r="M155" s="273"/>
      <c r="N155" s="273"/>
      <c r="O155" s="273"/>
      <c r="P155" s="273"/>
      <c r="Q155" s="273"/>
      <c r="R155" s="262"/>
      <c r="S155" s="273"/>
      <c r="T155" s="273"/>
      <c r="U155" s="273"/>
      <c r="V155" s="273"/>
      <c r="W155" s="263"/>
      <c r="X155" s="273"/>
      <c r="Y155" s="273"/>
      <c r="Z155" s="274"/>
      <c r="AA155" s="273"/>
      <c r="AB155" s="273"/>
      <c r="AC155" s="273"/>
      <c r="AD155" s="273"/>
      <c r="AE155" s="273"/>
      <c r="AF155" s="273"/>
      <c r="AG155" s="273"/>
      <c r="AH155" s="273"/>
      <c r="AI155" s="273"/>
      <c r="AJ155" s="273"/>
      <c r="AK155" s="274"/>
      <c r="AL155" s="273"/>
      <c r="AM155" s="273"/>
      <c r="AN155" s="273"/>
      <c r="AO155" s="273"/>
      <c r="AP155" s="273"/>
      <c r="AQ155" s="273"/>
      <c r="AR155" s="273"/>
      <c r="AS155" s="274"/>
      <c r="AT155" s="273"/>
      <c r="AU155" s="273"/>
      <c r="AV155" s="273"/>
      <c r="AW155" s="273"/>
      <c r="AX155" s="273"/>
      <c r="AY155" s="273"/>
      <c r="AZ155" s="273"/>
      <c r="BA155" s="273"/>
      <c r="BB155" s="276"/>
      <c r="BC155" s="273"/>
      <c r="BD155" s="273"/>
      <c r="BE155" s="273"/>
      <c r="BF155" s="273"/>
      <c r="BG155" s="273"/>
      <c r="BH155" s="273"/>
      <c r="BI155" s="273"/>
      <c r="BJ155" s="275"/>
      <c r="BK155" s="274"/>
      <c r="BL155" s="223"/>
      <c r="BM155" s="223"/>
      <c r="BN155" s="223"/>
      <c r="BO155" s="223"/>
      <c r="BP155" s="223"/>
      <c r="BQ155" s="223"/>
      <c r="BR155" s="31"/>
      <c r="BS155" s="31"/>
      <c r="BT155" s="31"/>
    </row>
    <row r="156" spans="1:72" s="82" customFormat="1" ht="22.5" customHeight="1">
      <c r="A156" s="155"/>
      <c r="B156" s="37"/>
      <c r="H156" s="37"/>
      <c r="J156" s="274"/>
      <c r="K156" s="273"/>
      <c r="L156" s="273"/>
      <c r="M156" s="273"/>
      <c r="N156" s="273"/>
      <c r="O156" s="273"/>
      <c r="P156" s="273"/>
      <c r="Q156" s="273"/>
      <c r="R156" s="262"/>
      <c r="S156" s="273"/>
      <c r="T156" s="273"/>
      <c r="U156" s="273"/>
      <c r="V156" s="273"/>
      <c r="W156" s="263"/>
      <c r="X156" s="273"/>
      <c r="Y156" s="273"/>
      <c r="Z156" s="274"/>
      <c r="AA156" s="273"/>
      <c r="AB156" s="273"/>
      <c r="AC156" s="273"/>
      <c r="AD156" s="273"/>
      <c r="AE156" s="273"/>
      <c r="AF156" s="273"/>
      <c r="AG156" s="273"/>
      <c r="AH156" s="273"/>
      <c r="AI156" s="273"/>
      <c r="AJ156" s="273"/>
      <c r="AK156" s="274"/>
      <c r="AL156" s="273"/>
      <c r="AM156" s="273"/>
      <c r="AN156" s="273"/>
      <c r="AO156" s="273"/>
      <c r="AP156" s="273"/>
      <c r="AQ156" s="273"/>
      <c r="AR156" s="273"/>
      <c r="AS156" s="274"/>
      <c r="AT156" s="275"/>
      <c r="AU156" s="275"/>
      <c r="AV156" s="275"/>
      <c r="AW156" s="275"/>
      <c r="AX156" s="275"/>
      <c r="AY156" s="275"/>
      <c r="AZ156" s="275"/>
      <c r="BA156" s="273"/>
      <c r="BB156" s="274"/>
      <c r="BC156" s="273"/>
      <c r="BD156" s="273"/>
      <c r="BE156" s="273"/>
      <c r="BF156" s="273"/>
      <c r="BG156" s="273"/>
      <c r="BH156" s="273"/>
      <c r="BI156" s="273"/>
      <c r="BJ156" s="273"/>
      <c r="BK156" s="276"/>
      <c r="BL156" s="223"/>
      <c r="BM156" s="223"/>
      <c r="BN156" s="223"/>
      <c r="BO156" s="223"/>
      <c r="BP156" s="223"/>
      <c r="BQ156" s="223"/>
      <c r="BR156" s="31"/>
      <c r="BS156" s="31"/>
      <c r="BT156" s="31"/>
    </row>
    <row r="157" spans="1:72" s="82" customFormat="1" ht="22.5" customHeight="1">
      <c r="B157" s="37"/>
      <c r="H157" s="37"/>
      <c r="J157" s="274"/>
      <c r="K157" s="273"/>
      <c r="L157" s="273"/>
      <c r="M157" s="273"/>
      <c r="N157" s="273"/>
      <c r="O157" s="273"/>
      <c r="P157" s="273"/>
      <c r="Q157" s="273"/>
      <c r="R157" s="262"/>
      <c r="S157" s="273"/>
      <c r="T157" s="273"/>
      <c r="U157" s="273"/>
      <c r="V157" s="273"/>
      <c r="W157" s="263"/>
      <c r="X157" s="273"/>
      <c r="Y157" s="273"/>
      <c r="Z157" s="274"/>
      <c r="AA157" s="273"/>
      <c r="AB157" s="273"/>
      <c r="AC157" s="273"/>
      <c r="AD157" s="273"/>
      <c r="AE157" s="273"/>
      <c r="AF157" s="273"/>
      <c r="AG157" s="273"/>
      <c r="AH157" s="273"/>
      <c r="AI157" s="273"/>
      <c r="AJ157" s="273"/>
      <c r="AK157" s="274"/>
      <c r="AL157" s="273"/>
      <c r="AM157" s="273"/>
      <c r="AN157" s="273"/>
      <c r="AO157" s="273"/>
      <c r="AP157" s="273"/>
      <c r="AQ157" s="273"/>
      <c r="AR157" s="273"/>
      <c r="AS157" s="274"/>
      <c r="AT157" s="273"/>
      <c r="AU157" s="273"/>
      <c r="AV157" s="273"/>
      <c r="AW157" s="273"/>
      <c r="AX157" s="273"/>
      <c r="AY157" s="273"/>
      <c r="AZ157" s="273"/>
      <c r="BA157" s="273"/>
      <c r="BB157" s="274"/>
      <c r="BC157" s="273"/>
      <c r="BD157" s="273"/>
      <c r="BE157" s="273"/>
      <c r="BF157" s="273"/>
      <c r="BG157" s="273"/>
      <c r="BH157" s="273"/>
      <c r="BI157" s="273"/>
      <c r="BJ157" s="275"/>
      <c r="BK157" s="274"/>
      <c r="BL157" s="223"/>
      <c r="BM157" s="223"/>
      <c r="BN157" s="223"/>
      <c r="BO157" s="223"/>
      <c r="BP157" s="223"/>
      <c r="BQ157" s="223"/>
      <c r="BR157" s="13"/>
      <c r="BS157" s="13"/>
      <c r="BT157" s="13"/>
    </row>
    <row r="158" spans="1:72" s="82" customFormat="1" ht="22.5" customHeight="1">
      <c r="A158" s="155"/>
      <c r="B158" s="37"/>
      <c r="H158" s="37"/>
      <c r="J158" s="274"/>
      <c r="K158" s="273"/>
      <c r="L158" s="273"/>
      <c r="M158" s="273"/>
      <c r="N158" s="273"/>
      <c r="O158" s="273"/>
      <c r="P158" s="273"/>
      <c r="Q158" s="273"/>
      <c r="R158" s="262"/>
      <c r="S158" s="273"/>
      <c r="T158" s="273"/>
      <c r="U158" s="273"/>
      <c r="V158" s="273"/>
      <c r="W158" s="263"/>
      <c r="X158" s="273"/>
      <c r="Y158" s="273"/>
      <c r="Z158" s="274"/>
      <c r="AA158" s="273"/>
      <c r="AB158" s="273"/>
      <c r="AC158" s="273"/>
      <c r="AD158" s="273"/>
      <c r="AE158" s="273"/>
      <c r="AF158" s="273"/>
      <c r="AG158" s="273"/>
      <c r="AH158" s="273"/>
      <c r="AI158" s="273"/>
      <c r="AJ158" s="273"/>
      <c r="AK158" s="274"/>
      <c r="AL158" s="273"/>
      <c r="AM158" s="273"/>
      <c r="AN158" s="273"/>
      <c r="AO158" s="273"/>
      <c r="AP158" s="273"/>
      <c r="AQ158" s="273"/>
      <c r="AR158" s="273"/>
      <c r="AS158" s="274"/>
      <c r="AT158" s="273"/>
      <c r="AU158" s="273"/>
      <c r="AV158" s="273"/>
      <c r="AW158" s="273"/>
      <c r="AX158" s="273"/>
      <c r="AY158" s="273"/>
      <c r="AZ158" s="273"/>
      <c r="BA158" s="273"/>
      <c r="BB158" s="274"/>
      <c r="BC158" s="273"/>
      <c r="BD158" s="273"/>
      <c r="BE158" s="273"/>
      <c r="BF158" s="273"/>
      <c r="BG158" s="273"/>
      <c r="BH158" s="273"/>
      <c r="BI158" s="273"/>
      <c r="BJ158" s="273"/>
      <c r="BK158" s="276"/>
      <c r="BL158" s="223"/>
      <c r="BM158" s="223"/>
      <c r="BN158" s="223"/>
      <c r="BO158" s="223"/>
      <c r="BP158" s="223"/>
      <c r="BQ158" s="223"/>
      <c r="BR158" s="13"/>
      <c r="BS158" s="13"/>
      <c r="BT158" s="13"/>
    </row>
    <row r="159" spans="1:72" s="82" customFormat="1" ht="22.5" customHeight="1">
      <c r="A159" s="155"/>
      <c r="B159" s="37"/>
      <c r="H159" s="37"/>
      <c r="J159" s="274"/>
      <c r="K159" s="273"/>
      <c r="L159" s="273"/>
      <c r="M159" s="273"/>
      <c r="N159" s="273"/>
      <c r="O159" s="273"/>
      <c r="P159" s="273"/>
      <c r="Q159" s="273"/>
      <c r="R159" s="262"/>
      <c r="S159" s="273"/>
      <c r="T159" s="273"/>
      <c r="U159" s="273"/>
      <c r="V159" s="273"/>
      <c r="W159" s="263"/>
      <c r="X159" s="273"/>
      <c r="Y159" s="273"/>
      <c r="Z159" s="274"/>
      <c r="AA159" s="273"/>
      <c r="AB159" s="273"/>
      <c r="AC159" s="273"/>
      <c r="AD159" s="273"/>
      <c r="AE159" s="273"/>
      <c r="AF159" s="273"/>
      <c r="AG159" s="273"/>
      <c r="AH159" s="273"/>
      <c r="AI159" s="273"/>
      <c r="AJ159" s="273"/>
      <c r="AK159" s="274"/>
      <c r="AL159" s="273"/>
      <c r="AM159" s="273"/>
      <c r="AN159" s="273"/>
      <c r="AO159" s="273"/>
      <c r="AP159" s="273"/>
      <c r="AQ159" s="273"/>
      <c r="AR159" s="273"/>
      <c r="AS159" s="274"/>
      <c r="AT159" s="273"/>
      <c r="AU159" s="273"/>
      <c r="AV159" s="273"/>
      <c r="AW159" s="273"/>
      <c r="AX159" s="273"/>
      <c r="AY159" s="273"/>
      <c r="AZ159" s="273"/>
      <c r="BA159" s="164"/>
      <c r="BB159" s="274"/>
      <c r="BC159" s="164"/>
      <c r="BD159" s="164"/>
      <c r="BE159" s="164"/>
      <c r="BF159" s="164"/>
      <c r="BG159" s="164"/>
      <c r="BH159" s="164"/>
      <c r="BI159" s="164"/>
      <c r="BJ159" s="273"/>
      <c r="BK159" s="274"/>
      <c r="BL159" s="223"/>
      <c r="BM159" s="223"/>
      <c r="BN159" s="223"/>
      <c r="BO159" s="223"/>
      <c r="BP159" s="223"/>
      <c r="BQ159" s="223"/>
      <c r="BR159" s="13"/>
      <c r="BS159" s="13"/>
      <c r="BT159" s="13"/>
    </row>
    <row r="160" spans="1:72" s="82" customFormat="1" ht="22.5" customHeight="1">
      <c r="A160" s="156"/>
      <c r="B160" s="37"/>
      <c r="H160" s="37"/>
      <c r="J160" s="274"/>
      <c r="K160" s="273"/>
      <c r="L160" s="273"/>
      <c r="M160" s="273"/>
      <c r="N160" s="273"/>
      <c r="O160" s="273"/>
      <c r="P160" s="273"/>
      <c r="Q160" s="273"/>
      <c r="R160" s="262"/>
      <c r="S160" s="273"/>
      <c r="T160" s="273"/>
      <c r="U160" s="273"/>
      <c r="V160" s="273"/>
      <c r="W160" s="263"/>
      <c r="X160" s="273"/>
      <c r="Y160" s="273"/>
      <c r="Z160" s="274"/>
      <c r="AA160" s="273"/>
      <c r="AB160" s="273"/>
      <c r="AC160" s="273"/>
      <c r="AD160" s="273"/>
      <c r="AE160" s="273"/>
      <c r="AF160" s="273"/>
      <c r="AG160" s="273"/>
      <c r="AH160" s="273"/>
      <c r="AI160" s="273"/>
      <c r="AJ160" s="273"/>
      <c r="AK160" s="274"/>
      <c r="AL160" s="273"/>
      <c r="AM160" s="273"/>
      <c r="AN160" s="273"/>
      <c r="AO160" s="273"/>
      <c r="AP160" s="273"/>
      <c r="AQ160" s="273"/>
      <c r="AR160" s="273"/>
      <c r="AS160" s="274"/>
      <c r="AT160" s="273"/>
      <c r="AU160" s="273"/>
      <c r="AV160" s="273"/>
      <c r="AW160" s="273"/>
      <c r="AX160" s="273"/>
      <c r="AY160" s="273"/>
      <c r="AZ160" s="273"/>
      <c r="BA160" s="164"/>
      <c r="BB160" s="264"/>
      <c r="BC160" s="164"/>
      <c r="BD160" s="164"/>
      <c r="BE160" s="164"/>
      <c r="BF160" s="164"/>
      <c r="BG160" s="164"/>
      <c r="BH160" s="164"/>
      <c r="BI160" s="164"/>
      <c r="BJ160" s="273"/>
      <c r="BK160" s="274"/>
      <c r="BL160" s="223"/>
      <c r="BM160" s="223"/>
      <c r="BN160" s="223"/>
      <c r="BO160" s="223"/>
      <c r="BP160" s="223"/>
      <c r="BQ160" s="223"/>
      <c r="BR160" s="37"/>
      <c r="BS160" s="37"/>
      <c r="BT160" s="37"/>
    </row>
    <row r="161" spans="1:72" s="82" customFormat="1" ht="22.5" customHeight="1">
      <c r="A161" s="156"/>
      <c r="B161" s="37"/>
      <c r="H161" s="37"/>
      <c r="J161" s="274"/>
      <c r="K161" s="273"/>
      <c r="L161" s="273"/>
      <c r="M161" s="273"/>
      <c r="N161" s="273"/>
      <c r="O161" s="273"/>
      <c r="P161" s="273"/>
      <c r="Q161" s="273"/>
      <c r="R161" s="262"/>
      <c r="S161" s="273"/>
      <c r="T161" s="273"/>
      <c r="U161" s="273"/>
      <c r="V161" s="273"/>
      <c r="W161" s="263"/>
      <c r="X161" s="273"/>
      <c r="Y161" s="273"/>
      <c r="Z161" s="274"/>
      <c r="AA161" s="273"/>
      <c r="AB161" s="273"/>
      <c r="AC161" s="273"/>
      <c r="AD161" s="273"/>
      <c r="AE161" s="273"/>
      <c r="AF161" s="273"/>
      <c r="AG161" s="273"/>
      <c r="AH161" s="273"/>
      <c r="AI161" s="273"/>
      <c r="AJ161" s="273"/>
      <c r="AK161" s="274"/>
      <c r="AL161" s="273"/>
      <c r="AM161" s="273"/>
      <c r="AN161" s="273"/>
      <c r="AO161" s="273"/>
      <c r="AP161" s="273"/>
      <c r="AQ161" s="273"/>
      <c r="AR161" s="273"/>
      <c r="AS161" s="274"/>
      <c r="AT161" s="164"/>
      <c r="AU161" s="164"/>
      <c r="AV161" s="164"/>
      <c r="AW161" s="164"/>
      <c r="AX161" s="164"/>
      <c r="AY161" s="164"/>
      <c r="AZ161" s="164"/>
      <c r="BA161" s="164"/>
      <c r="BB161" s="264"/>
      <c r="BC161" s="164"/>
      <c r="BD161" s="164"/>
      <c r="BE161" s="164"/>
      <c r="BF161" s="164"/>
      <c r="BG161" s="164"/>
      <c r="BH161" s="164"/>
      <c r="BI161" s="164"/>
      <c r="BJ161" s="273"/>
      <c r="BK161" s="274"/>
      <c r="BL161" s="283"/>
      <c r="BM161" s="283"/>
      <c r="BN161" s="283"/>
      <c r="BO161" s="283"/>
      <c r="BP161" s="283"/>
      <c r="BQ161" s="283"/>
      <c r="BR161" s="37"/>
      <c r="BS161" s="37"/>
      <c r="BT161" s="37"/>
    </row>
    <row r="162" spans="1:72" s="156" customFormat="1" ht="22.5" customHeight="1">
      <c r="B162" s="41"/>
      <c r="H162" s="41"/>
      <c r="J162" s="276"/>
      <c r="K162" s="275"/>
      <c r="L162" s="275"/>
      <c r="M162" s="275"/>
      <c r="N162" s="275"/>
      <c r="O162" s="275"/>
      <c r="P162" s="275"/>
      <c r="Q162" s="275"/>
      <c r="R162" s="261"/>
      <c r="S162" s="275"/>
      <c r="T162" s="275"/>
      <c r="U162" s="275"/>
      <c r="V162" s="275"/>
      <c r="W162" s="277"/>
      <c r="X162" s="275"/>
      <c r="Y162" s="275"/>
      <c r="Z162" s="276"/>
      <c r="AA162" s="275"/>
      <c r="AB162" s="275"/>
      <c r="AC162" s="275"/>
      <c r="AD162" s="275"/>
      <c r="AE162" s="275"/>
      <c r="AF162" s="275"/>
      <c r="AG162" s="275"/>
      <c r="AH162" s="275"/>
      <c r="AI162" s="275"/>
      <c r="AJ162" s="275"/>
      <c r="AK162" s="276"/>
      <c r="AL162" s="275"/>
      <c r="AM162" s="275"/>
      <c r="AN162" s="275"/>
      <c r="AO162" s="275"/>
      <c r="AP162" s="275"/>
      <c r="AQ162" s="275"/>
      <c r="AR162" s="275"/>
      <c r="AS162" s="276"/>
      <c r="AT162" s="164"/>
      <c r="AU162" s="164"/>
      <c r="AV162" s="164"/>
      <c r="AW162" s="164"/>
      <c r="AX162" s="164"/>
      <c r="AY162" s="164"/>
      <c r="AZ162" s="164"/>
      <c r="BA162" s="164"/>
      <c r="BB162" s="264"/>
      <c r="BC162" s="164"/>
      <c r="BD162" s="164"/>
      <c r="BE162" s="164"/>
      <c r="BF162" s="164"/>
      <c r="BG162" s="164"/>
      <c r="BH162" s="164"/>
      <c r="BI162" s="164"/>
      <c r="BJ162" s="164"/>
      <c r="BK162" s="274"/>
      <c r="BL162" s="283"/>
      <c r="BM162" s="283"/>
      <c r="BN162" s="283"/>
      <c r="BO162" s="283"/>
      <c r="BP162" s="283"/>
      <c r="BQ162" s="283"/>
      <c r="BR162" s="37"/>
      <c r="BS162" s="37"/>
      <c r="BT162" s="37"/>
    </row>
    <row r="163" spans="1:72" s="82" customFormat="1" ht="22.5" customHeight="1">
      <c r="B163" s="37"/>
      <c r="H163" s="37"/>
      <c r="J163" s="274"/>
      <c r="K163" s="273"/>
      <c r="L163" s="273"/>
      <c r="M163" s="273"/>
      <c r="N163" s="273"/>
      <c r="O163" s="273"/>
      <c r="P163" s="273"/>
      <c r="Q163" s="273"/>
      <c r="R163" s="262"/>
      <c r="S163" s="273"/>
      <c r="T163" s="273"/>
      <c r="U163" s="273"/>
      <c r="V163" s="273"/>
      <c r="W163" s="263"/>
      <c r="X163" s="273"/>
      <c r="Y163" s="273"/>
      <c r="Z163" s="274"/>
      <c r="AA163" s="273"/>
      <c r="AB163" s="273"/>
      <c r="AC163" s="273"/>
      <c r="AD163" s="273"/>
      <c r="AE163" s="273"/>
      <c r="AF163" s="273"/>
      <c r="AG163" s="273"/>
      <c r="AH163" s="273"/>
      <c r="AI163" s="273"/>
      <c r="AJ163" s="273"/>
      <c r="AK163" s="274"/>
      <c r="AL163" s="273"/>
      <c r="AM163" s="273"/>
      <c r="AN163" s="273"/>
      <c r="AO163" s="273"/>
      <c r="AP163" s="273"/>
      <c r="AQ163" s="273"/>
      <c r="AR163" s="273"/>
      <c r="AS163" s="274"/>
      <c r="AT163" s="164"/>
      <c r="AU163" s="164"/>
      <c r="AV163" s="164"/>
      <c r="AW163" s="164"/>
      <c r="AX163" s="164"/>
      <c r="AY163" s="164"/>
      <c r="AZ163" s="164"/>
      <c r="BA163" s="223"/>
      <c r="BB163" s="264"/>
      <c r="BC163" s="223"/>
      <c r="BD163" s="223"/>
      <c r="BE163" s="223"/>
      <c r="BF163" s="223"/>
      <c r="BG163" s="223"/>
      <c r="BH163" s="223"/>
      <c r="BI163" s="223"/>
      <c r="BJ163" s="164"/>
      <c r="BK163" s="264"/>
      <c r="BL163" s="283"/>
      <c r="BM163" s="283"/>
      <c r="BN163" s="283"/>
      <c r="BO163" s="283"/>
      <c r="BP163" s="283"/>
      <c r="BQ163" s="283"/>
      <c r="BR163" s="37"/>
      <c r="BS163" s="37"/>
      <c r="BT163" s="37"/>
    </row>
    <row r="164" spans="1:72" s="156" customFormat="1" ht="22.5" customHeight="1">
      <c r="B164" s="41"/>
      <c r="H164" s="41"/>
      <c r="J164" s="276"/>
      <c r="K164" s="275"/>
      <c r="L164" s="275"/>
      <c r="M164" s="275"/>
      <c r="N164" s="275"/>
      <c r="O164" s="275"/>
      <c r="P164" s="275"/>
      <c r="Q164" s="275"/>
      <c r="R164" s="261"/>
      <c r="S164" s="275"/>
      <c r="T164" s="275"/>
      <c r="U164" s="275"/>
      <c r="V164" s="275"/>
      <c r="W164" s="277"/>
      <c r="X164" s="275"/>
      <c r="Y164" s="275"/>
      <c r="Z164" s="276"/>
      <c r="AA164" s="275"/>
      <c r="AB164" s="275"/>
      <c r="AC164" s="275"/>
      <c r="AD164" s="275"/>
      <c r="AE164" s="275"/>
      <c r="AF164" s="275"/>
      <c r="AG164" s="275"/>
      <c r="AH164" s="275"/>
      <c r="AI164" s="275"/>
      <c r="AJ164" s="275"/>
      <c r="AK164" s="276"/>
      <c r="AL164" s="275"/>
      <c r="AM164" s="275"/>
      <c r="AN164" s="275"/>
      <c r="AO164" s="275"/>
      <c r="AP164" s="275"/>
      <c r="AQ164" s="275"/>
      <c r="AR164" s="275"/>
      <c r="AS164" s="276"/>
      <c r="AT164" s="164"/>
      <c r="AU164" s="164"/>
      <c r="AV164" s="164"/>
      <c r="AW164" s="164"/>
      <c r="AX164" s="164"/>
      <c r="AY164" s="164"/>
      <c r="AZ164" s="164"/>
      <c r="BA164" s="223"/>
      <c r="BB164" s="262"/>
      <c r="BC164" s="223"/>
      <c r="BD164" s="223"/>
      <c r="BE164" s="223"/>
      <c r="BF164" s="223"/>
      <c r="BG164" s="223"/>
      <c r="BH164" s="223"/>
      <c r="BI164" s="223"/>
      <c r="BJ164" s="164"/>
      <c r="BK164" s="264"/>
      <c r="BL164" s="263"/>
      <c r="BM164" s="263"/>
      <c r="BN164" s="263"/>
      <c r="BO164" s="263"/>
      <c r="BP164" s="263"/>
      <c r="BQ164" s="263"/>
      <c r="BR164" s="37"/>
      <c r="BS164" s="37"/>
      <c r="BT164" s="37"/>
    </row>
    <row r="165" spans="1:72" s="82" customFormat="1" ht="22.5" customHeight="1">
      <c r="B165" s="37"/>
      <c r="H165" s="37"/>
      <c r="J165" s="274"/>
      <c r="K165" s="273"/>
      <c r="L165" s="273"/>
      <c r="M165" s="273"/>
      <c r="N165" s="273"/>
      <c r="O165" s="273"/>
      <c r="P165" s="273"/>
      <c r="Q165" s="273"/>
      <c r="R165" s="262"/>
      <c r="S165" s="273"/>
      <c r="T165" s="273"/>
      <c r="U165" s="273"/>
      <c r="V165" s="273"/>
      <c r="W165" s="263"/>
      <c r="X165" s="273"/>
      <c r="Y165" s="273"/>
      <c r="Z165" s="274"/>
      <c r="AA165" s="273"/>
      <c r="AB165" s="273"/>
      <c r="AC165" s="273"/>
      <c r="AD165" s="273"/>
      <c r="AE165" s="273"/>
      <c r="AF165" s="273"/>
      <c r="AG165" s="273"/>
      <c r="AH165" s="273"/>
      <c r="AI165" s="273"/>
      <c r="AJ165" s="273"/>
      <c r="AK165" s="274"/>
      <c r="AL165" s="273"/>
      <c r="AM165" s="273"/>
      <c r="AN165" s="273"/>
      <c r="AO165" s="273"/>
      <c r="AP165" s="273"/>
      <c r="AQ165" s="273"/>
      <c r="AR165" s="273"/>
      <c r="AS165" s="274"/>
      <c r="AT165" s="223"/>
      <c r="AU165" s="223"/>
      <c r="AV165" s="223"/>
      <c r="AW165" s="223"/>
      <c r="AX165" s="223"/>
      <c r="AY165" s="223"/>
      <c r="AZ165" s="223"/>
      <c r="BA165" s="223"/>
      <c r="BB165" s="262"/>
      <c r="BC165" s="223"/>
      <c r="BD165" s="223"/>
      <c r="BE165" s="223"/>
      <c r="BF165" s="223"/>
      <c r="BG165" s="223"/>
      <c r="BH165" s="223"/>
      <c r="BI165" s="223"/>
      <c r="BJ165" s="164"/>
      <c r="BK165" s="264"/>
      <c r="BL165" s="263"/>
      <c r="BM165" s="263"/>
      <c r="BN165" s="263"/>
      <c r="BO165" s="263"/>
      <c r="BP165" s="263"/>
      <c r="BQ165" s="263"/>
      <c r="BR165" s="37"/>
      <c r="BS165" s="37"/>
      <c r="BT165" s="37"/>
    </row>
    <row r="166" spans="1:72" s="82" customFormat="1" ht="22.5" customHeight="1">
      <c r="B166" s="37"/>
      <c r="D166" s="36"/>
      <c r="E166" s="36"/>
      <c r="H166" s="37"/>
      <c r="J166" s="274"/>
      <c r="K166" s="273"/>
      <c r="L166" s="273"/>
      <c r="M166" s="273"/>
      <c r="N166" s="273"/>
      <c r="O166" s="273"/>
      <c r="P166" s="273"/>
      <c r="Q166" s="273"/>
      <c r="R166" s="262"/>
      <c r="S166" s="273"/>
      <c r="T166" s="273"/>
      <c r="U166" s="273"/>
      <c r="V166" s="273"/>
      <c r="W166" s="263"/>
      <c r="X166" s="273"/>
      <c r="Y166" s="273"/>
      <c r="Z166" s="274"/>
      <c r="AA166" s="273"/>
      <c r="AB166" s="273"/>
      <c r="AC166" s="273"/>
      <c r="AD166" s="273"/>
      <c r="AE166" s="273"/>
      <c r="AF166" s="273"/>
      <c r="AG166" s="273"/>
      <c r="AH166" s="273"/>
      <c r="AI166" s="273"/>
      <c r="AJ166" s="273"/>
      <c r="AK166" s="274"/>
      <c r="AL166" s="273"/>
      <c r="AM166" s="273"/>
      <c r="AN166" s="273"/>
      <c r="AO166" s="273"/>
      <c r="AP166" s="273"/>
      <c r="AQ166" s="273"/>
      <c r="AR166" s="273"/>
      <c r="AS166" s="274"/>
      <c r="AT166" s="223"/>
      <c r="AU166" s="223"/>
      <c r="AV166" s="223"/>
      <c r="AW166" s="223"/>
      <c r="AX166" s="223"/>
      <c r="AY166" s="223"/>
      <c r="AZ166" s="223"/>
      <c r="BA166" s="223"/>
      <c r="BB166" s="262"/>
      <c r="BC166" s="223"/>
      <c r="BD166" s="223"/>
      <c r="BE166" s="223"/>
      <c r="BF166" s="223"/>
      <c r="BG166" s="223"/>
      <c r="BH166" s="223"/>
      <c r="BI166" s="223"/>
      <c r="BJ166" s="223"/>
      <c r="BK166" s="264"/>
      <c r="BL166" s="263"/>
      <c r="BM166" s="263"/>
      <c r="BN166" s="263"/>
      <c r="BO166" s="263"/>
      <c r="BP166" s="263"/>
      <c r="BQ166" s="263"/>
      <c r="BR166" s="37"/>
      <c r="BS166" s="37"/>
      <c r="BT166" s="37"/>
    </row>
    <row r="167" spans="1:72" s="82" customFormat="1" ht="22.5" customHeight="1">
      <c r="A167" s="156"/>
      <c r="B167" s="37"/>
      <c r="H167" s="37"/>
      <c r="J167" s="274"/>
      <c r="K167" s="273"/>
      <c r="L167" s="273"/>
      <c r="M167" s="273"/>
      <c r="N167" s="273"/>
      <c r="O167" s="273"/>
      <c r="P167" s="273"/>
      <c r="Q167" s="273"/>
      <c r="R167" s="262"/>
      <c r="S167" s="273"/>
      <c r="T167" s="273"/>
      <c r="U167" s="273"/>
      <c r="V167" s="273"/>
      <c r="W167" s="263"/>
      <c r="X167" s="273"/>
      <c r="Y167" s="273"/>
      <c r="Z167" s="274"/>
      <c r="AA167" s="273"/>
      <c r="AB167" s="273"/>
      <c r="AC167" s="273"/>
      <c r="AD167" s="273"/>
      <c r="AE167" s="273"/>
      <c r="AF167" s="273"/>
      <c r="AG167" s="273"/>
      <c r="AH167" s="273"/>
      <c r="AI167" s="273"/>
      <c r="AJ167" s="273"/>
      <c r="AK167" s="274"/>
      <c r="AL167" s="273"/>
      <c r="AM167" s="273"/>
      <c r="AN167" s="273"/>
      <c r="AO167" s="273"/>
      <c r="AP167" s="273"/>
      <c r="AQ167" s="273"/>
      <c r="AR167" s="273"/>
      <c r="AS167" s="274"/>
      <c r="AT167" s="223"/>
      <c r="AU167" s="223"/>
      <c r="AV167" s="223"/>
      <c r="AW167" s="223"/>
      <c r="AX167" s="223"/>
      <c r="AY167" s="223"/>
      <c r="AZ167" s="223"/>
      <c r="BA167" s="223"/>
      <c r="BB167" s="262"/>
      <c r="BC167" s="223"/>
      <c r="BD167" s="223"/>
      <c r="BE167" s="223"/>
      <c r="BF167" s="223"/>
      <c r="BG167" s="223"/>
      <c r="BH167" s="223"/>
      <c r="BI167" s="223"/>
      <c r="BJ167" s="223"/>
      <c r="BK167" s="262"/>
      <c r="BL167" s="263"/>
      <c r="BM167" s="263"/>
      <c r="BN167" s="263"/>
      <c r="BO167" s="263"/>
      <c r="BP167" s="263"/>
      <c r="BQ167" s="263"/>
      <c r="BR167" s="37"/>
      <c r="BS167" s="37"/>
      <c r="BT167" s="37"/>
    </row>
    <row r="168" spans="1:72" s="82" customFormat="1" ht="22.5" customHeight="1">
      <c r="B168" s="37"/>
      <c r="H168" s="37"/>
      <c r="J168" s="274"/>
      <c r="K168" s="273"/>
      <c r="L168" s="273"/>
      <c r="M168" s="273"/>
      <c r="N168" s="273"/>
      <c r="O168" s="273"/>
      <c r="P168" s="273"/>
      <c r="Q168" s="273"/>
      <c r="R168" s="262"/>
      <c r="S168" s="273"/>
      <c r="T168" s="273"/>
      <c r="U168" s="273"/>
      <c r="V168" s="273"/>
      <c r="W168" s="263"/>
      <c r="X168" s="273"/>
      <c r="Y168" s="273"/>
      <c r="Z168" s="274"/>
      <c r="AA168" s="273"/>
      <c r="AB168" s="273"/>
      <c r="AC168" s="273"/>
      <c r="AD168" s="273"/>
      <c r="AE168" s="273"/>
      <c r="AF168" s="273"/>
      <c r="AG168" s="273"/>
      <c r="AH168" s="273"/>
      <c r="AI168" s="273"/>
      <c r="AJ168" s="273"/>
      <c r="AK168" s="274"/>
      <c r="AL168" s="273"/>
      <c r="AM168" s="273"/>
      <c r="AN168" s="273"/>
      <c r="AO168" s="273"/>
      <c r="AP168" s="273"/>
      <c r="AQ168" s="273"/>
      <c r="AR168" s="273"/>
      <c r="AS168" s="274"/>
      <c r="AT168" s="223"/>
      <c r="AU168" s="223"/>
      <c r="AV168" s="223"/>
      <c r="AW168" s="223"/>
      <c r="AX168" s="223"/>
      <c r="AY168" s="223"/>
      <c r="AZ168" s="223"/>
      <c r="BA168" s="223"/>
      <c r="BB168" s="262"/>
      <c r="BC168" s="223"/>
      <c r="BD168" s="223"/>
      <c r="BE168" s="223"/>
      <c r="BF168" s="223"/>
      <c r="BG168" s="223"/>
      <c r="BH168" s="223"/>
      <c r="BI168" s="223"/>
      <c r="BJ168" s="223"/>
      <c r="BK168" s="262"/>
      <c r="BL168" s="263"/>
      <c r="BM168" s="263"/>
      <c r="BN168" s="263"/>
      <c r="BO168" s="263"/>
      <c r="BP168" s="263"/>
      <c r="BQ168" s="263"/>
      <c r="BR168" s="37"/>
      <c r="BS168" s="37"/>
      <c r="BT168" s="37"/>
    </row>
    <row r="169" spans="1:72" ht="22.5" customHeight="1">
      <c r="AT169" s="223"/>
      <c r="AU169" s="223"/>
      <c r="AV169" s="223"/>
      <c r="AW169" s="223"/>
      <c r="AX169" s="223"/>
      <c r="AY169" s="223"/>
      <c r="AZ169" s="223"/>
      <c r="BA169" s="223"/>
      <c r="BB169" s="262"/>
      <c r="BC169" s="223"/>
      <c r="BD169" s="223"/>
      <c r="BE169" s="223"/>
      <c r="BF169" s="223"/>
      <c r="BG169" s="223"/>
      <c r="BH169" s="223"/>
      <c r="BI169" s="223"/>
      <c r="BJ169" s="223"/>
      <c r="BK169" s="262"/>
      <c r="BL169" s="263"/>
      <c r="BM169" s="263"/>
      <c r="BN169" s="263"/>
      <c r="BO169" s="263"/>
      <c r="BP169" s="263"/>
      <c r="BQ169" s="263"/>
      <c r="BR169" s="37"/>
      <c r="BS169" s="37"/>
      <c r="BT169" s="37"/>
    </row>
    <row r="170" spans="1:72" ht="22.5" customHeight="1">
      <c r="AT170" s="223"/>
      <c r="AU170" s="223"/>
      <c r="AV170" s="223"/>
      <c r="AW170" s="223"/>
      <c r="AX170" s="223"/>
      <c r="AY170" s="223"/>
      <c r="AZ170" s="223"/>
      <c r="BA170" s="223"/>
      <c r="BB170" s="262"/>
      <c r="BC170" s="223"/>
      <c r="BD170" s="223"/>
      <c r="BE170" s="223"/>
      <c r="BF170" s="223"/>
      <c r="BG170" s="223"/>
      <c r="BH170" s="223"/>
      <c r="BI170" s="223"/>
      <c r="BJ170" s="223"/>
      <c r="BK170" s="262"/>
      <c r="BL170" s="263"/>
      <c r="BM170" s="263"/>
      <c r="BN170" s="263"/>
      <c r="BO170" s="263"/>
      <c r="BP170" s="263"/>
      <c r="BQ170" s="263"/>
      <c r="BR170" s="37"/>
      <c r="BS170" s="37"/>
      <c r="BT170" s="37"/>
    </row>
    <row r="171" spans="1:72" ht="22.5" customHeight="1">
      <c r="AT171" s="223"/>
      <c r="AU171" s="223"/>
      <c r="AV171" s="223"/>
      <c r="AW171" s="223"/>
      <c r="AX171" s="223"/>
      <c r="AY171" s="223"/>
      <c r="AZ171" s="223"/>
      <c r="BA171" s="223"/>
      <c r="BB171" s="262"/>
      <c r="BC171" s="223"/>
      <c r="BD171" s="223"/>
      <c r="BE171" s="223"/>
      <c r="BF171" s="223"/>
      <c r="BG171" s="223"/>
      <c r="BH171" s="223"/>
      <c r="BI171" s="223"/>
      <c r="BJ171" s="223"/>
      <c r="BK171" s="262"/>
      <c r="BL171" s="263"/>
      <c r="BM171" s="263"/>
      <c r="BN171" s="263"/>
      <c r="BO171" s="263"/>
      <c r="BP171" s="263"/>
      <c r="BQ171" s="263"/>
      <c r="BR171" s="37"/>
      <c r="BS171" s="37"/>
      <c r="BT171" s="37"/>
    </row>
    <row r="172" spans="1:72" ht="22.5" customHeight="1">
      <c r="Q172" s="246"/>
      <c r="R172" s="278"/>
      <c r="S172" s="1167"/>
      <c r="AT172" s="223"/>
      <c r="AU172" s="223"/>
      <c r="AV172" s="223"/>
      <c r="AW172" s="223"/>
      <c r="AX172" s="223"/>
      <c r="AY172" s="223"/>
      <c r="AZ172" s="223"/>
      <c r="BA172" s="223"/>
      <c r="BB172" s="262"/>
      <c r="BC172" s="223"/>
      <c r="BD172" s="223"/>
      <c r="BE172" s="223"/>
      <c r="BF172" s="223"/>
      <c r="BG172" s="223"/>
      <c r="BH172" s="223"/>
      <c r="BI172" s="223"/>
      <c r="BJ172" s="223"/>
      <c r="BK172" s="262"/>
      <c r="BL172" s="263"/>
      <c r="BM172" s="263"/>
      <c r="BN172" s="263"/>
      <c r="BO172" s="263"/>
      <c r="BP172" s="263"/>
      <c r="BQ172" s="263"/>
      <c r="BR172" s="37"/>
      <c r="BS172" s="37"/>
      <c r="BT172" s="37"/>
    </row>
    <row r="173" spans="1:72" s="31" customFormat="1" ht="22.5" customHeight="1">
      <c r="B173" s="37"/>
      <c r="H173" s="37"/>
      <c r="J173" s="262"/>
      <c r="K173" s="223"/>
      <c r="L173" s="223"/>
      <c r="M173" s="223"/>
      <c r="N173" s="223"/>
      <c r="O173" s="223"/>
      <c r="P173" s="223"/>
      <c r="Q173" s="259"/>
      <c r="R173" s="262"/>
      <c r="S173" s="223"/>
      <c r="T173" s="223"/>
      <c r="U173" s="223"/>
      <c r="V173" s="223"/>
      <c r="W173" s="263"/>
      <c r="X173" s="223"/>
      <c r="Y173" s="223"/>
      <c r="Z173" s="262"/>
      <c r="AA173" s="223"/>
      <c r="AB173" s="223"/>
      <c r="AC173" s="223"/>
      <c r="AD173" s="223"/>
      <c r="AE173" s="223"/>
      <c r="AF173" s="223"/>
      <c r="AG173" s="223"/>
      <c r="AH173" s="223"/>
      <c r="AI173" s="223"/>
      <c r="AJ173" s="223"/>
      <c r="AK173" s="262"/>
      <c r="AL173" s="223"/>
      <c r="AM173" s="223"/>
      <c r="AN173" s="223"/>
      <c r="AO173" s="223"/>
      <c r="AP173" s="223"/>
      <c r="AQ173" s="223"/>
      <c r="AR173" s="223"/>
      <c r="AS173" s="262"/>
      <c r="AT173" s="223"/>
      <c r="AU173" s="223"/>
      <c r="AV173" s="223"/>
      <c r="AW173" s="223"/>
      <c r="AX173" s="223"/>
      <c r="AY173" s="223"/>
      <c r="AZ173" s="223"/>
      <c r="BA173" s="223"/>
      <c r="BB173" s="262"/>
      <c r="BC173" s="223"/>
      <c r="BD173" s="223"/>
      <c r="BE173" s="223"/>
      <c r="BF173" s="223"/>
      <c r="BG173" s="223"/>
      <c r="BH173" s="223"/>
      <c r="BI173" s="223"/>
      <c r="BJ173" s="223"/>
      <c r="BK173" s="262"/>
      <c r="BL173" s="263"/>
      <c r="BM173" s="263"/>
      <c r="BN173" s="263"/>
      <c r="BO173" s="263"/>
      <c r="BP173" s="263"/>
      <c r="BQ173" s="263"/>
      <c r="BR173" s="8"/>
      <c r="BS173" s="8"/>
      <c r="BT173" s="8"/>
    </row>
    <row r="174" spans="1:72" s="31" customFormat="1" ht="22.5" customHeight="1">
      <c r="B174" s="37"/>
      <c r="H174" s="37"/>
      <c r="J174" s="262"/>
      <c r="K174" s="223"/>
      <c r="L174" s="223"/>
      <c r="M174" s="223"/>
      <c r="N174" s="223"/>
      <c r="O174" s="223"/>
      <c r="P174" s="223"/>
      <c r="Q174" s="259"/>
      <c r="R174" s="278"/>
      <c r="S174" s="252"/>
      <c r="T174" s="1713"/>
      <c r="U174" s="279"/>
      <c r="V174" s="1713"/>
      <c r="W174" s="247"/>
      <c r="X174" s="1713"/>
      <c r="Y174" s="174"/>
      <c r="Z174" s="261"/>
      <c r="AA174" s="174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62"/>
      <c r="AL174" s="223"/>
      <c r="AM174" s="223"/>
      <c r="AN174" s="223"/>
      <c r="AO174" s="223"/>
      <c r="AP174" s="223"/>
      <c r="AQ174" s="223"/>
      <c r="AR174" s="223"/>
      <c r="AS174" s="262"/>
      <c r="AT174" s="223"/>
      <c r="AU174" s="223"/>
      <c r="AV174" s="223"/>
      <c r="AW174" s="223"/>
      <c r="AX174" s="223"/>
      <c r="AY174" s="223"/>
      <c r="AZ174" s="223"/>
      <c r="BA174" s="283"/>
      <c r="BB174" s="262"/>
      <c r="BC174" s="283"/>
      <c r="BD174" s="283"/>
      <c r="BE174" s="283"/>
      <c r="BF174" s="283"/>
      <c r="BG174" s="283"/>
      <c r="BH174" s="283"/>
      <c r="BI174" s="283"/>
      <c r="BJ174" s="223"/>
      <c r="BK174" s="262"/>
      <c r="BL174" s="263"/>
      <c r="BM174" s="263"/>
      <c r="BN174" s="263"/>
      <c r="BO174" s="263"/>
      <c r="BP174" s="263"/>
      <c r="BQ174" s="263"/>
      <c r="BR174" s="8"/>
      <c r="BS174" s="8"/>
      <c r="BT174" s="8"/>
    </row>
    <row r="175" spans="1:72" s="31" customFormat="1" ht="22.5" customHeight="1">
      <c r="B175" s="37"/>
      <c r="H175" s="37"/>
      <c r="J175" s="262"/>
      <c r="K175" s="223"/>
      <c r="L175" s="223"/>
      <c r="M175" s="223"/>
      <c r="N175" s="223"/>
      <c r="O175" s="223"/>
      <c r="P175" s="223"/>
      <c r="Q175" s="259"/>
      <c r="R175" s="280"/>
      <c r="S175" s="252"/>
      <c r="T175" s="174"/>
      <c r="U175" s="174"/>
      <c r="V175" s="174"/>
      <c r="W175" s="277"/>
      <c r="X175" s="174"/>
      <c r="Y175" s="174"/>
      <c r="Z175" s="261"/>
      <c r="AA175" s="174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62"/>
      <c r="AL175" s="223"/>
      <c r="AM175" s="223"/>
      <c r="AN175" s="223"/>
      <c r="AO175" s="223"/>
      <c r="AP175" s="223"/>
      <c r="AQ175" s="223"/>
      <c r="AR175" s="223"/>
      <c r="AS175" s="262"/>
      <c r="AT175" s="223"/>
      <c r="AU175" s="223"/>
      <c r="AV175" s="223"/>
      <c r="AW175" s="223"/>
      <c r="AX175" s="223"/>
      <c r="AY175" s="223"/>
      <c r="AZ175" s="223"/>
      <c r="BA175" s="283"/>
      <c r="BB175" s="284"/>
      <c r="BC175" s="283"/>
      <c r="BD175" s="283"/>
      <c r="BE175" s="283"/>
      <c r="BF175" s="283"/>
      <c r="BG175" s="283"/>
      <c r="BH175" s="283"/>
      <c r="BI175" s="283"/>
      <c r="BJ175" s="223"/>
      <c r="BK175" s="262"/>
      <c r="BL175" s="263"/>
      <c r="BM175" s="263"/>
      <c r="BN175" s="263"/>
      <c r="BO175" s="263"/>
      <c r="BP175" s="263"/>
      <c r="BQ175" s="263"/>
      <c r="BR175" s="8"/>
      <c r="BS175" s="8"/>
      <c r="BT175" s="8"/>
    </row>
    <row r="176" spans="1:72" s="31" customFormat="1" ht="22.5" customHeight="1">
      <c r="B176" s="37"/>
      <c r="H176" s="37"/>
      <c r="J176" s="262"/>
      <c r="K176" s="223"/>
      <c r="L176" s="223"/>
      <c r="M176" s="223"/>
      <c r="N176" s="223"/>
      <c r="O176" s="223"/>
      <c r="P176" s="223"/>
      <c r="Q176" s="259"/>
      <c r="R176" s="278"/>
      <c r="S176" s="252"/>
      <c r="T176" s="1713"/>
      <c r="U176" s="279"/>
      <c r="V176" s="1713"/>
      <c r="W176" s="247"/>
      <c r="X176" s="1713"/>
      <c r="Y176" s="174"/>
      <c r="Z176" s="261"/>
      <c r="AA176" s="174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62"/>
      <c r="AL176" s="223"/>
      <c r="AM176" s="223"/>
      <c r="AN176" s="223"/>
      <c r="AO176" s="223"/>
      <c r="AP176" s="223"/>
      <c r="AQ176" s="223"/>
      <c r="AR176" s="223"/>
      <c r="AS176" s="262"/>
      <c r="AT176" s="283"/>
      <c r="AU176" s="283"/>
      <c r="AV176" s="283"/>
      <c r="AW176" s="283"/>
      <c r="AX176" s="283"/>
      <c r="AY176" s="283"/>
      <c r="AZ176" s="283"/>
      <c r="BA176" s="283"/>
      <c r="BB176" s="284"/>
      <c r="BC176" s="283"/>
      <c r="BD176" s="283"/>
      <c r="BE176" s="283"/>
      <c r="BF176" s="283"/>
      <c r="BG176" s="283"/>
      <c r="BH176" s="283"/>
      <c r="BI176" s="283"/>
      <c r="BJ176" s="223"/>
      <c r="BK176" s="262"/>
      <c r="BL176" s="263"/>
      <c r="BM176" s="263"/>
      <c r="BN176" s="263"/>
      <c r="BO176" s="263"/>
      <c r="BP176" s="263"/>
      <c r="BQ176" s="263"/>
      <c r="BR176" s="8"/>
      <c r="BS176" s="8"/>
      <c r="BT176" s="8"/>
    </row>
    <row r="177" spans="2:72" s="31" customFormat="1" ht="22.5" customHeight="1">
      <c r="B177" s="37"/>
      <c r="H177" s="37"/>
      <c r="J177" s="262"/>
      <c r="K177" s="223"/>
      <c r="L177" s="223"/>
      <c r="M177" s="223"/>
      <c r="N177" s="223"/>
      <c r="O177" s="223"/>
      <c r="P177" s="223"/>
      <c r="Q177" s="174"/>
      <c r="R177" s="261"/>
      <c r="S177" s="174"/>
      <c r="T177" s="174"/>
      <c r="U177" s="174"/>
      <c r="V177" s="174"/>
      <c r="W177" s="277"/>
      <c r="X177" s="174"/>
      <c r="Y177" s="174"/>
      <c r="Z177" s="261"/>
      <c r="AA177" s="174"/>
      <c r="AB177" s="223"/>
      <c r="AC177" s="223"/>
      <c r="AD177" s="223"/>
      <c r="AE177" s="223"/>
      <c r="AF177" s="223"/>
      <c r="AG177" s="223"/>
      <c r="AH177" s="223"/>
      <c r="AI177" s="223"/>
      <c r="AJ177" s="223"/>
      <c r="AK177" s="262"/>
      <c r="AL177" s="223"/>
      <c r="AM177" s="223"/>
      <c r="AN177" s="223"/>
      <c r="AO177" s="223"/>
      <c r="AP177" s="223"/>
      <c r="AQ177" s="223"/>
      <c r="AR177" s="223"/>
      <c r="AS177" s="262"/>
      <c r="AT177" s="283"/>
      <c r="AU177" s="283"/>
      <c r="AV177" s="283"/>
      <c r="AW177" s="283"/>
      <c r="AX177" s="283"/>
      <c r="AY177" s="283"/>
      <c r="AZ177" s="283"/>
      <c r="BA177" s="263"/>
      <c r="BB177" s="284"/>
      <c r="BC177" s="263"/>
      <c r="BD177" s="263"/>
      <c r="BE177" s="263"/>
      <c r="BF177" s="263"/>
      <c r="BG177" s="263"/>
      <c r="BH177" s="263"/>
      <c r="BI177" s="263"/>
      <c r="BJ177" s="283"/>
      <c r="BK177" s="262"/>
      <c r="BL177" s="164"/>
      <c r="BM177" s="164"/>
      <c r="BN177" s="164"/>
      <c r="BO177" s="164"/>
      <c r="BP177" s="164"/>
      <c r="BQ177" s="164"/>
      <c r="BR177" s="8"/>
      <c r="BS177" s="8"/>
      <c r="BT177" s="8"/>
    </row>
    <row r="178" spans="2:72" s="31" customFormat="1" ht="22.5" customHeight="1">
      <c r="B178" s="37"/>
      <c r="H178" s="37"/>
      <c r="J178" s="262"/>
      <c r="K178" s="223"/>
      <c r="L178" s="223"/>
      <c r="M178" s="223"/>
      <c r="N178" s="223"/>
      <c r="O178" s="223"/>
      <c r="P178" s="223"/>
      <c r="Q178" s="223"/>
      <c r="R178" s="262"/>
      <c r="S178" s="223"/>
      <c r="T178" s="223"/>
      <c r="U178" s="223"/>
      <c r="V178" s="223"/>
      <c r="W178" s="263"/>
      <c r="X178" s="223"/>
      <c r="Y178" s="223"/>
      <c r="Z178" s="262"/>
      <c r="AA178" s="223"/>
      <c r="AB178" s="223"/>
      <c r="AC178" s="223"/>
      <c r="AD178" s="223"/>
      <c r="AE178" s="223"/>
      <c r="AF178" s="223"/>
      <c r="AG178" s="223"/>
      <c r="AH178" s="223"/>
      <c r="AI178" s="223"/>
      <c r="AJ178" s="223"/>
      <c r="AK178" s="262"/>
      <c r="AL178" s="223"/>
      <c r="AM178" s="223"/>
      <c r="AN178" s="223"/>
      <c r="AO178" s="223"/>
      <c r="AP178" s="223"/>
      <c r="AQ178" s="223"/>
      <c r="AR178" s="223"/>
      <c r="AS178" s="262"/>
      <c r="AT178" s="283"/>
      <c r="AU178" s="283"/>
      <c r="AV178" s="283"/>
      <c r="AW178" s="283"/>
      <c r="AX178" s="283"/>
      <c r="AY178" s="283"/>
      <c r="AZ178" s="283"/>
      <c r="BA178" s="263"/>
      <c r="BB178" s="268"/>
      <c r="BC178" s="263"/>
      <c r="BD178" s="263"/>
      <c r="BE178" s="263"/>
      <c r="BF178" s="263"/>
      <c r="BG178" s="263"/>
      <c r="BH178" s="263"/>
      <c r="BI178" s="263"/>
      <c r="BJ178" s="283"/>
      <c r="BK178" s="284"/>
      <c r="BL178" s="164"/>
      <c r="BM178" s="164"/>
      <c r="BN178" s="164"/>
      <c r="BO178" s="164"/>
      <c r="BP178" s="164"/>
      <c r="BQ178" s="164"/>
      <c r="BR178" s="8"/>
      <c r="BS178" s="8"/>
      <c r="BT178" s="8"/>
    </row>
    <row r="179" spans="2:72" s="31" customFormat="1" ht="22.5" customHeight="1">
      <c r="B179" s="37"/>
      <c r="H179" s="37"/>
      <c r="J179" s="262"/>
      <c r="K179" s="223"/>
      <c r="L179" s="223"/>
      <c r="M179" s="223"/>
      <c r="N179" s="223"/>
      <c r="O179" s="223"/>
      <c r="P179" s="223"/>
      <c r="Q179" s="223"/>
      <c r="R179" s="262"/>
      <c r="S179" s="223"/>
      <c r="T179" s="223"/>
      <c r="U179" s="223"/>
      <c r="V179" s="223"/>
      <c r="W179" s="263"/>
      <c r="X179" s="223"/>
      <c r="Y179" s="223"/>
      <c r="Z179" s="262"/>
      <c r="AA179" s="223"/>
      <c r="AB179" s="223"/>
      <c r="AC179" s="223"/>
      <c r="AD179" s="223"/>
      <c r="AE179" s="223"/>
      <c r="AF179" s="223"/>
      <c r="AG179" s="223"/>
      <c r="AH179" s="223"/>
      <c r="AI179" s="223"/>
      <c r="AJ179" s="223"/>
      <c r="AK179" s="262"/>
      <c r="AL179" s="223"/>
      <c r="AM179" s="223"/>
      <c r="AN179" s="223"/>
      <c r="AO179" s="223"/>
      <c r="AP179" s="223"/>
      <c r="AQ179" s="223"/>
      <c r="AR179" s="223"/>
      <c r="AS179" s="262"/>
      <c r="AT179" s="263"/>
      <c r="AU179" s="263"/>
      <c r="AV179" s="263"/>
      <c r="AW179" s="263"/>
      <c r="AX179" s="263"/>
      <c r="AY179" s="263"/>
      <c r="AZ179" s="263"/>
      <c r="BA179" s="263"/>
      <c r="BB179" s="268"/>
      <c r="BC179" s="263"/>
      <c r="BD179" s="263"/>
      <c r="BE179" s="263"/>
      <c r="BF179" s="263"/>
      <c r="BG179" s="263"/>
      <c r="BH179" s="263"/>
      <c r="BI179" s="263"/>
      <c r="BJ179" s="283"/>
      <c r="BK179" s="284"/>
      <c r="BL179" s="164"/>
      <c r="BM179" s="164"/>
      <c r="BN179" s="164"/>
      <c r="BO179" s="164"/>
      <c r="BP179" s="164"/>
      <c r="BQ179" s="164"/>
      <c r="BR179" s="8"/>
      <c r="BS179" s="8"/>
      <c r="BT179" s="8"/>
    </row>
    <row r="180" spans="2:72" s="31" customFormat="1" ht="22.5" customHeight="1">
      <c r="B180" s="37"/>
      <c r="H180" s="37"/>
      <c r="J180" s="262"/>
      <c r="K180" s="223"/>
      <c r="L180" s="223"/>
      <c r="M180" s="223"/>
      <c r="N180" s="223"/>
      <c r="O180" s="223"/>
      <c r="P180" s="223"/>
      <c r="Q180" s="223"/>
      <c r="R180" s="262"/>
      <c r="S180" s="223"/>
      <c r="T180" s="223"/>
      <c r="U180" s="223"/>
      <c r="V180" s="223"/>
      <c r="W180" s="263"/>
      <c r="X180" s="223"/>
      <c r="Y180" s="223"/>
      <c r="Z180" s="262"/>
      <c r="AA180" s="223"/>
      <c r="AB180" s="223"/>
      <c r="AC180" s="223"/>
      <c r="AD180" s="223"/>
      <c r="AE180" s="223"/>
      <c r="AF180" s="223"/>
      <c r="AG180" s="223"/>
      <c r="AH180" s="223"/>
      <c r="AI180" s="223"/>
      <c r="AJ180" s="223"/>
      <c r="AK180" s="262"/>
      <c r="AL180" s="223"/>
      <c r="AM180" s="223"/>
      <c r="AN180" s="223"/>
      <c r="AO180" s="223"/>
      <c r="AP180" s="223"/>
      <c r="AQ180" s="223"/>
      <c r="AR180" s="223"/>
      <c r="AS180" s="262"/>
      <c r="AT180" s="263"/>
      <c r="AU180" s="263"/>
      <c r="AV180" s="263"/>
      <c r="AW180" s="263"/>
      <c r="AX180" s="263"/>
      <c r="AY180" s="263"/>
      <c r="AZ180" s="263"/>
      <c r="BA180" s="263"/>
      <c r="BB180" s="268"/>
      <c r="BC180" s="263"/>
      <c r="BD180" s="263"/>
      <c r="BE180" s="263"/>
      <c r="BF180" s="263"/>
      <c r="BG180" s="263"/>
      <c r="BH180" s="263"/>
      <c r="BI180" s="263"/>
      <c r="BJ180" s="263"/>
      <c r="BK180" s="284"/>
      <c r="BL180" s="164"/>
      <c r="BM180" s="164"/>
      <c r="BN180" s="164"/>
      <c r="BO180" s="164"/>
      <c r="BP180" s="164"/>
      <c r="BQ180" s="164"/>
      <c r="BR180" s="8"/>
      <c r="BS180" s="8"/>
      <c r="BT180" s="8"/>
    </row>
    <row r="181" spans="2:72" s="31" customFormat="1" ht="22.5" customHeight="1">
      <c r="B181" s="37"/>
      <c r="H181" s="37"/>
      <c r="J181" s="262"/>
      <c r="K181" s="223"/>
      <c r="L181" s="223"/>
      <c r="M181" s="223"/>
      <c r="N181" s="223"/>
      <c r="O181" s="223"/>
      <c r="P181" s="223"/>
      <c r="Q181" s="223"/>
      <c r="R181" s="262"/>
      <c r="S181" s="223"/>
      <c r="T181" s="223"/>
      <c r="U181" s="223"/>
      <c r="V181" s="223"/>
      <c r="W181" s="263"/>
      <c r="X181" s="223"/>
      <c r="Y181" s="223"/>
      <c r="Z181" s="262"/>
      <c r="AA181" s="223"/>
      <c r="AB181" s="223"/>
      <c r="AC181" s="223"/>
      <c r="AD181" s="223"/>
      <c r="AE181" s="223"/>
      <c r="AF181" s="223"/>
      <c r="AG181" s="223"/>
      <c r="AH181" s="223"/>
      <c r="AI181" s="223"/>
      <c r="AJ181" s="223"/>
      <c r="AK181" s="262"/>
      <c r="AL181" s="223"/>
      <c r="AM181" s="223"/>
      <c r="AN181" s="223"/>
      <c r="AO181" s="223"/>
      <c r="AP181" s="223"/>
      <c r="AQ181" s="223"/>
      <c r="AR181" s="223"/>
      <c r="AS181" s="262"/>
      <c r="AT181" s="263"/>
      <c r="AU181" s="263"/>
      <c r="AV181" s="263"/>
      <c r="AW181" s="263"/>
      <c r="AX181" s="263"/>
      <c r="AY181" s="263"/>
      <c r="AZ181" s="263"/>
      <c r="BA181" s="263"/>
      <c r="BB181" s="268"/>
      <c r="BC181" s="263"/>
      <c r="BD181" s="263"/>
      <c r="BE181" s="263"/>
      <c r="BF181" s="263"/>
      <c r="BG181" s="263"/>
      <c r="BH181" s="263"/>
      <c r="BI181" s="263"/>
      <c r="BJ181" s="263"/>
      <c r="BK181" s="268"/>
      <c r="BL181" s="164"/>
      <c r="BM181" s="164"/>
      <c r="BN181" s="164"/>
      <c r="BO181" s="164"/>
      <c r="BP181" s="164"/>
      <c r="BQ181" s="164"/>
      <c r="BR181" s="8"/>
      <c r="BS181" s="8"/>
      <c r="BT181" s="8"/>
    </row>
    <row r="182" spans="2:72" s="31" customFormat="1" ht="22.5" customHeight="1">
      <c r="B182" s="37"/>
      <c r="H182" s="37"/>
      <c r="J182" s="262"/>
      <c r="K182" s="223"/>
      <c r="L182" s="223"/>
      <c r="M182" s="223"/>
      <c r="N182" s="223"/>
      <c r="O182" s="223"/>
      <c r="P182" s="223"/>
      <c r="Q182" s="223"/>
      <c r="R182" s="262"/>
      <c r="S182" s="223"/>
      <c r="T182" s="223"/>
      <c r="U182" s="223"/>
      <c r="V182" s="223"/>
      <c r="W182" s="263"/>
      <c r="X182" s="223"/>
      <c r="Y182" s="223"/>
      <c r="Z182" s="262"/>
      <c r="AA182" s="223"/>
      <c r="AB182" s="223"/>
      <c r="AC182" s="223"/>
      <c r="AD182" s="223"/>
      <c r="AE182" s="223"/>
      <c r="AF182" s="223"/>
      <c r="AG182" s="223"/>
      <c r="AH182" s="223"/>
      <c r="AI182" s="223"/>
      <c r="AJ182" s="223"/>
      <c r="AK182" s="262"/>
      <c r="AL182" s="223"/>
      <c r="AM182" s="223"/>
      <c r="AN182" s="223"/>
      <c r="AO182" s="223"/>
      <c r="AP182" s="223"/>
      <c r="AQ182" s="223"/>
      <c r="AR182" s="223"/>
      <c r="AS182" s="262"/>
      <c r="AT182" s="263"/>
      <c r="AU182" s="263"/>
      <c r="AV182" s="263"/>
      <c r="AW182" s="263"/>
      <c r="AX182" s="263"/>
      <c r="AY182" s="263"/>
      <c r="AZ182" s="263"/>
      <c r="BA182" s="263"/>
      <c r="BB182" s="268"/>
      <c r="BC182" s="263"/>
      <c r="BD182" s="263"/>
      <c r="BE182" s="263"/>
      <c r="BF182" s="263"/>
      <c r="BG182" s="263"/>
      <c r="BH182" s="263"/>
      <c r="BI182" s="263"/>
      <c r="BJ182" s="263"/>
      <c r="BK182" s="268"/>
      <c r="BL182" s="164"/>
      <c r="BM182" s="164"/>
      <c r="BN182" s="164"/>
      <c r="BO182" s="164"/>
      <c r="BP182" s="164"/>
      <c r="BQ182" s="164"/>
      <c r="BR182" s="8"/>
      <c r="BS182" s="8"/>
      <c r="BT182" s="8"/>
    </row>
    <row r="183" spans="2:72" s="31" customFormat="1" ht="22.5" customHeight="1">
      <c r="B183" s="37"/>
      <c r="H183" s="37"/>
      <c r="J183" s="262"/>
      <c r="K183" s="223"/>
      <c r="L183" s="223"/>
      <c r="M183" s="223"/>
      <c r="N183" s="223"/>
      <c r="O183" s="223"/>
      <c r="P183" s="223"/>
      <c r="Q183" s="174"/>
      <c r="R183" s="262"/>
      <c r="S183" s="252"/>
      <c r="T183" s="281"/>
      <c r="U183" s="282"/>
      <c r="V183" s="281"/>
      <c r="W183" s="247"/>
      <c r="X183" s="1713"/>
      <c r="Y183" s="223"/>
      <c r="Z183" s="262"/>
      <c r="AA183" s="223"/>
      <c r="AB183" s="223"/>
      <c r="AC183" s="223"/>
      <c r="AD183" s="223"/>
      <c r="AE183" s="223"/>
      <c r="AF183" s="223"/>
      <c r="AG183" s="223"/>
      <c r="AH183" s="223"/>
      <c r="AI183" s="223"/>
      <c r="AJ183" s="223"/>
      <c r="AK183" s="262"/>
      <c r="AL183" s="223"/>
      <c r="AM183" s="223"/>
      <c r="AN183" s="223"/>
      <c r="AO183" s="223"/>
      <c r="AP183" s="223"/>
      <c r="AQ183" s="223"/>
      <c r="AR183" s="223"/>
      <c r="AS183" s="262"/>
      <c r="AT183" s="263"/>
      <c r="AU183" s="263"/>
      <c r="AV183" s="263"/>
      <c r="AW183" s="263"/>
      <c r="AX183" s="263"/>
      <c r="AY183" s="263"/>
      <c r="AZ183" s="263"/>
      <c r="BA183" s="263"/>
      <c r="BB183" s="268"/>
      <c r="BC183" s="263"/>
      <c r="BD183" s="263"/>
      <c r="BE183" s="263"/>
      <c r="BF183" s="263"/>
      <c r="BG183" s="263"/>
      <c r="BH183" s="263"/>
      <c r="BI183" s="263"/>
      <c r="BJ183" s="263"/>
      <c r="BK183" s="268"/>
      <c r="BL183" s="164"/>
      <c r="BM183" s="164"/>
      <c r="BN183" s="164"/>
      <c r="BO183" s="164"/>
      <c r="BP183" s="164"/>
      <c r="BQ183" s="164"/>
      <c r="BR183" s="8"/>
      <c r="BS183" s="8"/>
      <c r="BT183" s="8"/>
    </row>
    <row r="184" spans="2:72" s="13" customFormat="1" ht="22.5" customHeight="1">
      <c r="B184" s="37"/>
      <c r="H184" s="37"/>
      <c r="J184" s="284"/>
      <c r="K184" s="283"/>
      <c r="L184" s="283"/>
      <c r="M184" s="283"/>
      <c r="N184" s="283"/>
      <c r="O184" s="283"/>
      <c r="P184" s="283"/>
      <c r="Q184" s="283"/>
      <c r="R184" s="262"/>
      <c r="S184" s="283"/>
      <c r="T184" s="283"/>
      <c r="U184" s="283"/>
      <c r="V184" s="283"/>
      <c r="W184" s="263"/>
      <c r="X184" s="283"/>
      <c r="Y184" s="283"/>
      <c r="Z184" s="284"/>
      <c r="AA184" s="283"/>
      <c r="AB184" s="283"/>
      <c r="AC184" s="283"/>
      <c r="AD184" s="283"/>
      <c r="AE184" s="283"/>
      <c r="AF184" s="283"/>
      <c r="AG184" s="283"/>
      <c r="AH184" s="283"/>
      <c r="AI184" s="283"/>
      <c r="AJ184" s="283"/>
      <c r="AK184" s="284"/>
      <c r="AL184" s="283"/>
      <c r="AM184" s="283"/>
      <c r="AN184" s="283"/>
      <c r="AO184" s="283"/>
      <c r="AP184" s="283"/>
      <c r="AQ184" s="283"/>
      <c r="AR184" s="283"/>
      <c r="AS184" s="284"/>
      <c r="AT184" s="263"/>
      <c r="AU184" s="263"/>
      <c r="AV184" s="263"/>
      <c r="AW184" s="263"/>
      <c r="AX184" s="263"/>
      <c r="AY184" s="263"/>
      <c r="AZ184" s="263"/>
      <c r="BA184" s="263"/>
      <c r="BB184" s="268"/>
      <c r="BC184" s="263"/>
      <c r="BD184" s="263"/>
      <c r="BE184" s="263"/>
      <c r="BF184" s="263"/>
      <c r="BG184" s="263"/>
      <c r="BH184" s="263"/>
      <c r="BI184" s="263"/>
      <c r="BJ184" s="263"/>
      <c r="BK184" s="268"/>
      <c r="BL184" s="164"/>
      <c r="BM184" s="164"/>
      <c r="BN184" s="164"/>
      <c r="BO184" s="164"/>
      <c r="BP184" s="164"/>
      <c r="BQ184" s="164"/>
      <c r="BR184" s="8"/>
      <c r="BS184" s="8"/>
      <c r="BT184" s="8"/>
    </row>
    <row r="185" spans="2:72" s="13" customFormat="1" ht="22.5" customHeight="1">
      <c r="B185" s="37"/>
      <c r="H185" s="37"/>
      <c r="J185" s="284"/>
      <c r="K185" s="283"/>
      <c r="L185" s="283"/>
      <c r="M185" s="283"/>
      <c r="N185" s="283"/>
      <c r="O185" s="283"/>
      <c r="P185" s="283"/>
      <c r="Q185" s="283"/>
      <c r="R185" s="262"/>
      <c r="S185" s="283"/>
      <c r="T185" s="283"/>
      <c r="U185" s="283"/>
      <c r="V185" s="283"/>
      <c r="W185" s="263"/>
      <c r="X185" s="283"/>
      <c r="Y185" s="283"/>
      <c r="Z185" s="284"/>
      <c r="AA185" s="283"/>
      <c r="AB185" s="283"/>
      <c r="AC185" s="283"/>
      <c r="AD185" s="283"/>
      <c r="AE185" s="283"/>
      <c r="AF185" s="283"/>
      <c r="AG185" s="283"/>
      <c r="AH185" s="283"/>
      <c r="AI185" s="283"/>
      <c r="AJ185" s="283"/>
      <c r="AK185" s="284"/>
      <c r="AL185" s="283"/>
      <c r="AM185" s="283"/>
      <c r="AN185" s="283"/>
      <c r="AO185" s="283"/>
      <c r="AP185" s="283"/>
      <c r="AQ185" s="283"/>
      <c r="AR185" s="283"/>
      <c r="AS185" s="284"/>
      <c r="AT185" s="263"/>
      <c r="AU185" s="263"/>
      <c r="AV185" s="263"/>
      <c r="AW185" s="263"/>
      <c r="AX185" s="263"/>
      <c r="AY185" s="263"/>
      <c r="AZ185" s="263"/>
      <c r="BA185" s="263"/>
      <c r="BB185" s="268"/>
      <c r="BC185" s="263"/>
      <c r="BD185" s="263"/>
      <c r="BE185" s="263"/>
      <c r="BF185" s="263"/>
      <c r="BG185" s="263"/>
      <c r="BH185" s="263"/>
      <c r="BI185" s="263"/>
      <c r="BJ185" s="263"/>
      <c r="BK185" s="268"/>
      <c r="BL185" s="164"/>
      <c r="BM185" s="164"/>
      <c r="BN185" s="164"/>
      <c r="BO185" s="164"/>
      <c r="BP185" s="164"/>
      <c r="BQ185" s="164"/>
      <c r="BR185" s="8"/>
      <c r="BS185" s="8"/>
      <c r="BT185" s="8"/>
    </row>
    <row r="186" spans="2:72" s="13" customFormat="1" ht="22.5" customHeight="1">
      <c r="B186" s="37"/>
      <c r="H186" s="37"/>
      <c r="J186" s="284"/>
      <c r="K186" s="283"/>
      <c r="L186" s="283"/>
      <c r="M186" s="283"/>
      <c r="N186" s="283"/>
      <c r="O186" s="283"/>
      <c r="P186" s="283"/>
      <c r="Q186" s="283"/>
      <c r="R186" s="262"/>
      <c r="S186" s="283"/>
      <c r="T186" s="283"/>
      <c r="U186" s="283"/>
      <c r="V186" s="283"/>
      <c r="W186" s="263"/>
      <c r="X186" s="283"/>
      <c r="Y186" s="283"/>
      <c r="Z186" s="284"/>
      <c r="AA186" s="283"/>
      <c r="AB186" s="283"/>
      <c r="AC186" s="283"/>
      <c r="AD186" s="283"/>
      <c r="AE186" s="283"/>
      <c r="AF186" s="283"/>
      <c r="AG186" s="283"/>
      <c r="AH186" s="283"/>
      <c r="AI186" s="283"/>
      <c r="AJ186" s="283"/>
      <c r="AK186" s="284"/>
      <c r="AL186" s="283"/>
      <c r="AM186" s="283"/>
      <c r="AN186" s="283"/>
      <c r="AO186" s="283"/>
      <c r="AP186" s="283"/>
      <c r="AQ186" s="283"/>
      <c r="AR186" s="283"/>
      <c r="AS186" s="284"/>
      <c r="AT186" s="263"/>
      <c r="AU186" s="263"/>
      <c r="AV186" s="263"/>
      <c r="AW186" s="263"/>
      <c r="AX186" s="263"/>
      <c r="AY186" s="263"/>
      <c r="AZ186" s="263"/>
      <c r="BA186" s="263"/>
      <c r="BB186" s="268"/>
      <c r="BC186" s="263"/>
      <c r="BD186" s="263"/>
      <c r="BE186" s="263"/>
      <c r="BF186" s="263"/>
      <c r="BG186" s="263"/>
      <c r="BH186" s="263"/>
      <c r="BI186" s="263"/>
      <c r="BJ186" s="263"/>
      <c r="BK186" s="268"/>
      <c r="BL186" s="164"/>
      <c r="BM186" s="164"/>
      <c r="BN186" s="164"/>
      <c r="BO186" s="164"/>
      <c r="BP186" s="164"/>
      <c r="BQ186" s="164"/>
      <c r="BR186" s="8"/>
      <c r="BS186" s="8"/>
      <c r="BT186" s="8"/>
    </row>
    <row r="187" spans="2:72" s="37" customFormat="1" ht="22.5" customHeight="1">
      <c r="J187" s="268"/>
      <c r="K187" s="263"/>
      <c r="L187" s="263"/>
      <c r="M187" s="263"/>
      <c r="N187" s="263"/>
      <c r="O187" s="263"/>
      <c r="P187" s="263"/>
      <c r="Q187" s="263"/>
      <c r="R187" s="262"/>
      <c r="S187" s="263"/>
      <c r="T187" s="263"/>
      <c r="U187" s="263"/>
      <c r="V187" s="263"/>
      <c r="W187" s="263"/>
      <c r="X187" s="263"/>
      <c r="Y187" s="263"/>
      <c r="Z187" s="268"/>
      <c r="AA187" s="263"/>
      <c r="AB187" s="263"/>
      <c r="AC187" s="263"/>
      <c r="AD187" s="263"/>
      <c r="AE187" s="263"/>
      <c r="AF187" s="263"/>
      <c r="AG187" s="263"/>
      <c r="AH187" s="263"/>
      <c r="AI187" s="263"/>
      <c r="AJ187" s="263"/>
      <c r="AK187" s="268"/>
      <c r="AL187" s="263"/>
      <c r="AM187" s="263"/>
      <c r="AN187" s="263"/>
      <c r="AO187" s="263"/>
      <c r="AP187" s="263"/>
      <c r="AQ187" s="263"/>
      <c r="AR187" s="263"/>
      <c r="AS187" s="268"/>
      <c r="AT187" s="263"/>
      <c r="AU187" s="263"/>
      <c r="AV187" s="263"/>
      <c r="AW187" s="263"/>
      <c r="AX187" s="263"/>
      <c r="AY187" s="263"/>
      <c r="AZ187" s="263"/>
      <c r="BA187" s="263"/>
      <c r="BB187" s="268"/>
      <c r="BC187" s="263"/>
      <c r="BD187" s="263"/>
      <c r="BE187" s="263"/>
      <c r="BF187" s="263"/>
      <c r="BG187" s="263"/>
      <c r="BH187" s="263"/>
      <c r="BI187" s="263"/>
      <c r="BJ187" s="263"/>
      <c r="BK187" s="268"/>
      <c r="BL187" s="164"/>
      <c r="BM187" s="164"/>
      <c r="BN187" s="164"/>
      <c r="BO187" s="164"/>
      <c r="BP187" s="164"/>
      <c r="BQ187" s="164"/>
      <c r="BR187" s="8"/>
      <c r="BS187" s="8"/>
      <c r="BT187" s="8"/>
    </row>
    <row r="188" spans="2:72" s="37" customFormat="1" ht="22.5" customHeight="1">
      <c r="J188" s="268"/>
      <c r="K188" s="263"/>
      <c r="L188" s="263"/>
      <c r="M188" s="263"/>
      <c r="N188" s="263"/>
      <c r="O188" s="263"/>
      <c r="P188" s="263"/>
      <c r="Q188" s="263"/>
      <c r="R188" s="262"/>
      <c r="S188" s="263"/>
      <c r="T188" s="263"/>
      <c r="U188" s="263"/>
      <c r="V188" s="263"/>
      <c r="W188" s="263"/>
      <c r="X188" s="263"/>
      <c r="Y188" s="263"/>
      <c r="Z188" s="268"/>
      <c r="AA188" s="263"/>
      <c r="AB188" s="263"/>
      <c r="AC188" s="263"/>
      <c r="AD188" s="263"/>
      <c r="AE188" s="263"/>
      <c r="AF188" s="263"/>
      <c r="AG188" s="263"/>
      <c r="AH188" s="263"/>
      <c r="AI188" s="263"/>
      <c r="AJ188" s="263"/>
      <c r="AK188" s="268"/>
      <c r="AL188" s="263"/>
      <c r="AM188" s="263"/>
      <c r="AN188" s="263"/>
      <c r="AO188" s="263"/>
      <c r="AP188" s="263"/>
      <c r="AQ188" s="263"/>
      <c r="AR188" s="263"/>
      <c r="AS188" s="268"/>
      <c r="AT188" s="263"/>
      <c r="AU188" s="263"/>
      <c r="AV188" s="263"/>
      <c r="AW188" s="263"/>
      <c r="AX188" s="263"/>
      <c r="AY188" s="263"/>
      <c r="AZ188" s="263"/>
      <c r="BA188" s="263"/>
      <c r="BB188" s="268"/>
      <c r="BC188" s="263"/>
      <c r="BD188" s="263"/>
      <c r="BE188" s="263"/>
      <c r="BF188" s="263"/>
      <c r="BG188" s="263"/>
      <c r="BH188" s="263"/>
      <c r="BI188" s="263"/>
      <c r="BJ188" s="263"/>
      <c r="BK188" s="268"/>
      <c r="BL188" s="164"/>
      <c r="BM188" s="164"/>
      <c r="BN188" s="164"/>
      <c r="BO188" s="164"/>
      <c r="BP188" s="164"/>
      <c r="BQ188" s="164"/>
      <c r="BR188" s="8"/>
      <c r="BS188" s="8"/>
      <c r="BT188" s="8"/>
    </row>
    <row r="189" spans="2:72" s="37" customFormat="1" ht="22.5" customHeight="1">
      <c r="J189" s="268"/>
      <c r="K189" s="263"/>
      <c r="L189" s="263"/>
      <c r="M189" s="263"/>
      <c r="N189" s="263"/>
      <c r="O189" s="263"/>
      <c r="P189" s="263"/>
      <c r="Q189" s="263"/>
      <c r="R189" s="262"/>
      <c r="S189" s="263"/>
      <c r="T189" s="263"/>
      <c r="U189" s="263"/>
      <c r="V189" s="263"/>
      <c r="W189" s="263"/>
      <c r="X189" s="263"/>
      <c r="Y189" s="263"/>
      <c r="Z189" s="268"/>
      <c r="AA189" s="263"/>
      <c r="AB189" s="263"/>
      <c r="AC189" s="263"/>
      <c r="AD189" s="263"/>
      <c r="AE189" s="263"/>
      <c r="AF189" s="263"/>
      <c r="AG189" s="263"/>
      <c r="AH189" s="263"/>
      <c r="AI189" s="263"/>
      <c r="AJ189" s="263"/>
      <c r="AK189" s="268"/>
      <c r="AL189" s="263"/>
      <c r="AM189" s="263"/>
      <c r="AN189" s="263"/>
      <c r="AO189" s="263"/>
      <c r="AP189" s="263"/>
      <c r="AQ189" s="263"/>
      <c r="AR189" s="263"/>
      <c r="AS189" s="268"/>
      <c r="AT189" s="263"/>
      <c r="AU189" s="263"/>
      <c r="AV189" s="263"/>
      <c r="AW189" s="263"/>
      <c r="AX189" s="263"/>
      <c r="AY189" s="263"/>
      <c r="AZ189" s="263"/>
      <c r="BA189" s="263"/>
      <c r="BB189" s="268"/>
      <c r="BC189" s="263"/>
      <c r="BD189" s="263"/>
      <c r="BE189" s="263"/>
      <c r="BF189" s="263"/>
      <c r="BG189" s="263"/>
      <c r="BH189" s="263"/>
      <c r="BI189" s="263"/>
      <c r="BJ189" s="263"/>
      <c r="BK189" s="268"/>
      <c r="BL189" s="164"/>
      <c r="BM189" s="164"/>
      <c r="BN189" s="164"/>
      <c r="BO189" s="164"/>
      <c r="BP189" s="164"/>
      <c r="BQ189" s="164"/>
      <c r="BR189" s="8"/>
      <c r="BS189" s="8"/>
      <c r="BT189" s="8"/>
    </row>
    <row r="190" spans="2:72" s="37" customFormat="1" ht="22.5" customHeight="1">
      <c r="J190" s="268"/>
      <c r="K190" s="263"/>
      <c r="L190" s="263"/>
      <c r="M190" s="263"/>
      <c r="N190" s="263"/>
      <c r="O190" s="263"/>
      <c r="P190" s="263"/>
      <c r="Q190" s="263"/>
      <c r="R190" s="262"/>
      <c r="S190" s="263"/>
      <c r="T190" s="263"/>
      <c r="U190" s="263"/>
      <c r="V190" s="263"/>
      <c r="W190" s="263"/>
      <c r="X190" s="263"/>
      <c r="Y190" s="263"/>
      <c r="Z190" s="268"/>
      <c r="AA190" s="263"/>
      <c r="AB190" s="263"/>
      <c r="AC190" s="263"/>
      <c r="AD190" s="263"/>
      <c r="AE190" s="263"/>
      <c r="AF190" s="263"/>
      <c r="AG190" s="263"/>
      <c r="AH190" s="263"/>
      <c r="AI190" s="263"/>
      <c r="AJ190" s="263"/>
      <c r="AK190" s="268"/>
      <c r="AL190" s="263"/>
      <c r="AM190" s="263"/>
      <c r="AN190" s="263"/>
      <c r="AO190" s="263"/>
      <c r="AP190" s="263"/>
      <c r="AQ190" s="263"/>
      <c r="AR190" s="263"/>
      <c r="AS190" s="268"/>
      <c r="AT190" s="263"/>
      <c r="AU190" s="263"/>
      <c r="AV190" s="263"/>
      <c r="AW190" s="263"/>
      <c r="AX190" s="263"/>
      <c r="AY190" s="263"/>
      <c r="AZ190" s="263"/>
      <c r="BA190" s="164"/>
      <c r="BB190" s="268"/>
      <c r="BC190" s="164"/>
      <c r="BD190" s="164"/>
      <c r="BE190" s="164"/>
      <c r="BF190" s="164"/>
      <c r="BG190" s="164"/>
      <c r="BH190" s="164"/>
      <c r="BI190" s="164"/>
      <c r="BJ190" s="263"/>
      <c r="BK190" s="268"/>
      <c r="BL190" s="164"/>
      <c r="BM190" s="164"/>
      <c r="BN190" s="164"/>
      <c r="BO190" s="164"/>
      <c r="BP190" s="164"/>
      <c r="BQ190" s="164"/>
      <c r="BR190" s="8"/>
      <c r="BS190" s="8"/>
      <c r="BT190" s="8"/>
    </row>
    <row r="191" spans="2:72" s="37" customFormat="1" ht="22.5" customHeight="1">
      <c r="J191" s="268"/>
      <c r="K191" s="263"/>
      <c r="L191" s="263"/>
      <c r="M191" s="263"/>
      <c r="N191" s="263"/>
      <c r="O191" s="263"/>
      <c r="P191" s="263"/>
      <c r="Q191" s="263"/>
      <c r="R191" s="262"/>
      <c r="S191" s="263"/>
      <c r="T191" s="263"/>
      <c r="U191" s="263"/>
      <c r="V191" s="263"/>
      <c r="W191" s="263"/>
      <c r="X191" s="263"/>
      <c r="Y191" s="263"/>
      <c r="Z191" s="268"/>
      <c r="AA191" s="263"/>
      <c r="AB191" s="263"/>
      <c r="AC191" s="263"/>
      <c r="AD191" s="263"/>
      <c r="AE191" s="263"/>
      <c r="AF191" s="263"/>
      <c r="AG191" s="263"/>
      <c r="AH191" s="263"/>
      <c r="AI191" s="263"/>
      <c r="AJ191" s="263"/>
      <c r="AK191" s="268"/>
      <c r="AL191" s="263"/>
      <c r="AM191" s="263"/>
      <c r="AN191" s="263"/>
      <c r="AO191" s="263"/>
      <c r="AP191" s="263"/>
      <c r="AQ191" s="263"/>
      <c r="AR191" s="263"/>
      <c r="AS191" s="268"/>
      <c r="AT191" s="263"/>
      <c r="AU191" s="263"/>
      <c r="AV191" s="263"/>
      <c r="AW191" s="263"/>
      <c r="AX191" s="263"/>
      <c r="AY191" s="263"/>
      <c r="AZ191" s="263"/>
      <c r="BA191" s="164"/>
      <c r="BB191" s="264"/>
      <c r="BC191" s="164"/>
      <c r="BD191" s="164"/>
      <c r="BE191" s="164"/>
      <c r="BF191" s="164"/>
      <c r="BG191" s="164"/>
      <c r="BH191" s="164"/>
      <c r="BI191" s="164"/>
      <c r="BJ191" s="263"/>
      <c r="BK191" s="268"/>
      <c r="BL191" s="164"/>
      <c r="BM191" s="164"/>
      <c r="BN191" s="164"/>
      <c r="BO191" s="164"/>
      <c r="BP191" s="164"/>
      <c r="BQ191" s="164"/>
      <c r="BR191" s="8"/>
      <c r="BS191" s="8"/>
      <c r="BT191" s="8"/>
    </row>
    <row r="192" spans="2:72" s="37" customFormat="1" ht="22.5" customHeight="1">
      <c r="J192" s="268"/>
      <c r="K192" s="263"/>
      <c r="L192" s="263"/>
      <c r="M192" s="263"/>
      <c r="N192" s="263"/>
      <c r="O192" s="263"/>
      <c r="P192" s="263"/>
      <c r="Q192" s="263"/>
      <c r="R192" s="262"/>
      <c r="S192" s="263"/>
      <c r="T192" s="263"/>
      <c r="U192" s="263"/>
      <c r="V192" s="263"/>
      <c r="W192" s="263"/>
      <c r="X192" s="263"/>
      <c r="Y192" s="263"/>
      <c r="Z192" s="268"/>
      <c r="AA192" s="263"/>
      <c r="AB192" s="263"/>
      <c r="AC192" s="263"/>
      <c r="AD192" s="263"/>
      <c r="AE192" s="263"/>
      <c r="AF192" s="263"/>
      <c r="AG192" s="263"/>
      <c r="AH192" s="263"/>
      <c r="AI192" s="263"/>
      <c r="AJ192" s="263"/>
      <c r="AK192" s="268"/>
      <c r="AL192" s="263"/>
      <c r="AM192" s="263"/>
      <c r="AN192" s="263"/>
      <c r="AO192" s="263"/>
      <c r="AP192" s="263"/>
      <c r="AQ192" s="263"/>
      <c r="AR192" s="263"/>
      <c r="AS192" s="268"/>
      <c r="AT192" s="164"/>
      <c r="AU192" s="164"/>
      <c r="AV192" s="164"/>
      <c r="AW192" s="164"/>
      <c r="AX192" s="164"/>
      <c r="AY192" s="164"/>
      <c r="AZ192" s="164"/>
      <c r="BA192" s="164"/>
      <c r="BB192" s="264"/>
      <c r="BC192" s="164"/>
      <c r="BD192" s="164"/>
      <c r="BE192" s="164"/>
      <c r="BF192" s="164"/>
      <c r="BG192" s="164"/>
      <c r="BH192" s="164"/>
      <c r="BI192" s="164"/>
      <c r="BJ192" s="263"/>
      <c r="BK192" s="268"/>
      <c r="BL192" s="164"/>
      <c r="BM192" s="164"/>
      <c r="BN192" s="164"/>
      <c r="BO192" s="164"/>
      <c r="BP192" s="164"/>
      <c r="BQ192" s="164"/>
      <c r="BR192" s="8"/>
      <c r="BS192" s="8"/>
      <c r="BT192" s="8"/>
    </row>
    <row r="193" spans="1:72" s="37" customFormat="1" ht="22.5" customHeight="1">
      <c r="J193" s="268"/>
      <c r="K193" s="263"/>
      <c r="L193" s="263"/>
      <c r="M193" s="263"/>
      <c r="N193" s="263"/>
      <c r="O193" s="263"/>
      <c r="P193" s="263"/>
      <c r="Q193" s="263"/>
      <c r="R193" s="262"/>
      <c r="S193" s="263"/>
      <c r="T193" s="263"/>
      <c r="U193" s="263"/>
      <c r="V193" s="263"/>
      <c r="W193" s="263"/>
      <c r="X193" s="263"/>
      <c r="Y193" s="263"/>
      <c r="Z193" s="268"/>
      <c r="AA193" s="263"/>
      <c r="AB193" s="263"/>
      <c r="AC193" s="263"/>
      <c r="AD193" s="263"/>
      <c r="AE193" s="263"/>
      <c r="AF193" s="263"/>
      <c r="AG193" s="263"/>
      <c r="AH193" s="263"/>
      <c r="AI193" s="263"/>
      <c r="AJ193" s="263"/>
      <c r="AK193" s="268"/>
      <c r="AL193" s="263"/>
      <c r="AM193" s="263"/>
      <c r="AN193" s="263"/>
      <c r="AO193" s="263"/>
      <c r="AP193" s="263"/>
      <c r="AQ193" s="263"/>
      <c r="AR193" s="263"/>
      <c r="AS193" s="268"/>
      <c r="AT193" s="164"/>
      <c r="AU193" s="164"/>
      <c r="AV193" s="164"/>
      <c r="AW193" s="164"/>
      <c r="AX193" s="164"/>
      <c r="AY193" s="164"/>
      <c r="AZ193" s="164"/>
      <c r="BA193" s="164"/>
      <c r="BB193" s="264"/>
      <c r="BC193" s="164"/>
      <c r="BD193" s="164"/>
      <c r="BE193" s="164"/>
      <c r="BF193" s="164"/>
      <c r="BG193" s="164"/>
      <c r="BH193" s="164"/>
      <c r="BI193" s="164"/>
      <c r="BJ193" s="164"/>
      <c r="BK193" s="268"/>
      <c r="BL193" s="164"/>
      <c r="BM193" s="164"/>
      <c r="BN193" s="164"/>
      <c r="BO193" s="164"/>
      <c r="BP193" s="164"/>
      <c r="BQ193" s="164"/>
      <c r="BR193" s="8"/>
      <c r="BS193" s="8"/>
      <c r="BT193" s="8"/>
    </row>
    <row r="194" spans="1:72" s="37" customFormat="1" ht="22.5" customHeight="1">
      <c r="J194" s="268"/>
      <c r="K194" s="263"/>
      <c r="L194" s="263"/>
      <c r="M194" s="263"/>
      <c r="N194" s="263"/>
      <c r="O194" s="263"/>
      <c r="P194" s="263"/>
      <c r="Q194" s="263"/>
      <c r="R194" s="262"/>
      <c r="S194" s="263"/>
      <c r="T194" s="263"/>
      <c r="U194" s="263"/>
      <c r="V194" s="263"/>
      <c r="W194" s="263"/>
      <c r="X194" s="263"/>
      <c r="Y194" s="263"/>
      <c r="Z194" s="268"/>
      <c r="AA194" s="263"/>
      <c r="AB194" s="263"/>
      <c r="AC194" s="263"/>
      <c r="AD194" s="263"/>
      <c r="AE194" s="263"/>
      <c r="AF194" s="263"/>
      <c r="AG194" s="263"/>
      <c r="AH194" s="263"/>
      <c r="AI194" s="263"/>
      <c r="AJ194" s="263"/>
      <c r="AK194" s="268"/>
      <c r="AL194" s="263"/>
      <c r="AM194" s="263"/>
      <c r="AN194" s="263"/>
      <c r="AO194" s="263"/>
      <c r="AP194" s="263"/>
      <c r="AQ194" s="263"/>
      <c r="AR194" s="263"/>
      <c r="AS194" s="268"/>
      <c r="AT194" s="164"/>
      <c r="AU194" s="164"/>
      <c r="AV194" s="164"/>
      <c r="AW194" s="164"/>
      <c r="AX194" s="164"/>
      <c r="AY194" s="164"/>
      <c r="AZ194" s="164"/>
      <c r="BA194" s="164"/>
      <c r="BB194" s="264"/>
      <c r="BC194" s="164"/>
      <c r="BD194" s="164"/>
      <c r="BE194" s="164"/>
      <c r="BF194" s="164"/>
      <c r="BG194" s="164"/>
      <c r="BH194" s="164"/>
      <c r="BI194" s="164"/>
      <c r="BJ194" s="164"/>
      <c r="BK194" s="264"/>
      <c r="BL194" s="164"/>
      <c r="BM194" s="164"/>
      <c r="BN194" s="164"/>
      <c r="BO194" s="164"/>
      <c r="BP194" s="164"/>
      <c r="BQ194" s="164"/>
      <c r="BR194" s="8"/>
      <c r="BS194" s="8"/>
      <c r="BT194" s="8"/>
    </row>
    <row r="195" spans="1:72" s="37" customFormat="1" ht="22.5" customHeight="1">
      <c r="A195" s="107"/>
      <c r="J195" s="268"/>
      <c r="K195" s="263"/>
      <c r="L195" s="263"/>
      <c r="M195" s="263"/>
      <c r="N195" s="263"/>
      <c r="O195" s="263"/>
      <c r="P195" s="263"/>
      <c r="Q195" s="277"/>
      <c r="R195" s="262"/>
      <c r="S195" s="1712"/>
      <c r="T195" s="285"/>
      <c r="U195" s="286"/>
      <c r="V195" s="285"/>
      <c r="W195" s="247"/>
      <c r="X195" s="247"/>
      <c r="Y195" s="263"/>
      <c r="Z195" s="268"/>
      <c r="AA195" s="263"/>
      <c r="AB195" s="263"/>
      <c r="AC195" s="263"/>
      <c r="AD195" s="263"/>
      <c r="AE195" s="263"/>
      <c r="AF195" s="263"/>
      <c r="AG195" s="263"/>
      <c r="AH195" s="263"/>
      <c r="AI195" s="263"/>
      <c r="AJ195" s="263"/>
      <c r="AK195" s="268"/>
      <c r="AL195" s="263"/>
      <c r="AM195" s="263"/>
      <c r="AN195" s="263"/>
      <c r="AO195" s="263"/>
      <c r="AP195" s="263"/>
      <c r="AQ195" s="263"/>
      <c r="AR195" s="263"/>
      <c r="AS195" s="268"/>
      <c r="AT195" s="164"/>
      <c r="AU195" s="164"/>
      <c r="AV195" s="164"/>
      <c r="AW195" s="164"/>
      <c r="AX195" s="164"/>
      <c r="AY195" s="164"/>
      <c r="AZ195" s="164"/>
      <c r="BA195" s="164"/>
      <c r="BB195" s="264"/>
      <c r="BC195" s="164"/>
      <c r="BD195" s="164"/>
      <c r="BE195" s="164"/>
      <c r="BF195" s="164"/>
      <c r="BG195" s="164"/>
      <c r="BH195" s="164"/>
      <c r="BI195" s="164"/>
      <c r="BJ195" s="164"/>
      <c r="BK195" s="264"/>
      <c r="BL195" s="164"/>
      <c r="BM195" s="164"/>
      <c r="BN195" s="164"/>
      <c r="BO195" s="164"/>
      <c r="BP195" s="164"/>
      <c r="BQ195" s="164"/>
      <c r="BR195" s="8"/>
      <c r="BS195" s="8"/>
      <c r="BT195" s="8"/>
    </row>
    <row r="196" spans="1:72" s="37" customFormat="1" ht="22.5" customHeight="1">
      <c r="A196" s="107"/>
      <c r="J196" s="268"/>
      <c r="K196" s="263"/>
      <c r="L196" s="263"/>
      <c r="M196" s="263"/>
      <c r="N196" s="263"/>
      <c r="O196" s="263"/>
      <c r="P196" s="263"/>
      <c r="Q196" s="277"/>
      <c r="R196" s="262"/>
      <c r="S196" s="1712"/>
      <c r="T196" s="285"/>
      <c r="U196" s="286"/>
      <c r="V196" s="285"/>
      <c r="W196" s="247"/>
      <c r="X196" s="247"/>
      <c r="Y196" s="263"/>
      <c r="Z196" s="268"/>
      <c r="AA196" s="263"/>
      <c r="AB196" s="263"/>
      <c r="AC196" s="263"/>
      <c r="AD196" s="263"/>
      <c r="AE196" s="263"/>
      <c r="AF196" s="263"/>
      <c r="AG196" s="263"/>
      <c r="AH196" s="263"/>
      <c r="AI196" s="263"/>
      <c r="AJ196" s="263"/>
      <c r="AK196" s="268"/>
      <c r="AL196" s="263"/>
      <c r="AM196" s="263"/>
      <c r="AN196" s="263"/>
      <c r="AO196" s="263"/>
      <c r="AP196" s="263"/>
      <c r="AQ196" s="263"/>
      <c r="AR196" s="263"/>
      <c r="AS196" s="268"/>
      <c r="AT196" s="164"/>
      <c r="AU196" s="164"/>
      <c r="AV196" s="164"/>
      <c r="AW196" s="164"/>
      <c r="AX196" s="164"/>
      <c r="AY196" s="164"/>
      <c r="AZ196" s="164"/>
      <c r="BA196" s="164"/>
      <c r="BB196" s="264"/>
      <c r="BC196" s="164"/>
      <c r="BD196" s="164"/>
      <c r="BE196" s="164"/>
      <c r="BF196" s="164"/>
      <c r="BG196" s="164"/>
      <c r="BH196" s="164"/>
      <c r="BI196" s="164"/>
      <c r="BJ196" s="164"/>
      <c r="BK196" s="264"/>
      <c r="BL196" s="164"/>
      <c r="BM196" s="164"/>
      <c r="BN196" s="164"/>
      <c r="BO196" s="164"/>
      <c r="BP196" s="164"/>
      <c r="BQ196" s="164"/>
      <c r="BR196" s="8"/>
      <c r="BS196" s="8"/>
      <c r="BT196" s="8"/>
    </row>
    <row r="197" spans="1:72" s="37" customFormat="1" ht="22.5" customHeight="1">
      <c r="A197" s="107"/>
      <c r="B197" s="107"/>
      <c r="C197" s="1711"/>
      <c r="D197" s="1710"/>
      <c r="E197" s="108"/>
      <c r="F197" s="1710"/>
      <c r="G197" s="1710"/>
      <c r="H197" s="1710"/>
      <c r="I197" s="1710"/>
      <c r="J197" s="268"/>
      <c r="K197" s="263"/>
      <c r="L197" s="263"/>
      <c r="M197" s="263"/>
      <c r="N197" s="263"/>
      <c r="O197" s="263"/>
      <c r="P197" s="263"/>
      <c r="Q197" s="277"/>
      <c r="R197" s="262"/>
      <c r="S197" s="1712"/>
      <c r="T197" s="285"/>
      <c r="U197" s="286"/>
      <c r="V197" s="285"/>
      <c r="W197" s="247"/>
      <c r="X197" s="247"/>
      <c r="Y197" s="263"/>
      <c r="Z197" s="268"/>
      <c r="AA197" s="263"/>
      <c r="AB197" s="263"/>
      <c r="AC197" s="263"/>
      <c r="AD197" s="263"/>
      <c r="AE197" s="263"/>
      <c r="AF197" s="263"/>
      <c r="AG197" s="263"/>
      <c r="AH197" s="263"/>
      <c r="AI197" s="263"/>
      <c r="AJ197" s="263"/>
      <c r="AK197" s="268"/>
      <c r="AL197" s="263"/>
      <c r="AM197" s="263"/>
      <c r="AN197" s="263"/>
      <c r="AO197" s="263"/>
      <c r="AP197" s="263"/>
      <c r="AQ197" s="263"/>
      <c r="AR197" s="263"/>
      <c r="AS197" s="268"/>
      <c r="AT197" s="164"/>
      <c r="AU197" s="164"/>
      <c r="AV197" s="164"/>
      <c r="AW197" s="164"/>
      <c r="AX197" s="164"/>
      <c r="AY197" s="164"/>
      <c r="AZ197" s="164"/>
      <c r="BA197" s="164"/>
      <c r="BB197" s="264"/>
      <c r="BC197" s="164"/>
      <c r="BD197" s="164"/>
      <c r="BE197" s="164"/>
      <c r="BF197" s="164"/>
      <c r="BG197" s="164"/>
      <c r="BH197" s="164"/>
      <c r="BI197" s="164"/>
      <c r="BJ197" s="164"/>
      <c r="BK197" s="264"/>
      <c r="BL197" s="164"/>
      <c r="BM197" s="164"/>
      <c r="BN197" s="164"/>
      <c r="BO197" s="164"/>
      <c r="BP197" s="164"/>
      <c r="BQ197" s="164"/>
      <c r="BR197" s="8"/>
      <c r="BS197" s="8"/>
      <c r="BT197" s="8"/>
    </row>
    <row r="198" spans="1:72" s="37" customFormat="1" ht="22.5" customHeight="1">
      <c r="A198" s="107"/>
      <c r="B198" s="107"/>
      <c r="C198" s="1711"/>
      <c r="D198" s="1710"/>
      <c r="E198" s="108"/>
      <c r="F198" s="1710"/>
      <c r="G198" s="1710"/>
      <c r="H198" s="1710"/>
      <c r="I198" s="1710"/>
      <c r="J198" s="268"/>
      <c r="K198" s="263"/>
      <c r="L198" s="263"/>
      <c r="M198" s="263"/>
      <c r="N198" s="263"/>
      <c r="O198" s="263"/>
      <c r="P198" s="263"/>
      <c r="Q198" s="277"/>
      <c r="R198" s="262"/>
      <c r="S198" s="1712"/>
      <c r="T198" s="285"/>
      <c r="U198" s="286"/>
      <c r="V198" s="285"/>
      <c r="W198" s="247"/>
      <c r="X198" s="247"/>
      <c r="Y198" s="263"/>
      <c r="Z198" s="268"/>
      <c r="AA198" s="263"/>
      <c r="AB198" s="263"/>
      <c r="AC198" s="263"/>
      <c r="AD198" s="263"/>
      <c r="AE198" s="263"/>
      <c r="AF198" s="263"/>
      <c r="AG198" s="263"/>
      <c r="AH198" s="263"/>
      <c r="AI198" s="263"/>
      <c r="AJ198" s="263"/>
      <c r="AK198" s="268"/>
      <c r="AL198" s="263"/>
      <c r="AM198" s="263"/>
      <c r="AN198" s="263"/>
      <c r="AO198" s="263"/>
      <c r="AP198" s="263"/>
      <c r="AQ198" s="263"/>
      <c r="AR198" s="263"/>
      <c r="AS198" s="268"/>
      <c r="AT198" s="164"/>
      <c r="AU198" s="164"/>
      <c r="AV198" s="164"/>
      <c r="AW198" s="164"/>
      <c r="AX198" s="164"/>
      <c r="AY198" s="164"/>
      <c r="AZ198" s="164"/>
      <c r="BA198" s="164"/>
      <c r="BB198" s="264"/>
      <c r="BC198" s="164"/>
      <c r="BD198" s="164"/>
      <c r="BE198" s="164"/>
      <c r="BF198" s="164"/>
      <c r="BG198" s="164"/>
      <c r="BH198" s="164"/>
      <c r="BI198" s="164"/>
      <c r="BJ198" s="164"/>
      <c r="BK198" s="264"/>
      <c r="BL198" s="164"/>
      <c r="BM198" s="164"/>
      <c r="BN198" s="164"/>
      <c r="BO198" s="164"/>
      <c r="BP198" s="164"/>
      <c r="BQ198" s="164"/>
      <c r="BR198" s="8"/>
      <c r="BS198" s="8"/>
      <c r="BT198" s="8"/>
    </row>
    <row r="199" spans="1:72" s="37" customFormat="1" ht="22.5" customHeight="1">
      <c r="A199" s="107"/>
      <c r="B199" s="107"/>
      <c r="C199" s="1711"/>
      <c r="D199" s="1710"/>
      <c r="E199" s="108"/>
      <c r="F199" s="1710"/>
      <c r="G199" s="1710"/>
      <c r="H199" s="1710"/>
      <c r="I199" s="1710"/>
      <c r="J199" s="268"/>
      <c r="K199" s="263"/>
      <c r="L199" s="263"/>
      <c r="M199" s="263"/>
      <c r="N199" s="263"/>
      <c r="O199" s="263"/>
      <c r="P199" s="263"/>
      <c r="Q199" s="277"/>
      <c r="R199" s="262"/>
      <c r="S199" s="1712"/>
      <c r="T199" s="285"/>
      <c r="U199" s="286"/>
      <c r="V199" s="285"/>
      <c r="W199" s="247"/>
      <c r="X199" s="247"/>
      <c r="Y199" s="263"/>
      <c r="Z199" s="268"/>
      <c r="AA199" s="263"/>
      <c r="AB199" s="263"/>
      <c r="AC199" s="263"/>
      <c r="AD199" s="263"/>
      <c r="AE199" s="263"/>
      <c r="AF199" s="263"/>
      <c r="AG199" s="263"/>
      <c r="AH199" s="263"/>
      <c r="AI199" s="263"/>
      <c r="AJ199" s="263"/>
      <c r="AK199" s="268"/>
      <c r="AL199" s="263"/>
      <c r="AM199" s="263"/>
      <c r="AN199" s="263"/>
      <c r="AO199" s="263"/>
      <c r="AP199" s="263"/>
      <c r="AQ199" s="263"/>
      <c r="AR199" s="263"/>
      <c r="AS199" s="268"/>
      <c r="AT199" s="164"/>
      <c r="AU199" s="164"/>
      <c r="AV199" s="164"/>
      <c r="AW199" s="164"/>
      <c r="AX199" s="164"/>
      <c r="AY199" s="164"/>
      <c r="AZ199" s="164"/>
      <c r="BA199" s="164"/>
      <c r="BB199" s="264"/>
      <c r="BC199" s="164"/>
      <c r="BD199" s="164"/>
      <c r="BE199" s="164"/>
      <c r="BF199" s="164"/>
      <c r="BG199" s="164"/>
      <c r="BH199" s="164"/>
      <c r="BI199" s="164"/>
      <c r="BJ199" s="164"/>
      <c r="BK199" s="264"/>
      <c r="BL199" s="164"/>
      <c r="BM199" s="164"/>
      <c r="BN199" s="164"/>
      <c r="BO199" s="164"/>
      <c r="BP199" s="164"/>
      <c r="BQ199" s="164"/>
      <c r="BR199" s="8"/>
      <c r="BS199" s="8"/>
      <c r="BT199" s="8"/>
    </row>
    <row r="200" spans="1:72" ht="22.5" customHeight="1"/>
    <row r="201" spans="1:72" ht="22.5" customHeight="1"/>
    <row r="202" spans="1:72" ht="22.5" customHeight="1"/>
    <row r="203" spans="1:72" ht="22.5" customHeight="1"/>
    <row r="204" spans="1:72" ht="22.5" customHeight="1"/>
    <row r="205" spans="1:72" ht="22.5" customHeight="1"/>
    <row r="206" spans="1:72" ht="22.5" customHeight="1"/>
    <row r="207" spans="1:72" ht="22.5" customHeight="1"/>
    <row r="208" spans="1:72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</sheetData>
  <customSheetViews>
    <customSheetView guid="{A374FC54-96E3-45F0-9C12-8450400C12DF}" scale="160" topLeftCell="BC1">
      <pane ySplit="4" topLeftCell="A8" activePane="bottomLeft" state="frozen"/>
      <selection pane="bottomLeft" activeCell="BJ18" sqref="BJ18"/>
      <colBreaks count="3" manualBreakCount="3">
        <brk id="9" max="1048575" man="1"/>
        <brk id="18" max="1048575" man="1"/>
        <brk id="54" max="1048575" man="1"/>
      </colBreaks>
      <pageMargins left="0.62992125984252001" right="0.511811023622047" top="0.39370078740157499" bottom="0.511811023622047" header="0.25" footer="0"/>
      <pageSetup paperSize="132" scale="99" firstPageNumber="56" orientation="portrait" useFirstPageNumber="1" r:id="rId1"/>
      <headerFooter alignWithMargins="0">
        <oddFooter>&amp;C&amp;"Times New Roman,Regular"&amp;8&amp;P</oddFooter>
      </headerFooter>
    </customSheetView>
  </customSheetViews>
  <mergeCells count="87">
    <mergeCell ref="AT24:AX24"/>
    <mergeCell ref="AT19:AX19"/>
    <mergeCell ref="AS3:AS4"/>
    <mergeCell ref="AT3:AT4"/>
    <mergeCell ref="AU3:AU4"/>
    <mergeCell ref="AX3:AX4"/>
    <mergeCell ref="P3:P4"/>
    <mergeCell ref="Q3:Q4"/>
    <mergeCell ref="R3:R4"/>
    <mergeCell ref="S3:S4"/>
    <mergeCell ref="T3:T4"/>
    <mergeCell ref="K3:K4"/>
    <mergeCell ref="L3:L4"/>
    <mergeCell ref="M3:M4"/>
    <mergeCell ref="N3:N4"/>
    <mergeCell ref="O3:O4"/>
    <mergeCell ref="A1:I1"/>
    <mergeCell ref="J1:N1"/>
    <mergeCell ref="P1:R1"/>
    <mergeCell ref="Y1:AA1"/>
    <mergeCell ref="AB1:AF1"/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  <mergeCell ref="AI1:AJ1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BR1:BT1"/>
    <mergeCell ref="AP1:AS1"/>
    <mergeCell ref="AT1:AX1"/>
    <mergeCell ref="BA1:BB1"/>
    <mergeCell ref="BH1:BK1"/>
    <mergeCell ref="BL1:BP1"/>
    <mergeCell ref="BA3:BA4"/>
    <mergeCell ref="AW3:AW4"/>
    <mergeCell ref="AN3:AN4"/>
    <mergeCell ref="AO3:AO4"/>
    <mergeCell ref="AP3:AP4"/>
    <mergeCell ref="AV3:AV4"/>
    <mergeCell ref="AY3:AY4"/>
    <mergeCell ref="AQ3:AQ4"/>
    <mergeCell ref="AR3:AR4"/>
    <mergeCell ref="U3:U4"/>
    <mergeCell ref="V3:V4"/>
    <mergeCell ref="W3:W4"/>
    <mergeCell ref="X3:X4"/>
    <mergeCell ref="AM3:AM4"/>
    <mergeCell ref="AK3:AK4"/>
    <mergeCell ref="AL3:AL4"/>
    <mergeCell ref="Y3:Y4"/>
    <mergeCell ref="BT3:BT4"/>
    <mergeCell ref="BQ3:BQ4"/>
    <mergeCell ref="A5:E5"/>
    <mergeCell ref="BL3:BL4"/>
    <mergeCell ref="BM3:BM4"/>
    <mergeCell ref="BN3:BN4"/>
    <mergeCell ref="BO3:BO4"/>
    <mergeCell ref="BP3:BP4"/>
    <mergeCell ref="BG3:BG4"/>
    <mergeCell ref="BH3:BH4"/>
    <mergeCell ref="BI3:BI4"/>
    <mergeCell ref="BJ3:BJ4"/>
    <mergeCell ref="BK3:BK4"/>
    <mergeCell ref="AZ3:AZ4"/>
    <mergeCell ref="BB3:BB4"/>
    <mergeCell ref="BR3:BR4"/>
    <mergeCell ref="BS3:BS4"/>
    <mergeCell ref="BE3:BE4"/>
    <mergeCell ref="BF3:BF4"/>
    <mergeCell ref="BD3:BD4"/>
    <mergeCell ref="BC3:BC4"/>
  </mergeCells>
  <pageMargins left="0.62992125984252001" right="0.511811023622047" top="0.39370078740157499" bottom="0.511811023622047" header="0.25" footer="0"/>
  <pageSetup paperSize="448" scale="93" firstPageNumber="60" orientation="portrait" useFirstPageNumber="1" r:id="rId2"/>
  <headerFooter alignWithMargins="0">
    <oddFooter>&amp;C&amp;"Times New Roman,Regular"&amp;8&amp;P</oddFooter>
  </headerFooter>
  <colBreaks count="7" manualBreakCount="7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6"/>
  <dimension ref="A1:W57"/>
  <sheetViews>
    <sheetView zoomScale="130" zoomScaleNormal="130" workbookViewId="0">
      <pane xSplit="4" ySplit="3" topLeftCell="J31" activePane="bottomRight" state="frozen"/>
      <selection activeCell="F85" sqref="F85"/>
      <selection pane="topRight" activeCell="F85" sqref="F85"/>
      <selection pane="bottomLeft" activeCell="F85" sqref="F85"/>
      <selection pane="bottomRight" activeCell="W9" sqref="W9"/>
    </sheetView>
  </sheetViews>
  <sheetFormatPr defaultColWidth="9.140625" defaultRowHeight="12.75"/>
  <cols>
    <col min="1" max="1" width="2.28515625" style="423" customWidth="1"/>
    <col min="2" max="2" width="3" style="8" customWidth="1"/>
    <col min="3" max="3" width="2.85546875" style="952" customWidth="1"/>
    <col min="4" max="4" width="33.42578125" style="8" customWidth="1"/>
    <col min="5" max="5" width="7.28515625" style="8" customWidth="1"/>
    <col min="6" max="6" width="7.140625" style="8" customWidth="1"/>
    <col min="7" max="7" width="7" style="8" customWidth="1"/>
    <col min="8" max="8" width="7.28515625" style="8" customWidth="1"/>
    <col min="9" max="9" width="7.5703125" style="8" customWidth="1"/>
    <col min="10" max="10" width="6" style="8" customWidth="1"/>
    <col min="11" max="11" width="6.140625" style="8" customWidth="1"/>
    <col min="12" max="15" width="6" style="8" customWidth="1"/>
    <col min="16" max="16" width="6.85546875" style="8" customWidth="1"/>
    <col min="17" max="17" width="6.7109375" style="8" customWidth="1"/>
    <col min="18" max="19" width="6.140625" style="8" customWidth="1"/>
    <col min="20" max="20" width="6" style="8" customWidth="1"/>
    <col min="21" max="21" width="6.140625" style="8" customWidth="1"/>
    <col min="22" max="22" width="6.85546875" style="8" customWidth="1"/>
    <col min="23" max="16384" width="9.140625" style="8"/>
  </cols>
  <sheetData>
    <row r="1" spans="1:23" s="347" customFormat="1" ht="14.25" customHeight="1">
      <c r="A1" s="2393" t="s">
        <v>1590</v>
      </c>
      <c r="B1" s="2393"/>
      <c r="C1" s="2393"/>
      <c r="D1" s="2393"/>
      <c r="E1" s="2393"/>
      <c r="F1" s="2393"/>
      <c r="G1" s="2393"/>
      <c r="H1" s="2393"/>
      <c r="I1" s="2393"/>
      <c r="J1" s="2392" t="s">
        <v>1589</v>
      </c>
      <c r="K1" s="2392"/>
      <c r="L1" s="2392"/>
      <c r="M1" s="2392"/>
      <c r="N1" s="2392"/>
      <c r="O1" s="2392"/>
      <c r="P1" s="2392"/>
      <c r="Q1" s="2392"/>
      <c r="R1" s="2392"/>
      <c r="S1" s="1151"/>
      <c r="T1" s="2394" t="s">
        <v>1593</v>
      </c>
      <c r="U1" s="2394"/>
      <c r="V1" s="2394"/>
    </row>
    <row r="2" spans="1:23" s="79" customFormat="1" ht="48" customHeight="1">
      <c r="A2" s="2395" t="s">
        <v>25</v>
      </c>
      <c r="B2" s="2396"/>
      <c r="C2" s="2396"/>
      <c r="D2" s="2397"/>
      <c r="E2" s="950" t="s">
        <v>897</v>
      </c>
      <c r="F2" s="950" t="s">
        <v>898</v>
      </c>
      <c r="G2" s="950" t="s">
        <v>1879</v>
      </c>
      <c r="H2" s="950" t="s">
        <v>1878</v>
      </c>
      <c r="I2" s="950" t="s">
        <v>899</v>
      </c>
      <c r="J2" s="950" t="s">
        <v>900</v>
      </c>
      <c r="K2" s="950" t="s">
        <v>890</v>
      </c>
      <c r="L2" s="950" t="s">
        <v>901</v>
      </c>
      <c r="M2" s="950" t="s">
        <v>902</v>
      </c>
      <c r="N2" s="950" t="s">
        <v>903</v>
      </c>
      <c r="O2" s="1150" t="s">
        <v>904</v>
      </c>
      <c r="P2" s="950" t="s">
        <v>1152</v>
      </c>
      <c r="Q2" s="858" t="s">
        <v>1587</v>
      </c>
      <c r="R2" s="950" t="s">
        <v>1588</v>
      </c>
      <c r="S2" s="1150" t="s">
        <v>1607</v>
      </c>
      <c r="T2" s="950" t="s">
        <v>2128</v>
      </c>
      <c r="U2" s="1150" t="s">
        <v>2129</v>
      </c>
      <c r="V2" s="1472" t="s">
        <v>2424</v>
      </c>
    </row>
    <row r="3" spans="1:23" s="79" customFormat="1" ht="10.5" customHeight="1">
      <c r="A3" s="2398"/>
      <c r="B3" s="2399"/>
      <c r="C3" s="2399"/>
      <c r="D3" s="2400"/>
      <c r="E3" s="950">
        <v>1</v>
      </c>
      <c r="F3" s="950">
        <v>2</v>
      </c>
      <c r="G3" s="950">
        <v>3</v>
      </c>
      <c r="H3" s="950">
        <v>4</v>
      </c>
      <c r="I3" s="950">
        <v>5</v>
      </c>
      <c r="J3" s="950">
        <v>6</v>
      </c>
      <c r="K3" s="950">
        <v>7</v>
      </c>
      <c r="L3" s="950">
        <v>8</v>
      </c>
      <c r="M3" s="950">
        <v>9</v>
      </c>
      <c r="N3" s="950">
        <v>10</v>
      </c>
      <c r="O3" s="950">
        <v>11</v>
      </c>
      <c r="P3" s="950">
        <v>12</v>
      </c>
      <c r="Q3" s="950">
        <v>13</v>
      </c>
      <c r="R3" s="950">
        <v>14</v>
      </c>
      <c r="S3" s="1150">
        <v>15</v>
      </c>
      <c r="T3" s="950">
        <v>16</v>
      </c>
      <c r="U3" s="950">
        <v>17</v>
      </c>
      <c r="V3" s="950">
        <v>18</v>
      </c>
      <c r="W3" s="68"/>
    </row>
    <row r="4" spans="1:23" s="49" customFormat="1" ht="13.5" customHeight="1">
      <c r="A4" s="416" t="s">
        <v>82</v>
      </c>
      <c r="B4" s="2360" t="s">
        <v>83</v>
      </c>
      <c r="C4" s="2360"/>
      <c r="D4" s="2360"/>
      <c r="E4" s="485">
        <v>6</v>
      </c>
      <c r="F4" s="485">
        <v>6</v>
      </c>
      <c r="G4" s="485">
        <v>6</v>
      </c>
      <c r="H4" s="485">
        <v>5</v>
      </c>
      <c r="I4" s="485">
        <v>5</v>
      </c>
      <c r="J4" s="485">
        <v>5</v>
      </c>
      <c r="K4" s="485">
        <v>5</v>
      </c>
      <c r="L4" s="485">
        <v>5</v>
      </c>
      <c r="M4" s="485">
        <v>5</v>
      </c>
      <c r="N4" s="485">
        <v>5</v>
      </c>
      <c r="O4" s="485">
        <v>5</v>
      </c>
      <c r="P4" s="485">
        <v>5</v>
      </c>
      <c r="Q4" s="485">
        <v>5</v>
      </c>
      <c r="R4" s="485">
        <v>5</v>
      </c>
      <c r="S4" s="485">
        <v>5</v>
      </c>
      <c r="T4" s="485">
        <v>4</v>
      </c>
      <c r="U4" s="485">
        <v>4</v>
      </c>
      <c r="V4" s="485">
        <v>4</v>
      </c>
    </row>
    <row r="5" spans="1:23" s="385" customFormat="1" ht="13.5" customHeight="1">
      <c r="A5" s="417" t="s">
        <v>512</v>
      </c>
      <c r="B5" s="2382" t="s">
        <v>891</v>
      </c>
      <c r="C5" s="2382"/>
      <c r="D5" s="2382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</row>
    <row r="6" spans="1:23" s="385" customFormat="1" ht="12">
      <c r="A6" s="2360" t="s">
        <v>959</v>
      </c>
      <c r="B6" s="2360"/>
      <c r="C6" s="2360"/>
      <c r="D6" s="2360"/>
      <c r="E6" s="485"/>
      <c r="F6" s="485"/>
      <c r="G6" s="485"/>
      <c r="H6" s="485"/>
      <c r="I6" s="485"/>
      <c r="J6" s="485"/>
      <c r="K6" s="485"/>
      <c r="L6" s="485"/>
      <c r="M6" s="485"/>
      <c r="N6" s="485"/>
      <c r="O6" s="485"/>
      <c r="P6" s="485"/>
      <c r="Q6" s="485"/>
      <c r="R6" s="485"/>
      <c r="S6" s="485"/>
      <c r="T6" s="485"/>
      <c r="U6" s="485"/>
      <c r="V6" s="485"/>
    </row>
    <row r="7" spans="1:23" s="385" customFormat="1" ht="12" customHeight="1">
      <c r="A7" s="419"/>
      <c r="B7" s="2373" t="s">
        <v>877</v>
      </c>
      <c r="C7" s="2373"/>
      <c r="D7" s="2373"/>
      <c r="E7" s="251">
        <v>8.5</v>
      </c>
      <c r="F7" s="251">
        <v>8.5</v>
      </c>
      <c r="G7" s="251">
        <v>8.5</v>
      </c>
      <c r="H7" s="251">
        <v>8.5</v>
      </c>
      <c r="I7" s="251">
        <v>7.5</v>
      </c>
      <c r="J7" s="251">
        <v>7.5</v>
      </c>
      <c r="K7" s="251">
        <v>7.5</v>
      </c>
      <c r="L7" s="251">
        <v>7.5</v>
      </c>
      <c r="M7" s="251">
        <v>7.5</v>
      </c>
      <c r="N7" s="251">
        <v>7.5</v>
      </c>
      <c r="O7" s="251">
        <v>7.5</v>
      </c>
      <c r="P7" s="251">
        <v>7.5</v>
      </c>
      <c r="Q7" s="251">
        <v>7.5</v>
      </c>
      <c r="R7" s="251">
        <v>5</v>
      </c>
      <c r="S7" s="251">
        <v>7.5</v>
      </c>
      <c r="T7" s="251">
        <v>7.5</v>
      </c>
      <c r="U7" s="251">
        <v>7.5</v>
      </c>
      <c r="V7" s="251">
        <v>7.5</v>
      </c>
    </row>
    <row r="8" spans="1:23" s="386" customFormat="1" ht="13.5" customHeight="1">
      <c r="A8" s="427"/>
      <c r="B8" s="2385" t="s">
        <v>887</v>
      </c>
      <c r="C8" s="2385"/>
      <c r="D8" s="2385"/>
      <c r="E8" s="487"/>
      <c r="F8" s="487"/>
      <c r="G8" s="487"/>
      <c r="H8" s="487"/>
      <c r="I8" s="487"/>
      <c r="J8" s="487"/>
      <c r="K8" s="487"/>
      <c r="L8" s="487"/>
      <c r="M8" s="487"/>
      <c r="N8" s="487"/>
      <c r="O8" s="487"/>
      <c r="P8" s="487"/>
      <c r="Q8" s="487"/>
      <c r="R8" s="487"/>
      <c r="S8" s="487"/>
      <c r="T8" s="487"/>
      <c r="U8" s="487"/>
      <c r="V8" s="487"/>
    </row>
    <row r="9" spans="1:23" s="385" customFormat="1" ht="12.75" customHeight="1">
      <c r="A9" s="419"/>
      <c r="B9" s="388"/>
      <c r="C9" s="2377" t="s">
        <v>886</v>
      </c>
      <c r="D9" s="2377"/>
      <c r="E9" s="251">
        <v>10.5</v>
      </c>
      <c r="F9" s="251">
        <v>10.5</v>
      </c>
      <c r="G9" s="251">
        <v>10.5</v>
      </c>
      <c r="H9" s="251">
        <v>10.5</v>
      </c>
      <c r="I9" s="251">
        <v>9.5</v>
      </c>
      <c r="J9" s="251">
        <v>9.5</v>
      </c>
      <c r="K9" s="251">
        <v>9.5</v>
      </c>
      <c r="L9" s="251">
        <v>9.5</v>
      </c>
      <c r="M9" s="251">
        <v>9.5</v>
      </c>
      <c r="N9" s="251">
        <v>9.5</v>
      </c>
      <c r="O9" s="251">
        <v>10.4</v>
      </c>
      <c r="P9" s="251">
        <v>10.4</v>
      </c>
      <c r="Q9" s="251">
        <v>10.4</v>
      </c>
      <c r="R9" s="251">
        <v>5</v>
      </c>
      <c r="S9" s="251">
        <v>10.199999999999999</v>
      </c>
      <c r="T9" s="251">
        <v>10.199999999999999</v>
      </c>
      <c r="U9" s="251">
        <v>10.199999999999999</v>
      </c>
      <c r="V9" s="251">
        <v>10.199999999999999</v>
      </c>
    </row>
    <row r="10" spans="1:23" s="385" customFormat="1" ht="12.75" customHeight="1">
      <c r="A10" s="418"/>
      <c r="B10" s="393"/>
      <c r="C10" s="2378" t="s">
        <v>885</v>
      </c>
      <c r="D10" s="2378"/>
      <c r="E10" s="321">
        <v>11.5</v>
      </c>
      <c r="F10" s="321">
        <v>11.5</v>
      </c>
      <c r="G10" s="321">
        <v>11.5</v>
      </c>
      <c r="H10" s="321">
        <v>11.5</v>
      </c>
      <c r="I10" s="321">
        <v>10.5</v>
      </c>
      <c r="J10" s="321">
        <v>10.5</v>
      </c>
      <c r="K10" s="321">
        <v>10.5</v>
      </c>
      <c r="L10" s="321">
        <v>10.5</v>
      </c>
      <c r="M10" s="321">
        <v>10.5</v>
      </c>
      <c r="N10" s="321">
        <v>10.5</v>
      </c>
      <c r="O10" s="321">
        <v>11.4</v>
      </c>
      <c r="P10" s="321">
        <v>11.4</v>
      </c>
      <c r="Q10" s="321">
        <v>11.4</v>
      </c>
      <c r="R10" s="321">
        <v>5.5</v>
      </c>
      <c r="S10" s="321">
        <v>10.7</v>
      </c>
      <c r="T10" s="321">
        <v>10.7</v>
      </c>
      <c r="U10" s="321">
        <v>10.7</v>
      </c>
      <c r="V10" s="321">
        <v>10.7</v>
      </c>
    </row>
    <row r="11" spans="1:23" s="385" customFormat="1" ht="12.75" customHeight="1">
      <c r="A11" s="419"/>
      <c r="B11" s="388"/>
      <c r="C11" s="2377" t="s">
        <v>884</v>
      </c>
      <c r="D11" s="2377"/>
      <c r="E11" s="251">
        <v>12.5</v>
      </c>
      <c r="F11" s="251">
        <v>12.5</v>
      </c>
      <c r="G11" s="251">
        <v>12.5</v>
      </c>
      <c r="H11" s="251">
        <v>12.5</v>
      </c>
      <c r="I11" s="251">
        <v>11.5</v>
      </c>
      <c r="J11" s="251">
        <v>11.5</v>
      </c>
      <c r="K11" s="251">
        <v>11.5</v>
      </c>
      <c r="L11" s="251">
        <v>11.5</v>
      </c>
      <c r="M11" s="251">
        <v>11.5</v>
      </c>
      <c r="N11" s="251">
        <v>11.5</v>
      </c>
      <c r="O11" s="251" t="s">
        <v>2130</v>
      </c>
      <c r="P11" s="251" t="s">
        <v>2130</v>
      </c>
      <c r="Q11" s="251" t="s">
        <v>2140</v>
      </c>
      <c r="R11" s="251" t="s">
        <v>2141</v>
      </c>
      <c r="S11" s="251" t="s">
        <v>2140</v>
      </c>
      <c r="T11" s="251" t="s">
        <v>2140</v>
      </c>
      <c r="U11" s="251" t="s">
        <v>2140</v>
      </c>
      <c r="V11" s="251" t="s">
        <v>2140</v>
      </c>
    </row>
    <row r="12" spans="1:23" s="386" customFormat="1" ht="12.75" customHeight="1">
      <c r="A12" s="427"/>
      <c r="B12" s="2385" t="s">
        <v>880</v>
      </c>
      <c r="C12" s="2385"/>
      <c r="D12" s="2385"/>
      <c r="E12" s="487"/>
      <c r="F12" s="487"/>
      <c r="G12" s="487"/>
      <c r="H12" s="487"/>
      <c r="I12" s="487"/>
      <c r="J12" s="487"/>
      <c r="K12" s="487"/>
      <c r="L12" s="487"/>
      <c r="M12" s="487"/>
      <c r="N12" s="487"/>
      <c r="O12" s="487"/>
      <c r="P12" s="487"/>
      <c r="Q12" s="487"/>
      <c r="R12" s="487"/>
      <c r="S12" s="487"/>
      <c r="T12" s="487"/>
      <c r="U12" s="487"/>
      <c r="V12" s="487"/>
    </row>
    <row r="13" spans="1:23" s="385" customFormat="1" ht="12.75" customHeight="1">
      <c r="A13" s="419"/>
      <c r="B13" s="388"/>
      <c r="C13" s="2373" t="s">
        <v>886</v>
      </c>
      <c r="D13" s="2373"/>
      <c r="E13" s="251">
        <v>9.5</v>
      </c>
      <c r="F13" s="251">
        <v>9.5</v>
      </c>
      <c r="G13" s="251">
        <v>9.5</v>
      </c>
      <c r="H13" s="251">
        <v>9.5</v>
      </c>
      <c r="I13" s="251">
        <v>8.5</v>
      </c>
      <c r="J13" s="251">
        <v>8.5</v>
      </c>
      <c r="K13" s="251">
        <v>8.5</v>
      </c>
      <c r="L13" s="251">
        <v>8.5</v>
      </c>
      <c r="M13" s="251">
        <v>8.5</v>
      </c>
      <c r="N13" s="251">
        <v>8.5</v>
      </c>
      <c r="O13" s="251">
        <v>10</v>
      </c>
      <c r="P13" s="251">
        <v>10</v>
      </c>
      <c r="Q13" s="251">
        <v>10</v>
      </c>
      <c r="R13" s="251">
        <v>4</v>
      </c>
      <c r="S13" s="251">
        <v>9</v>
      </c>
      <c r="T13" s="251">
        <v>9</v>
      </c>
      <c r="U13" s="251">
        <v>9</v>
      </c>
      <c r="V13" s="251">
        <v>9</v>
      </c>
    </row>
    <row r="14" spans="1:23" s="385" customFormat="1" ht="12.75" customHeight="1">
      <c r="A14" s="418"/>
      <c r="B14" s="393"/>
      <c r="C14" s="2383" t="s">
        <v>885</v>
      </c>
      <c r="D14" s="2383"/>
      <c r="E14" s="321">
        <v>10</v>
      </c>
      <c r="F14" s="321">
        <v>10</v>
      </c>
      <c r="G14" s="321">
        <v>10</v>
      </c>
      <c r="H14" s="321">
        <v>10</v>
      </c>
      <c r="I14" s="321">
        <v>9</v>
      </c>
      <c r="J14" s="321">
        <v>9</v>
      </c>
      <c r="K14" s="321">
        <v>9</v>
      </c>
      <c r="L14" s="321">
        <v>9</v>
      </c>
      <c r="M14" s="321">
        <v>9</v>
      </c>
      <c r="N14" s="321">
        <v>9</v>
      </c>
      <c r="O14" s="321">
        <v>10.5</v>
      </c>
      <c r="P14" s="321">
        <v>10.5</v>
      </c>
      <c r="Q14" s="321">
        <v>10.5</v>
      </c>
      <c r="R14" s="321">
        <v>4.5</v>
      </c>
      <c r="S14" s="321">
        <v>9.5</v>
      </c>
      <c r="T14" s="321">
        <v>9.5</v>
      </c>
      <c r="U14" s="321">
        <v>9.5</v>
      </c>
      <c r="V14" s="321">
        <v>9.5</v>
      </c>
    </row>
    <row r="15" spans="1:23" s="385" customFormat="1" ht="12.75" customHeight="1">
      <c r="A15" s="419"/>
      <c r="B15" s="388"/>
      <c r="C15" s="2373" t="s">
        <v>884</v>
      </c>
      <c r="D15" s="2373"/>
      <c r="E15" s="251">
        <v>10.5</v>
      </c>
      <c r="F15" s="251">
        <v>10.5</v>
      </c>
      <c r="G15" s="251">
        <v>10.5</v>
      </c>
      <c r="H15" s="251">
        <v>10.5</v>
      </c>
      <c r="I15" s="251">
        <v>9.5</v>
      </c>
      <c r="J15" s="251">
        <v>9.5</v>
      </c>
      <c r="K15" s="251">
        <v>9.5</v>
      </c>
      <c r="L15" s="251">
        <v>9.5</v>
      </c>
      <c r="M15" s="251">
        <v>9.5</v>
      </c>
      <c r="N15" s="251">
        <v>9.5</v>
      </c>
      <c r="O15" s="251">
        <v>11</v>
      </c>
      <c r="P15" s="251">
        <v>11</v>
      </c>
      <c r="Q15" s="251">
        <v>11</v>
      </c>
      <c r="R15" s="251">
        <v>5</v>
      </c>
      <c r="S15" s="251">
        <v>10</v>
      </c>
      <c r="T15" s="251">
        <v>10</v>
      </c>
      <c r="U15" s="251">
        <v>10</v>
      </c>
      <c r="V15" s="251">
        <v>10</v>
      </c>
    </row>
    <row r="16" spans="1:23" s="385" customFormat="1" ht="13.5" customHeight="1">
      <c r="A16" s="2402" t="s">
        <v>960</v>
      </c>
      <c r="B16" s="2402"/>
      <c r="C16" s="2402"/>
      <c r="D16" s="2402"/>
      <c r="E16" s="290"/>
      <c r="F16" s="290"/>
      <c r="G16" s="290"/>
      <c r="H16" s="290"/>
      <c r="I16" s="290"/>
      <c r="J16" s="290"/>
      <c r="K16" s="290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</row>
    <row r="17" spans="1:22" s="385" customFormat="1" ht="12" customHeight="1">
      <c r="A17" s="421"/>
      <c r="B17" s="2381" t="s">
        <v>892</v>
      </c>
      <c r="C17" s="2381"/>
      <c r="D17" s="2381"/>
      <c r="E17" s="231">
        <v>13.5</v>
      </c>
      <c r="F17" s="231">
        <v>12</v>
      </c>
      <c r="G17" s="231">
        <v>12</v>
      </c>
      <c r="H17" s="231">
        <v>12</v>
      </c>
      <c r="I17" s="231">
        <v>12</v>
      </c>
      <c r="J17" s="231">
        <v>11.5</v>
      </c>
      <c r="K17" s="231">
        <v>11.5</v>
      </c>
      <c r="L17" s="231">
        <v>10</v>
      </c>
      <c r="M17" s="256">
        <v>10</v>
      </c>
      <c r="N17" s="256">
        <v>10</v>
      </c>
      <c r="O17" s="256" t="s">
        <v>2131</v>
      </c>
      <c r="P17" s="256" t="s">
        <v>2131</v>
      </c>
      <c r="Q17" s="256" t="s">
        <v>2142</v>
      </c>
      <c r="R17" s="256" t="s">
        <v>2142</v>
      </c>
      <c r="S17" s="256" t="s">
        <v>2142</v>
      </c>
      <c r="T17" s="256" t="s">
        <v>2142</v>
      </c>
      <c r="U17" s="256" t="s">
        <v>2142</v>
      </c>
      <c r="V17" s="256" t="s">
        <v>2142</v>
      </c>
    </row>
    <row r="18" spans="1:22" s="385" customFormat="1" ht="12" customHeight="1">
      <c r="A18" s="420"/>
      <c r="B18" s="2379" t="s">
        <v>893</v>
      </c>
      <c r="C18" s="2379"/>
      <c r="D18" s="2379"/>
      <c r="E18" s="290">
        <v>14.5</v>
      </c>
      <c r="F18" s="290">
        <v>12.5</v>
      </c>
      <c r="G18" s="290">
        <v>12.5</v>
      </c>
      <c r="H18" s="290">
        <v>12.5</v>
      </c>
      <c r="I18" s="290">
        <v>12.5</v>
      </c>
      <c r="J18" s="290">
        <v>12</v>
      </c>
      <c r="K18" s="290">
        <v>12</v>
      </c>
      <c r="L18" s="290">
        <v>10.5</v>
      </c>
      <c r="M18" s="295">
        <v>10.5</v>
      </c>
      <c r="N18" s="295">
        <v>10.5</v>
      </c>
      <c r="O18" s="295" t="s">
        <v>2132</v>
      </c>
      <c r="P18" s="290" t="s">
        <v>2132</v>
      </c>
      <c r="Q18" s="290" t="s">
        <v>2143</v>
      </c>
      <c r="R18" s="290" t="s">
        <v>2143</v>
      </c>
      <c r="S18" s="290" t="s">
        <v>2143</v>
      </c>
      <c r="T18" s="290" t="s">
        <v>2143</v>
      </c>
      <c r="U18" s="290" t="s">
        <v>2143</v>
      </c>
      <c r="V18" s="290" t="s">
        <v>2143</v>
      </c>
    </row>
    <row r="19" spans="1:22" s="385" customFormat="1" ht="12" customHeight="1">
      <c r="A19" s="421"/>
      <c r="B19" s="2401" t="s">
        <v>894</v>
      </c>
      <c r="C19" s="2401"/>
      <c r="D19" s="2401"/>
      <c r="E19" s="488" t="s">
        <v>590</v>
      </c>
      <c r="F19" s="488" t="s">
        <v>590</v>
      </c>
      <c r="G19" s="488" t="s">
        <v>590</v>
      </c>
      <c r="H19" s="488" t="s">
        <v>590</v>
      </c>
      <c r="I19" s="488" t="s">
        <v>590</v>
      </c>
      <c r="J19" s="488">
        <v>12.5</v>
      </c>
      <c r="K19" s="363">
        <v>12.5</v>
      </c>
      <c r="L19" s="231">
        <v>12.5</v>
      </c>
      <c r="M19" s="231">
        <v>11</v>
      </c>
      <c r="N19" s="256">
        <v>11</v>
      </c>
      <c r="O19" s="256" t="s">
        <v>2132</v>
      </c>
      <c r="P19" s="256" t="s">
        <v>2132</v>
      </c>
      <c r="Q19" s="256" t="s">
        <v>2144</v>
      </c>
      <c r="R19" s="256" t="s">
        <v>2144</v>
      </c>
      <c r="S19" s="256" t="s">
        <v>2144</v>
      </c>
      <c r="T19" s="256" t="s">
        <v>2144</v>
      </c>
      <c r="U19" s="256" t="s">
        <v>2144</v>
      </c>
      <c r="V19" s="256" t="s">
        <v>2144</v>
      </c>
    </row>
    <row r="20" spans="1:22" s="385" customFormat="1" ht="12.75" customHeight="1">
      <c r="A20" s="420"/>
      <c r="B20" s="2404" t="s">
        <v>895</v>
      </c>
      <c r="C20" s="2404"/>
      <c r="D20" s="2404"/>
      <c r="E20" s="489" t="s">
        <v>590</v>
      </c>
      <c r="F20" s="489" t="s">
        <v>590</v>
      </c>
      <c r="G20" s="489" t="s">
        <v>590</v>
      </c>
      <c r="H20" s="489" t="s">
        <v>590</v>
      </c>
      <c r="I20" s="489" t="s">
        <v>590</v>
      </c>
      <c r="J20" s="489" t="s">
        <v>590</v>
      </c>
      <c r="K20" s="489" t="s">
        <v>590</v>
      </c>
      <c r="L20" s="489" t="s">
        <v>590</v>
      </c>
      <c r="M20" s="489">
        <v>11.04</v>
      </c>
      <c r="N20" s="295">
        <v>11.04</v>
      </c>
      <c r="O20" s="295" t="s">
        <v>2133</v>
      </c>
      <c r="P20" s="294" t="s">
        <v>2133</v>
      </c>
      <c r="Q20" s="294" t="s">
        <v>2145</v>
      </c>
      <c r="R20" s="294" t="s">
        <v>2145</v>
      </c>
      <c r="S20" s="294" t="s">
        <v>2145</v>
      </c>
      <c r="T20" s="294" t="s">
        <v>2145</v>
      </c>
      <c r="U20" s="294" t="s">
        <v>2145</v>
      </c>
      <c r="V20" s="294" t="s">
        <v>2145</v>
      </c>
    </row>
    <row r="21" spans="1:22" s="385" customFormat="1" ht="12.75" customHeight="1">
      <c r="A21" s="2403" t="s">
        <v>1379</v>
      </c>
      <c r="B21" s="2403"/>
      <c r="C21" s="2403"/>
      <c r="D21" s="2403"/>
      <c r="E21" s="169"/>
      <c r="F21" s="169"/>
      <c r="G21" s="169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</row>
    <row r="22" spans="1:22" s="385" customFormat="1" ht="12.75" customHeight="1">
      <c r="A22" s="420"/>
      <c r="B22" s="395"/>
      <c r="C22" s="2369" t="s">
        <v>871</v>
      </c>
      <c r="D22" s="2369"/>
      <c r="E22" s="415" t="s">
        <v>870</v>
      </c>
      <c r="F22" s="415" t="s">
        <v>870</v>
      </c>
      <c r="G22" s="415" t="s">
        <v>870</v>
      </c>
      <c r="H22" s="415" t="s">
        <v>870</v>
      </c>
      <c r="I22" s="415" t="s">
        <v>870</v>
      </c>
      <c r="J22" s="415" t="s">
        <v>870</v>
      </c>
      <c r="K22" s="415" t="s">
        <v>870</v>
      </c>
      <c r="L22" s="415" t="s">
        <v>870</v>
      </c>
      <c r="M22" s="415" t="s">
        <v>870</v>
      </c>
      <c r="N22" s="415" t="s">
        <v>870</v>
      </c>
      <c r="O22" s="415" t="s">
        <v>870</v>
      </c>
      <c r="P22" s="415" t="s">
        <v>870</v>
      </c>
      <c r="Q22" s="415" t="s">
        <v>870</v>
      </c>
      <c r="R22" s="415" t="s">
        <v>870</v>
      </c>
      <c r="S22" s="415" t="s">
        <v>870</v>
      </c>
      <c r="T22" s="415" t="s">
        <v>870</v>
      </c>
      <c r="U22" s="415" t="s">
        <v>870</v>
      </c>
      <c r="V22" s="415" t="s">
        <v>870</v>
      </c>
    </row>
    <row r="23" spans="1:22" s="385" customFormat="1" ht="12.75" customHeight="1">
      <c r="A23" s="421"/>
      <c r="B23" s="169"/>
      <c r="C23" s="2370" t="s">
        <v>872</v>
      </c>
      <c r="D23" s="2370"/>
      <c r="E23" s="437">
        <v>9</v>
      </c>
      <c r="F23" s="437">
        <v>9</v>
      </c>
      <c r="G23" s="437">
        <v>9</v>
      </c>
      <c r="H23" s="437">
        <v>9</v>
      </c>
      <c r="I23" s="437">
        <v>9</v>
      </c>
      <c r="J23" s="437">
        <v>9</v>
      </c>
      <c r="K23" s="437">
        <v>9</v>
      </c>
      <c r="L23" s="437">
        <v>9</v>
      </c>
      <c r="M23" s="437">
        <v>7.5</v>
      </c>
      <c r="N23" s="437">
        <v>8.5</v>
      </c>
      <c r="O23" s="437">
        <v>8.5</v>
      </c>
      <c r="P23" s="437">
        <v>8.6999999999999993</v>
      </c>
      <c r="Q23" s="437">
        <v>8.6999999999999993</v>
      </c>
      <c r="R23" s="437">
        <v>8.6999999999999993</v>
      </c>
      <c r="S23" s="437">
        <v>8.6999999999999993</v>
      </c>
      <c r="T23" s="437">
        <v>8.6999999999999993</v>
      </c>
      <c r="U23" s="437">
        <v>8.6999999999999993</v>
      </c>
      <c r="V23" s="437">
        <v>8.6999999999999993</v>
      </c>
    </row>
    <row r="24" spans="1:22" s="385" customFormat="1" ht="12.75" customHeight="1">
      <c r="A24" s="420"/>
      <c r="B24" s="395"/>
      <c r="C24" s="2369" t="s">
        <v>873</v>
      </c>
      <c r="D24" s="2369"/>
      <c r="E24" s="302">
        <v>10</v>
      </c>
      <c r="F24" s="302">
        <v>10</v>
      </c>
      <c r="G24" s="302">
        <v>10</v>
      </c>
      <c r="H24" s="302">
        <v>10</v>
      </c>
      <c r="I24" s="302">
        <v>10</v>
      </c>
      <c r="J24" s="302">
        <v>10</v>
      </c>
      <c r="K24" s="302">
        <v>10</v>
      </c>
      <c r="L24" s="302">
        <v>10</v>
      </c>
      <c r="M24" s="302">
        <v>8.25</v>
      </c>
      <c r="N24" s="302">
        <v>9.25</v>
      </c>
      <c r="O24" s="302">
        <v>9.25</v>
      </c>
      <c r="P24" s="302">
        <v>9.4499999999999993</v>
      </c>
      <c r="Q24" s="302">
        <v>9.4499999999999993</v>
      </c>
      <c r="R24" s="302">
        <v>9.4499999999999993</v>
      </c>
      <c r="S24" s="302">
        <v>9.4499999999999993</v>
      </c>
      <c r="T24" s="302">
        <v>9.4499999999999993</v>
      </c>
      <c r="U24" s="302">
        <v>9.4499999999999993</v>
      </c>
      <c r="V24" s="302">
        <v>9.4499999999999993</v>
      </c>
    </row>
    <row r="25" spans="1:22" s="385" customFormat="1" ht="12.75" customHeight="1">
      <c r="A25" s="421"/>
      <c r="B25" s="169"/>
      <c r="C25" s="2370" t="s">
        <v>874</v>
      </c>
      <c r="D25" s="2370"/>
      <c r="E25" s="437">
        <v>11</v>
      </c>
      <c r="F25" s="437">
        <v>11</v>
      </c>
      <c r="G25" s="437">
        <v>11</v>
      </c>
      <c r="H25" s="437">
        <v>11</v>
      </c>
      <c r="I25" s="437">
        <v>11</v>
      </c>
      <c r="J25" s="437">
        <v>11</v>
      </c>
      <c r="K25" s="437">
        <v>11</v>
      </c>
      <c r="L25" s="437">
        <v>11</v>
      </c>
      <c r="M25" s="437">
        <v>9</v>
      </c>
      <c r="N25" s="437">
        <v>10</v>
      </c>
      <c r="O25" s="437">
        <v>10</v>
      </c>
      <c r="P25" s="437">
        <v>10.199999999999999</v>
      </c>
      <c r="Q25" s="437">
        <v>10.199999999999999</v>
      </c>
      <c r="R25" s="437">
        <v>10.199999999999999</v>
      </c>
      <c r="S25" s="437">
        <v>10.199999999999999</v>
      </c>
      <c r="T25" s="437">
        <v>10.199999999999999</v>
      </c>
      <c r="U25" s="437">
        <v>10.199999999999999</v>
      </c>
      <c r="V25" s="437">
        <v>10.199999999999999</v>
      </c>
    </row>
    <row r="26" spans="1:22" s="385" customFormat="1" ht="12.75" customHeight="1">
      <c r="A26" s="420"/>
      <c r="B26" s="395"/>
      <c r="C26" s="2371" t="s">
        <v>875</v>
      </c>
      <c r="D26" s="2371"/>
      <c r="E26" s="300">
        <v>12</v>
      </c>
      <c r="F26" s="300">
        <v>12</v>
      </c>
      <c r="G26" s="300">
        <v>12</v>
      </c>
      <c r="H26" s="300">
        <v>12</v>
      </c>
      <c r="I26" s="300">
        <v>12</v>
      </c>
      <c r="J26" s="300">
        <v>12</v>
      </c>
      <c r="K26" s="300">
        <v>12</v>
      </c>
      <c r="L26" s="300">
        <v>12</v>
      </c>
      <c r="M26" s="300">
        <v>10.5</v>
      </c>
      <c r="N26" s="300">
        <v>11</v>
      </c>
      <c r="O26" s="300">
        <v>11</v>
      </c>
      <c r="P26" s="300">
        <v>11.2</v>
      </c>
      <c r="Q26" s="300">
        <v>11.2</v>
      </c>
      <c r="R26" s="300">
        <v>11.2</v>
      </c>
      <c r="S26" s="300">
        <v>11.2</v>
      </c>
      <c r="T26" s="300">
        <v>11.2</v>
      </c>
      <c r="U26" s="300">
        <v>11.2</v>
      </c>
      <c r="V26" s="300">
        <v>11.2</v>
      </c>
    </row>
    <row r="27" spans="1:22" s="391" customFormat="1" ht="12.75" customHeight="1">
      <c r="A27" s="421"/>
      <c r="B27" s="170"/>
      <c r="C27" s="2372" t="s">
        <v>876</v>
      </c>
      <c r="D27" s="2372"/>
      <c r="E27" s="28">
        <v>12</v>
      </c>
      <c r="F27" s="28">
        <v>12</v>
      </c>
      <c r="G27" s="28">
        <v>12</v>
      </c>
      <c r="H27" s="28">
        <v>12</v>
      </c>
      <c r="I27" s="28">
        <v>12</v>
      </c>
      <c r="J27" s="28">
        <v>12</v>
      </c>
      <c r="K27" s="28">
        <v>12</v>
      </c>
      <c r="L27" s="28">
        <v>12</v>
      </c>
      <c r="M27" s="28">
        <v>10.5</v>
      </c>
      <c r="N27" s="28" t="s">
        <v>2134</v>
      </c>
      <c r="O27" s="28" t="s">
        <v>2134</v>
      </c>
      <c r="P27" s="28" t="s">
        <v>2146</v>
      </c>
      <c r="Q27" s="28" t="s">
        <v>2146</v>
      </c>
      <c r="R27" s="28" t="s">
        <v>2146</v>
      </c>
      <c r="S27" s="28" t="s">
        <v>2146</v>
      </c>
      <c r="T27" s="28" t="s">
        <v>2146</v>
      </c>
      <c r="U27" s="28" t="s">
        <v>2146</v>
      </c>
      <c r="V27" s="28" t="s">
        <v>2146</v>
      </c>
    </row>
    <row r="28" spans="1:22" s="385" customFormat="1">
      <c r="A28" s="2384" t="s">
        <v>1380</v>
      </c>
      <c r="B28" s="2384"/>
      <c r="C28" s="2384"/>
      <c r="D28" s="2384"/>
      <c r="E28" s="392"/>
      <c r="F28" s="392"/>
      <c r="G28" s="392"/>
      <c r="H28" s="392"/>
      <c r="I28" s="392"/>
      <c r="J28" s="392"/>
      <c r="K28" s="392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</row>
    <row r="29" spans="1:22" s="385" customFormat="1" ht="12.75" customHeight="1">
      <c r="A29" s="419"/>
      <c r="B29" s="388"/>
      <c r="C29" s="2387" t="s">
        <v>881</v>
      </c>
      <c r="D29" s="2387"/>
      <c r="E29" s="251" t="s">
        <v>590</v>
      </c>
      <c r="F29" s="251" t="s">
        <v>590</v>
      </c>
      <c r="G29" s="1210" t="s">
        <v>868</v>
      </c>
      <c r="H29" s="425" t="s">
        <v>868</v>
      </c>
      <c r="I29" s="425" t="s">
        <v>868</v>
      </c>
      <c r="J29" s="425" t="s">
        <v>868</v>
      </c>
      <c r="K29" s="425" t="s">
        <v>868</v>
      </c>
      <c r="L29" s="425" t="s">
        <v>868</v>
      </c>
      <c r="M29" s="425" t="s">
        <v>868</v>
      </c>
      <c r="N29" s="425" t="s">
        <v>868</v>
      </c>
      <c r="O29" s="425" t="s">
        <v>868</v>
      </c>
      <c r="P29" s="425" t="s">
        <v>868</v>
      </c>
      <c r="Q29" s="425" t="s">
        <v>868</v>
      </c>
      <c r="R29" s="425" t="s">
        <v>868</v>
      </c>
      <c r="S29" s="425" t="s">
        <v>868</v>
      </c>
      <c r="T29" s="425" t="s">
        <v>868</v>
      </c>
      <c r="U29" s="425" t="s">
        <v>868</v>
      </c>
      <c r="V29" s="425" t="s">
        <v>868</v>
      </c>
    </row>
    <row r="30" spans="1:22" s="385" customFormat="1" ht="12.75" customHeight="1">
      <c r="A30" s="418"/>
      <c r="B30" s="393"/>
      <c r="C30" s="2369" t="s">
        <v>882</v>
      </c>
      <c r="D30" s="2369"/>
      <c r="E30" s="321" t="s">
        <v>590</v>
      </c>
      <c r="F30" s="321" t="s">
        <v>590</v>
      </c>
      <c r="G30" s="321">
        <v>6.5</v>
      </c>
      <c r="H30" s="302">
        <v>6.5</v>
      </c>
      <c r="I30" s="302">
        <v>6.5</v>
      </c>
      <c r="J30" s="302">
        <v>6.5</v>
      </c>
      <c r="K30" s="302">
        <v>6.5</v>
      </c>
      <c r="L30" s="302">
        <v>6.5</v>
      </c>
      <c r="M30" s="302">
        <v>6.5</v>
      </c>
      <c r="N30" s="302">
        <v>6.5</v>
      </c>
      <c r="O30" s="302">
        <v>6.5</v>
      </c>
      <c r="P30" s="302">
        <v>6.5</v>
      </c>
      <c r="Q30" s="302">
        <v>6.5</v>
      </c>
      <c r="R30" s="302">
        <v>6.5</v>
      </c>
      <c r="S30" s="302">
        <v>6.5</v>
      </c>
      <c r="T30" s="302">
        <v>6.5</v>
      </c>
      <c r="U30" s="302">
        <v>4.5</v>
      </c>
      <c r="V30" s="302">
        <v>6.5</v>
      </c>
    </row>
    <row r="31" spans="1:22" s="385" customFormat="1" ht="12.75" customHeight="1">
      <c r="A31" s="419"/>
      <c r="B31" s="388"/>
      <c r="C31" s="2370" t="s">
        <v>883</v>
      </c>
      <c r="D31" s="2370"/>
      <c r="E31" s="251" t="s">
        <v>590</v>
      </c>
      <c r="F31" s="251" t="s">
        <v>590</v>
      </c>
      <c r="G31" s="251">
        <v>7</v>
      </c>
      <c r="H31" s="437">
        <v>7</v>
      </c>
      <c r="I31" s="437">
        <v>7</v>
      </c>
      <c r="J31" s="437">
        <v>7</v>
      </c>
      <c r="K31" s="437">
        <v>7</v>
      </c>
      <c r="L31" s="437">
        <v>7</v>
      </c>
      <c r="M31" s="437">
        <v>7</v>
      </c>
      <c r="N31" s="437">
        <v>7</v>
      </c>
      <c r="O31" s="437">
        <v>7</v>
      </c>
      <c r="P31" s="437">
        <v>7</v>
      </c>
      <c r="Q31" s="437">
        <v>7</v>
      </c>
      <c r="R31" s="437">
        <v>7</v>
      </c>
      <c r="S31" s="437">
        <v>7</v>
      </c>
      <c r="T31" s="437">
        <v>7</v>
      </c>
      <c r="U31" s="437">
        <v>5</v>
      </c>
      <c r="V31" s="437">
        <v>7</v>
      </c>
    </row>
    <row r="32" spans="1:22" s="385" customFormat="1" ht="12" customHeight="1">
      <c r="A32" s="418"/>
      <c r="B32" s="393"/>
      <c r="C32" s="2380" t="s">
        <v>896</v>
      </c>
      <c r="D32" s="2380"/>
      <c r="E32" s="321" t="s">
        <v>590</v>
      </c>
      <c r="F32" s="321" t="s">
        <v>590</v>
      </c>
      <c r="G32" s="321">
        <v>7.5</v>
      </c>
      <c r="H32" s="302">
        <v>7.5</v>
      </c>
      <c r="I32" s="302">
        <v>7.5</v>
      </c>
      <c r="J32" s="302">
        <v>7.5</v>
      </c>
      <c r="K32" s="302">
        <v>7.5</v>
      </c>
      <c r="L32" s="302">
        <v>7.5</v>
      </c>
      <c r="M32" s="302">
        <v>7.5</v>
      </c>
      <c r="N32" s="302">
        <v>7.5</v>
      </c>
      <c r="O32" s="302">
        <v>7.5</v>
      </c>
      <c r="P32" s="302">
        <v>7.5</v>
      </c>
      <c r="Q32" s="302">
        <v>7.5</v>
      </c>
      <c r="R32" s="302">
        <v>7.5</v>
      </c>
      <c r="S32" s="302">
        <v>7.5</v>
      </c>
      <c r="T32" s="302">
        <v>7.5</v>
      </c>
      <c r="U32" s="302">
        <v>5.5</v>
      </c>
      <c r="V32" s="302">
        <v>7.5</v>
      </c>
    </row>
    <row r="33" spans="1:22" s="169" customFormat="1" ht="12.75" customHeight="1">
      <c r="A33" s="2391" t="s">
        <v>1381</v>
      </c>
      <c r="B33" s="2391"/>
      <c r="C33" s="2391"/>
      <c r="D33" s="2391"/>
      <c r="H33" s="424"/>
      <c r="I33" s="424"/>
      <c r="J33" s="424"/>
      <c r="K33" s="424"/>
      <c r="L33" s="424"/>
      <c r="M33" s="424"/>
      <c r="N33" s="424"/>
      <c r="O33" s="424"/>
      <c r="P33" s="424"/>
      <c r="Q33" s="424"/>
      <c r="R33" s="424"/>
      <c r="S33" s="424"/>
      <c r="T33" s="424"/>
      <c r="U33" s="424"/>
      <c r="V33" s="424"/>
    </row>
    <row r="34" spans="1:22" s="169" customFormat="1" ht="12.75" customHeight="1">
      <c r="A34" s="422"/>
      <c r="B34" s="395"/>
      <c r="C34" s="2380" t="s">
        <v>881</v>
      </c>
      <c r="D34" s="2380"/>
      <c r="E34" s="321" t="s">
        <v>590</v>
      </c>
      <c r="F34" s="321" t="s">
        <v>590</v>
      </c>
      <c r="G34" s="1211" t="s">
        <v>869</v>
      </c>
      <c r="H34" s="414" t="s">
        <v>869</v>
      </c>
      <c r="I34" s="414" t="s">
        <v>869</v>
      </c>
      <c r="J34" s="414" t="s">
        <v>869</v>
      </c>
      <c r="K34" s="414" t="s">
        <v>869</v>
      </c>
      <c r="L34" s="414" t="s">
        <v>869</v>
      </c>
      <c r="M34" s="414" t="s">
        <v>869</v>
      </c>
      <c r="N34" s="414" t="s">
        <v>869</v>
      </c>
      <c r="O34" s="414" t="s">
        <v>869</v>
      </c>
      <c r="P34" s="414" t="s">
        <v>869</v>
      </c>
      <c r="Q34" s="414" t="s">
        <v>869</v>
      </c>
      <c r="R34" s="414" t="s">
        <v>869</v>
      </c>
      <c r="S34" s="414" t="s">
        <v>869</v>
      </c>
      <c r="T34" s="414" t="s">
        <v>869</v>
      </c>
      <c r="U34" s="414" t="s">
        <v>869</v>
      </c>
      <c r="V34" s="414" t="s">
        <v>869</v>
      </c>
    </row>
    <row r="35" spans="1:22" s="169" customFormat="1" ht="12.75" customHeight="1">
      <c r="A35" s="426"/>
      <c r="C35" s="2370" t="s">
        <v>882</v>
      </c>
      <c r="D35" s="2370"/>
      <c r="E35" s="251" t="s">
        <v>590</v>
      </c>
      <c r="F35" s="251" t="s">
        <v>590</v>
      </c>
      <c r="G35" s="251">
        <v>5.5</v>
      </c>
      <c r="H35" s="437">
        <v>5.5</v>
      </c>
      <c r="I35" s="437">
        <v>5.5</v>
      </c>
      <c r="J35" s="437">
        <v>5.5</v>
      </c>
      <c r="K35" s="437">
        <v>5.5</v>
      </c>
      <c r="L35" s="437">
        <v>5.5</v>
      </c>
      <c r="M35" s="437">
        <v>5.5</v>
      </c>
      <c r="N35" s="437">
        <v>5.5</v>
      </c>
      <c r="O35" s="437">
        <v>5.5</v>
      </c>
      <c r="P35" s="437">
        <v>5.5</v>
      </c>
      <c r="Q35" s="437">
        <v>5.5</v>
      </c>
      <c r="R35" s="437">
        <v>5.5</v>
      </c>
      <c r="S35" s="437">
        <v>5.5</v>
      </c>
      <c r="T35" s="437">
        <v>5.5</v>
      </c>
      <c r="U35" s="437">
        <v>4</v>
      </c>
      <c r="V35" s="437">
        <v>5.5</v>
      </c>
    </row>
    <row r="36" spans="1:22" s="169" customFormat="1" ht="12.75" customHeight="1">
      <c r="A36" s="422"/>
      <c r="B36" s="395"/>
      <c r="C36" s="2369" t="s">
        <v>883</v>
      </c>
      <c r="D36" s="2369"/>
      <c r="E36" s="321" t="s">
        <v>590</v>
      </c>
      <c r="F36" s="321" t="s">
        <v>590</v>
      </c>
      <c r="G36" s="321">
        <v>6</v>
      </c>
      <c r="H36" s="302">
        <v>6</v>
      </c>
      <c r="I36" s="302">
        <v>6</v>
      </c>
      <c r="J36" s="302">
        <v>6</v>
      </c>
      <c r="K36" s="302">
        <v>6</v>
      </c>
      <c r="L36" s="302">
        <v>6</v>
      </c>
      <c r="M36" s="302">
        <v>6</v>
      </c>
      <c r="N36" s="302">
        <v>6</v>
      </c>
      <c r="O36" s="302">
        <v>6</v>
      </c>
      <c r="P36" s="302">
        <v>6</v>
      </c>
      <c r="Q36" s="302">
        <v>6</v>
      </c>
      <c r="R36" s="302">
        <v>6</v>
      </c>
      <c r="S36" s="302">
        <v>6</v>
      </c>
      <c r="T36" s="302">
        <v>6</v>
      </c>
      <c r="U36" s="302">
        <v>4.5</v>
      </c>
      <c r="V36" s="302">
        <v>6</v>
      </c>
    </row>
    <row r="37" spans="1:22" s="169" customFormat="1" ht="12.75" customHeight="1">
      <c r="A37" s="426"/>
      <c r="C37" s="2376" t="s">
        <v>896</v>
      </c>
      <c r="D37" s="2376"/>
      <c r="E37" s="251" t="s">
        <v>590</v>
      </c>
      <c r="F37" s="251" t="s">
        <v>590</v>
      </c>
      <c r="G37" s="251">
        <v>6.5</v>
      </c>
      <c r="H37" s="437">
        <v>6.5</v>
      </c>
      <c r="I37" s="437">
        <v>6.5</v>
      </c>
      <c r="J37" s="437">
        <v>6.5</v>
      </c>
      <c r="K37" s="437">
        <v>6.5</v>
      </c>
      <c r="L37" s="437">
        <v>6.5</v>
      </c>
      <c r="M37" s="437">
        <v>6.5</v>
      </c>
      <c r="N37" s="437">
        <v>6.5</v>
      </c>
      <c r="O37" s="437">
        <v>6.5</v>
      </c>
      <c r="P37" s="437">
        <v>6.5</v>
      </c>
      <c r="Q37" s="437">
        <v>6.5</v>
      </c>
      <c r="R37" s="437">
        <v>6.5</v>
      </c>
      <c r="S37" s="437">
        <v>6.5</v>
      </c>
      <c r="T37" s="437">
        <v>6.5</v>
      </c>
      <c r="U37" s="437">
        <v>5</v>
      </c>
      <c r="V37" s="437">
        <v>6.5</v>
      </c>
    </row>
    <row r="38" spans="1:22" s="169" customFormat="1" ht="22.5" customHeight="1">
      <c r="A38" s="429" t="s">
        <v>84</v>
      </c>
      <c r="B38" s="2389" t="s">
        <v>905</v>
      </c>
      <c r="C38" s="2389"/>
      <c r="D38" s="2389"/>
      <c r="E38" s="428"/>
      <c r="F38" s="428"/>
      <c r="G38" s="428"/>
      <c r="H38" s="428"/>
      <c r="I38" s="428"/>
      <c r="J38" s="428"/>
      <c r="K38" s="428"/>
      <c r="L38" s="430"/>
      <c r="M38" s="430"/>
      <c r="N38" s="430"/>
      <c r="O38" s="430"/>
      <c r="P38" s="430"/>
      <c r="Q38" s="430"/>
      <c r="R38" s="430"/>
      <c r="S38" s="430"/>
      <c r="T38" s="430"/>
      <c r="U38" s="430"/>
      <c r="V38" s="430"/>
    </row>
    <row r="39" spans="1:22" s="169" customFormat="1" ht="13.5" customHeight="1">
      <c r="A39" s="419"/>
      <c r="B39" s="2375" t="s">
        <v>878</v>
      </c>
      <c r="C39" s="2375"/>
      <c r="D39" s="2375"/>
      <c r="E39" s="387"/>
      <c r="F39" s="387"/>
      <c r="G39" s="387"/>
      <c r="H39" s="387"/>
      <c r="I39" s="387"/>
      <c r="J39" s="387"/>
      <c r="K39" s="387"/>
      <c r="L39" s="389"/>
      <c r="M39" s="389"/>
      <c r="N39" s="389"/>
      <c r="O39" s="389"/>
      <c r="P39" s="389"/>
      <c r="Q39" s="389"/>
      <c r="R39" s="389"/>
      <c r="S39" s="389"/>
      <c r="T39" s="389"/>
      <c r="U39" s="389"/>
      <c r="V39" s="389"/>
    </row>
    <row r="40" spans="1:22" s="169" customFormat="1" ht="13.5" customHeight="1">
      <c r="A40" s="418"/>
      <c r="B40" s="393"/>
      <c r="C40" s="2390" t="s">
        <v>287</v>
      </c>
      <c r="D40" s="2390"/>
      <c r="E40" s="321">
        <v>13</v>
      </c>
      <c r="F40" s="321">
        <v>13</v>
      </c>
      <c r="G40" s="321">
        <v>13</v>
      </c>
      <c r="H40" s="321">
        <v>13</v>
      </c>
      <c r="I40" s="321">
        <v>13</v>
      </c>
      <c r="J40" s="321">
        <v>13</v>
      </c>
      <c r="K40" s="321">
        <v>12</v>
      </c>
      <c r="L40" s="292">
        <v>12</v>
      </c>
      <c r="M40" s="292">
        <v>12</v>
      </c>
      <c r="N40" s="292">
        <v>12</v>
      </c>
      <c r="O40" s="292">
        <v>12</v>
      </c>
      <c r="P40" s="292">
        <v>12</v>
      </c>
      <c r="Q40" s="292">
        <v>12</v>
      </c>
      <c r="R40" s="292">
        <v>12</v>
      </c>
      <c r="S40" s="292">
        <v>12</v>
      </c>
      <c r="T40" s="292">
        <v>12</v>
      </c>
      <c r="U40" s="292">
        <v>12</v>
      </c>
      <c r="V40" s="292">
        <v>12</v>
      </c>
    </row>
    <row r="41" spans="1:22" s="169" customFormat="1" ht="13.5" customHeight="1">
      <c r="A41" s="419"/>
      <c r="B41" s="388"/>
      <c r="C41" s="2388" t="s">
        <v>286</v>
      </c>
      <c r="D41" s="2388"/>
      <c r="E41" s="251">
        <v>15</v>
      </c>
      <c r="F41" s="251">
        <v>15</v>
      </c>
      <c r="G41" s="251">
        <v>15</v>
      </c>
      <c r="H41" s="251">
        <v>15</v>
      </c>
      <c r="I41" s="251">
        <v>15</v>
      </c>
      <c r="J41" s="251">
        <v>15</v>
      </c>
      <c r="K41" s="251">
        <v>12</v>
      </c>
      <c r="L41" s="234">
        <v>12</v>
      </c>
      <c r="M41" s="234">
        <v>12</v>
      </c>
      <c r="N41" s="234">
        <v>12</v>
      </c>
      <c r="O41" s="234">
        <v>12</v>
      </c>
      <c r="P41" s="234">
        <v>12</v>
      </c>
      <c r="Q41" s="234">
        <v>12</v>
      </c>
      <c r="R41" s="234">
        <v>12</v>
      </c>
      <c r="S41" s="234">
        <v>12</v>
      </c>
      <c r="T41" s="234">
        <v>12</v>
      </c>
      <c r="U41" s="234">
        <v>12</v>
      </c>
      <c r="V41" s="234">
        <v>12</v>
      </c>
    </row>
    <row r="42" spans="1:22" s="169" customFormat="1" ht="13.5" customHeight="1" thickBot="1">
      <c r="A42" s="431"/>
      <c r="B42" s="2386" t="s">
        <v>879</v>
      </c>
      <c r="C42" s="2386"/>
      <c r="D42" s="2386"/>
      <c r="E42" s="340">
        <v>10</v>
      </c>
      <c r="F42" s="340">
        <v>10</v>
      </c>
      <c r="G42" s="340">
        <v>10</v>
      </c>
      <c r="H42" s="340">
        <v>10</v>
      </c>
      <c r="I42" s="340">
        <v>10</v>
      </c>
      <c r="J42" s="340">
        <v>10</v>
      </c>
      <c r="K42" s="340">
        <v>10</v>
      </c>
      <c r="L42" s="482">
        <v>10</v>
      </c>
      <c r="M42" s="482">
        <v>10</v>
      </c>
      <c r="N42" s="482">
        <v>10</v>
      </c>
      <c r="O42" s="482">
        <v>10</v>
      </c>
      <c r="P42" s="482">
        <v>10</v>
      </c>
      <c r="Q42" s="482">
        <v>10</v>
      </c>
      <c r="R42" s="482">
        <v>10</v>
      </c>
      <c r="S42" s="482">
        <v>10</v>
      </c>
      <c r="T42" s="482">
        <v>10</v>
      </c>
      <c r="U42" s="482">
        <v>10</v>
      </c>
      <c r="V42" s="482">
        <v>10</v>
      </c>
    </row>
    <row r="43" spans="1:22" s="170" customFormat="1" ht="10.5" customHeight="1">
      <c r="A43" s="432" t="s">
        <v>30</v>
      </c>
      <c r="B43" s="284"/>
      <c r="C43" s="2374" t="s">
        <v>1424</v>
      </c>
      <c r="D43" s="2374"/>
      <c r="E43" s="954"/>
      <c r="F43" s="954"/>
      <c r="G43" s="954"/>
      <c r="K43" s="436" t="s">
        <v>2135</v>
      </c>
      <c r="L43" s="283"/>
      <c r="M43" s="434"/>
      <c r="N43" s="390"/>
      <c r="O43" s="390"/>
      <c r="P43" s="390"/>
      <c r="Q43" s="390"/>
      <c r="R43" s="390"/>
      <c r="S43" s="390"/>
      <c r="T43" s="390"/>
      <c r="U43" s="390"/>
      <c r="V43" s="390"/>
    </row>
    <row r="44" spans="1:22" s="283" customFormat="1" ht="9.75" customHeight="1">
      <c r="A44" s="432"/>
      <c r="B44" s="284"/>
      <c r="C44" s="2374" t="s">
        <v>1382</v>
      </c>
      <c r="D44" s="2374"/>
      <c r="E44" s="2374"/>
      <c r="F44" s="2374"/>
      <c r="G44" s="2374"/>
      <c r="K44" s="436" t="s">
        <v>2136</v>
      </c>
      <c r="L44" s="133"/>
      <c r="M44" s="133"/>
      <c r="N44" s="434"/>
    </row>
    <row r="45" spans="1:22" s="283" customFormat="1" ht="9.75" customHeight="1">
      <c r="A45" s="433"/>
      <c r="B45" s="284"/>
      <c r="C45" s="2374" t="s">
        <v>1425</v>
      </c>
      <c r="D45" s="2374"/>
      <c r="E45" s="434"/>
      <c r="F45" s="434"/>
      <c r="G45" s="434"/>
      <c r="K45" s="436" t="s">
        <v>2137</v>
      </c>
    </row>
    <row r="46" spans="1:22" s="283" customFormat="1" ht="9.75" customHeight="1">
      <c r="A46" s="433"/>
      <c r="B46" s="284"/>
      <c r="C46" s="1152"/>
      <c r="D46" s="133" t="s">
        <v>463</v>
      </c>
      <c r="F46" s="434"/>
      <c r="G46" s="434"/>
      <c r="H46" s="434"/>
      <c r="K46" s="436" t="s">
        <v>2138</v>
      </c>
    </row>
    <row r="47" spans="1:22" s="13" customFormat="1" ht="9.75" customHeight="1">
      <c r="A47" s="626"/>
      <c r="D47" s="133"/>
      <c r="E47" s="283"/>
      <c r="F47" s="133"/>
      <c r="G47" s="133"/>
      <c r="H47" s="133"/>
      <c r="K47" s="436" t="s">
        <v>2139</v>
      </c>
    </row>
    <row r="48" spans="1:22" s="13" customFormat="1" ht="9.75" customHeight="1">
      <c r="A48" s="435"/>
      <c r="E48" s="133"/>
      <c r="F48" s="133"/>
      <c r="G48" s="133"/>
      <c r="H48" s="133"/>
    </row>
    <row r="54" spans="2:8">
      <c r="B54" s="405"/>
      <c r="C54" s="408"/>
      <c r="D54" s="409"/>
      <c r="E54" s="403"/>
      <c r="F54" s="404"/>
      <c r="G54" s="403"/>
      <c r="H54" s="403"/>
    </row>
    <row r="55" spans="2:8">
      <c r="B55" s="410"/>
      <c r="C55" s="408"/>
      <c r="D55" s="411"/>
      <c r="E55" s="403"/>
      <c r="F55" s="404"/>
      <c r="G55" s="412"/>
      <c r="H55" s="412"/>
    </row>
    <row r="56" spans="2:8">
      <c r="B56" s="413"/>
      <c r="C56" s="413"/>
      <c r="D56" s="407"/>
      <c r="E56" s="413"/>
      <c r="F56" s="413"/>
      <c r="G56" s="413"/>
      <c r="H56" s="413"/>
    </row>
    <row r="57" spans="2:8">
      <c r="B57" s="406"/>
      <c r="C57" s="413"/>
      <c r="D57" s="407"/>
      <c r="E57" s="413"/>
      <c r="F57" s="413"/>
      <c r="G57" s="413"/>
      <c r="H57" s="413"/>
    </row>
  </sheetData>
  <customSheetViews>
    <customSheetView guid="{A374FC54-96E3-45F0-9C12-8450400C12DF}" scale="130">
      <pane xSplit="4" ySplit="3" topLeftCell="L34" activePane="bottomRight" state="frozen"/>
      <selection pane="bottomRight" activeCell="H49" sqref="H49"/>
      <pageMargins left="0.511811023622047" right="0.511811023622047" top="0.511811023622047" bottom="0.511811023622047" header="0" footer="0.43307086614173201"/>
      <pageSetup paperSize="132" firstPageNumber="64" orientation="portrait" useFirstPageNumber="1" r:id="rId1"/>
      <headerFooter alignWithMargins="0">
        <oddFooter>&amp;C&amp;"Times New Roman,Regular"&amp;8&amp;P</oddFooter>
      </headerFooter>
    </customSheetView>
  </customSheetViews>
  <mergeCells count="46">
    <mergeCell ref="J1:R1"/>
    <mergeCell ref="A1:I1"/>
    <mergeCell ref="T1:V1"/>
    <mergeCell ref="C22:D22"/>
    <mergeCell ref="A6:D6"/>
    <mergeCell ref="A2:D3"/>
    <mergeCell ref="B19:D19"/>
    <mergeCell ref="C11:D11"/>
    <mergeCell ref="B12:D12"/>
    <mergeCell ref="A16:D16"/>
    <mergeCell ref="A21:D21"/>
    <mergeCell ref="B20:D20"/>
    <mergeCell ref="C44:G44"/>
    <mergeCell ref="B42:D42"/>
    <mergeCell ref="C29:D29"/>
    <mergeCell ref="C30:D30"/>
    <mergeCell ref="C31:D31"/>
    <mergeCell ref="C36:D36"/>
    <mergeCell ref="C34:D34"/>
    <mergeCell ref="C35:D35"/>
    <mergeCell ref="C41:D41"/>
    <mergeCell ref="B38:D38"/>
    <mergeCell ref="C43:D43"/>
    <mergeCell ref="C40:D40"/>
    <mergeCell ref="A33:D33"/>
    <mergeCell ref="C45:D45"/>
    <mergeCell ref="B39:D39"/>
    <mergeCell ref="C37:D37"/>
    <mergeCell ref="B4:D4"/>
    <mergeCell ref="C9:D9"/>
    <mergeCell ref="C10:D10"/>
    <mergeCell ref="B18:D18"/>
    <mergeCell ref="C32:D32"/>
    <mergeCell ref="B17:D17"/>
    <mergeCell ref="B5:D5"/>
    <mergeCell ref="C13:D13"/>
    <mergeCell ref="C23:D23"/>
    <mergeCell ref="C14:D14"/>
    <mergeCell ref="C15:D15"/>
    <mergeCell ref="A28:D28"/>
    <mergeCell ref="B8:D8"/>
    <mergeCell ref="C24:D24"/>
    <mergeCell ref="C25:D25"/>
    <mergeCell ref="C26:D26"/>
    <mergeCell ref="C27:D27"/>
    <mergeCell ref="B7:D7"/>
  </mergeCells>
  <phoneticPr fontId="0" type="noConversion"/>
  <pageMargins left="0.511811023622047" right="0.511811023622047" top="0.511811023622047" bottom="0.511811023622047" header="0" footer="0.43307086614173201"/>
  <pageSetup paperSize="448" firstPageNumber="68" orientation="portrait" useFirstPageNumber="1" r:id="rId2"/>
  <headerFooter alignWithMargins="0">
    <oddFooter>&amp;C&amp;"Times New Roman,Regular"&amp;8&amp;P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1:BO50"/>
  <sheetViews>
    <sheetView zoomScale="180" zoomScaleNormal="180" workbookViewId="0">
      <selection activeCell="BF16" sqref="BF16"/>
    </sheetView>
  </sheetViews>
  <sheetFormatPr defaultColWidth="9.140625" defaultRowHeight="11.25"/>
  <cols>
    <col min="1" max="1" width="3.42578125" style="8" customWidth="1"/>
    <col min="2" max="2" width="16.28515625" style="13" customWidth="1"/>
    <col min="3" max="3" width="7.7109375" style="8" customWidth="1"/>
    <col min="4" max="4" width="7.28515625" style="8" customWidth="1"/>
    <col min="5" max="5" width="7.140625" style="8" customWidth="1"/>
    <col min="6" max="7" width="7.42578125" style="8" customWidth="1"/>
    <col min="8" max="8" width="6.42578125" style="8" customWidth="1"/>
    <col min="9" max="9" width="7.28515625" style="8" customWidth="1"/>
    <col min="10" max="10" width="7.140625" style="8" customWidth="1"/>
    <col min="11" max="11" width="6.5703125" style="8" customWidth="1"/>
    <col min="12" max="12" width="7.42578125" style="8" customWidth="1"/>
    <col min="13" max="13" width="7.5703125" style="8" customWidth="1"/>
    <col min="14" max="14" width="7.85546875" style="8" customWidth="1"/>
    <col min="15" max="15" width="7.42578125" style="8" customWidth="1"/>
    <col min="16" max="17" width="7.5703125" style="8" customWidth="1"/>
    <col min="18" max="18" width="8" style="8" customWidth="1"/>
    <col min="19" max="19" width="3.28515625" style="8" customWidth="1"/>
    <col min="20" max="20" width="16.5703125" style="13" customWidth="1"/>
    <col min="21" max="21" width="4.140625" style="8" customWidth="1"/>
    <col min="22" max="22" width="15.85546875" style="13" customWidth="1"/>
    <col min="23" max="23" width="10.42578125" style="8" customWidth="1"/>
    <col min="24" max="24" width="8.42578125" style="164" customWidth="1"/>
    <col min="25" max="25" width="10.42578125" style="8" customWidth="1"/>
    <col min="26" max="26" width="9.85546875" style="8" customWidth="1"/>
    <col min="27" max="28" width="9.7109375" style="8" customWidth="1"/>
    <col min="29" max="29" width="11.140625" style="8" customWidth="1"/>
    <col min="30" max="30" width="9.28515625" style="8" customWidth="1"/>
    <col min="31" max="31" width="11.85546875" style="8" customWidth="1"/>
    <col min="32" max="32" width="10.140625" style="8" customWidth="1"/>
    <col min="33" max="33" width="9.42578125" style="8" customWidth="1"/>
    <col min="34" max="34" width="9" style="8" customWidth="1"/>
    <col min="35" max="35" width="4" style="8" customWidth="1"/>
    <col min="36" max="36" width="15.7109375" style="13" customWidth="1"/>
    <col min="37" max="37" width="2.85546875" style="8" customWidth="1"/>
    <col min="38" max="38" width="16" style="13" customWidth="1"/>
    <col min="39" max="39" width="9.42578125" style="8" customWidth="1"/>
    <col min="40" max="40" width="8.85546875" style="8" customWidth="1"/>
    <col min="41" max="41" width="9.28515625" style="8" customWidth="1"/>
    <col min="42" max="42" width="9.85546875" style="8" customWidth="1"/>
    <col min="43" max="43" width="8.5703125" style="8" customWidth="1"/>
    <col min="44" max="44" width="8.140625" style="8" customWidth="1"/>
    <col min="45" max="45" width="7.85546875" style="8" customWidth="1"/>
    <col min="46" max="46" width="8.5703125" style="8" customWidth="1"/>
    <col min="47" max="47" width="8.7109375" style="8" customWidth="1"/>
    <col min="48" max="48" width="8.28515625" style="8" customWidth="1"/>
    <col min="49" max="49" width="8.7109375" style="8" customWidth="1"/>
    <col min="50" max="50" width="8.28515625" style="8" customWidth="1"/>
    <col min="51" max="51" width="7.7109375" style="8" customWidth="1"/>
    <col min="52" max="52" width="9.7109375" style="8" customWidth="1"/>
    <col min="53" max="53" width="2.85546875" style="8" customWidth="1"/>
    <col min="54" max="54" width="16.140625" style="13" customWidth="1"/>
    <col min="55" max="55" width="3" style="8" customWidth="1"/>
    <col min="56" max="56" width="17.42578125" style="13" customWidth="1"/>
    <col min="57" max="57" width="13" style="8" customWidth="1"/>
    <col min="58" max="58" width="13.7109375" style="8" customWidth="1"/>
    <col min="59" max="59" width="14" style="8" customWidth="1"/>
    <col min="60" max="60" width="12.42578125" style="8" customWidth="1"/>
    <col min="61" max="61" width="13.85546875" style="8" customWidth="1"/>
    <col min="62" max="62" width="12.7109375" style="8" customWidth="1"/>
    <col min="63" max="63" width="12.85546875" style="8" customWidth="1"/>
    <col min="64" max="64" width="10.140625" style="8" customWidth="1"/>
    <col min="65" max="65" width="10.85546875" style="8" customWidth="1"/>
    <col min="66" max="66" width="3" style="8" customWidth="1"/>
    <col min="67" max="67" width="16.7109375" style="13" customWidth="1"/>
    <col min="68" max="16384" width="9.140625" style="8"/>
  </cols>
  <sheetData>
    <row r="1" spans="1:67" s="2" customFormat="1" ht="13.5" customHeight="1">
      <c r="A1" s="2" t="s">
        <v>1881</v>
      </c>
      <c r="B1" s="1922" t="s">
        <v>833</v>
      </c>
      <c r="C1" s="1922"/>
      <c r="D1" s="1922"/>
      <c r="E1" s="1922"/>
      <c r="F1" s="1922"/>
      <c r="G1" s="1922"/>
      <c r="H1" s="1922"/>
      <c r="I1" s="1922"/>
      <c r="J1" s="1922"/>
      <c r="K1" s="2426" t="s">
        <v>2961</v>
      </c>
      <c r="L1" s="2426"/>
      <c r="M1" s="2426"/>
      <c r="N1" s="2426"/>
      <c r="O1" s="2426"/>
      <c r="P1" s="2426"/>
      <c r="Q1" s="2426"/>
      <c r="R1" s="932"/>
      <c r="S1" s="1175" t="s">
        <v>1108</v>
      </c>
      <c r="T1" s="1175"/>
      <c r="U1" s="1922" t="s">
        <v>1897</v>
      </c>
      <c r="V1" s="1922"/>
      <c r="W1" s="1922"/>
      <c r="X1" s="1922"/>
      <c r="Y1" s="1922"/>
      <c r="Z1" s="1922"/>
      <c r="AA1" s="1922"/>
      <c r="AB1" s="1922"/>
      <c r="AC1" s="2426" t="s">
        <v>2962</v>
      </c>
      <c r="AD1" s="2426"/>
      <c r="AE1" s="2426"/>
      <c r="AF1" s="2426"/>
      <c r="AG1" s="2426"/>
      <c r="AH1" s="1853"/>
      <c r="AI1" s="2428" t="s">
        <v>1108</v>
      </c>
      <c r="AJ1" s="2428"/>
      <c r="AK1" s="2429" t="s">
        <v>2657</v>
      </c>
      <c r="AL1" s="2429"/>
      <c r="AM1" s="2429"/>
      <c r="AN1" s="2429"/>
      <c r="AO1" s="2429"/>
      <c r="AP1" s="2429"/>
      <c r="AQ1" s="2429"/>
      <c r="AR1" s="2429"/>
      <c r="AS1" s="2429"/>
      <c r="AT1" s="2431" t="s">
        <v>2963</v>
      </c>
      <c r="AU1" s="2431"/>
      <c r="AV1" s="2431"/>
      <c r="AW1" s="2431"/>
      <c r="AX1" s="2431"/>
      <c r="AY1" s="2431"/>
      <c r="AZ1" s="1861"/>
      <c r="BA1" s="2430" t="s">
        <v>1108</v>
      </c>
      <c r="BB1" s="2430"/>
      <c r="BD1" s="798"/>
      <c r="BE1" s="1922" t="s">
        <v>833</v>
      </c>
      <c r="BF1" s="1922"/>
      <c r="BG1" s="1922"/>
      <c r="BH1" s="1922"/>
      <c r="BI1" s="2431" t="s">
        <v>2962</v>
      </c>
      <c r="BJ1" s="2431"/>
      <c r="BK1" s="2431"/>
      <c r="BL1" s="2431"/>
      <c r="BM1" s="1861"/>
      <c r="BN1" s="2428" t="s">
        <v>1109</v>
      </c>
      <c r="BO1" s="2428"/>
    </row>
    <row r="2" spans="1:67" ht="11.25" customHeight="1">
      <c r="C2" s="799"/>
      <c r="D2" s="799"/>
      <c r="E2" s="799"/>
      <c r="F2" s="799"/>
      <c r="G2" s="799"/>
      <c r="H2" s="799"/>
      <c r="I2" s="799"/>
      <c r="J2" s="799"/>
      <c r="K2" s="799"/>
      <c r="L2" s="2420"/>
      <c r="M2" s="2420"/>
      <c r="N2" s="800"/>
      <c r="O2" s="800"/>
      <c r="P2" s="800"/>
      <c r="Q2" s="800"/>
      <c r="S2" s="1127"/>
      <c r="T2" s="1348" t="s">
        <v>513</v>
      </c>
      <c r="Y2" s="2425"/>
      <c r="Z2" s="2425"/>
      <c r="AA2" s="1860"/>
      <c r="AB2" s="1860"/>
      <c r="AC2" s="1860"/>
      <c r="AD2" s="1860"/>
      <c r="AE2" s="1860"/>
      <c r="AF2" s="1860"/>
      <c r="AG2" s="800"/>
      <c r="AI2" s="1127"/>
      <c r="AJ2" s="1348" t="s">
        <v>513</v>
      </c>
      <c r="AK2" s="1127"/>
      <c r="AL2" s="1348"/>
      <c r="AM2" s="799"/>
      <c r="AN2" s="799"/>
      <c r="AO2" s="1859"/>
      <c r="AP2" s="1860"/>
      <c r="AQ2" s="1860"/>
      <c r="AR2" s="1860"/>
      <c r="AS2" s="1860"/>
      <c r="AT2" s="1860"/>
      <c r="AU2" s="1860"/>
      <c r="AV2" s="1860"/>
      <c r="AW2" s="800"/>
      <c r="AX2" s="800"/>
      <c r="AY2" s="800"/>
      <c r="AZ2" s="800"/>
      <c r="BA2" s="1127"/>
      <c r="BB2" s="1348" t="s">
        <v>513</v>
      </c>
      <c r="BE2" s="799"/>
      <c r="BF2" s="799"/>
      <c r="BG2" s="2432"/>
      <c r="BH2" s="2432"/>
      <c r="BI2" s="2420"/>
      <c r="BJ2" s="2420"/>
      <c r="BK2" s="2420"/>
      <c r="BL2" s="800"/>
      <c r="BM2" s="800"/>
      <c r="BN2" s="1127"/>
      <c r="BO2" s="1348" t="s">
        <v>513</v>
      </c>
    </row>
    <row r="3" spans="1:67" s="801" customFormat="1" ht="13.5" customHeight="1">
      <c r="A3" s="2414" t="s">
        <v>141</v>
      </c>
      <c r="B3" s="2415"/>
      <c r="C3" s="2422" t="s">
        <v>97</v>
      </c>
      <c r="D3" s="2423"/>
      <c r="E3" s="2423"/>
      <c r="F3" s="2423"/>
      <c r="G3" s="2423"/>
      <c r="H3" s="2424"/>
      <c r="I3" s="2411" t="s">
        <v>2104</v>
      </c>
      <c r="J3" s="2412"/>
      <c r="K3" s="2413"/>
      <c r="L3" s="2422" t="s">
        <v>143</v>
      </c>
      <c r="M3" s="2423"/>
      <c r="N3" s="2423"/>
      <c r="O3" s="2423"/>
      <c r="P3" s="2423"/>
      <c r="Q3" s="2423"/>
      <c r="R3" s="2424"/>
      <c r="S3" s="2414" t="s">
        <v>141</v>
      </c>
      <c r="T3" s="2415"/>
      <c r="U3" s="2414" t="s">
        <v>141</v>
      </c>
      <c r="V3" s="2415"/>
      <c r="W3" s="2422" t="s">
        <v>607</v>
      </c>
      <c r="X3" s="2423"/>
      <c r="Y3" s="2423"/>
      <c r="Z3" s="2423"/>
      <c r="AA3" s="2423"/>
      <c r="AB3" s="2423"/>
      <c r="AC3" s="2423"/>
      <c r="AD3" s="2423"/>
      <c r="AE3" s="2423"/>
      <c r="AF3" s="2423"/>
      <c r="AG3" s="2423"/>
      <c r="AH3" s="2424"/>
      <c r="AI3" s="2414" t="s">
        <v>141</v>
      </c>
      <c r="AJ3" s="2415"/>
      <c r="AK3" s="2434" t="s">
        <v>141</v>
      </c>
      <c r="AL3" s="2435"/>
      <c r="AM3" s="2422" t="s">
        <v>607</v>
      </c>
      <c r="AN3" s="2423"/>
      <c r="AO3" s="2423"/>
      <c r="AP3" s="2423"/>
      <c r="AQ3" s="2423"/>
      <c r="AR3" s="2423"/>
      <c r="AS3" s="2423"/>
      <c r="AT3" s="2423"/>
      <c r="AU3" s="2423"/>
      <c r="AV3" s="2423"/>
      <c r="AW3" s="2423"/>
      <c r="AX3" s="2423"/>
      <c r="AY3" s="2423"/>
      <c r="AZ3" s="2424"/>
      <c r="BA3" s="2433" t="s">
        <v>141</v>
      </c>
      <c r="BB3" s="2415"/>
      <c r="BC3" s="2414" t="s">
        <v>141</v>
      </c>
      <c r="BD3" s="2415"/>
      <c r="BE3" s="2422" t="s">
        <v>608</v>
      </c>
      <c r="BF3" s="2423"/>
      <c r="BG3" s="2423"/>
      <c r="BH3" s="2423"/>
      <c r="BI3" s="2423"/>
      <c r="BJ3" s="2423"/>
      <c r="BK3" s="2423"/>
      <c r="BL3" s="2423"/>
      <c r="BM3" s="2424"/>
      <c r="BN3" s="2414" t="s">
        <v>141</v>
      </c>
      <c r="BO3" s="2415"/>
    </row>
    <row r="4" spans="1:67" s="250" customFormat="1" ht="24" customHeight="1">
      <c r="A4" s="2416"/>
      <c r="B4" s="2417"/>
      <c r="C4" s="1854" t="s">
        <v>1496</v>
      </c>
      <c r="D4" s="1854" t="s">
        <v>1497</v>
      </c>
      <c r="E4" s="1854" t="s">
        <v>1498</v>
      </c>
      <c r="F4" s="1854" t="s">
        <v>1499</v>
      </c>
      <c r="G4" s="1854" t="s">
        <v>1500</v>
      </c>
      <c r="H4" s="1854" t="s">
        <v>467</v>
      </c>
      <c r="I4" s="1854" t="s">
        <v>1352</v>
      </c>
      <c r="J4" s="1851" t="s">
        <v>144</v>
      </c>
      <c r="K4" s="1854" t="s">
        <v>1882</v>
      </c>
      <c r="L4" s="1854" t="s">
        <v>1501</v>
      </c>
      <c r="M4" s="1854" t="s">
        <v>2524</v>
      </c>
      <c r="N4" s="1854" t="s">
        <v>1502</v>
      </c>
      <c r="O4" s="1854" t="s">
        <v>1503</v>
      </c>
      <c r="P4" s="1854" t="s">
        <v>1504</v>
      </c>
      <c r="Q4" s="1854" t="s">
        <v>1505</v>
      </c>
      <c r="R4" s="1854" t="s">
        <v>1506</v>
      </c>
      <c r="S4" s="2416"/>
      <c r="T4" s="2417"/>
      <c r="U4" s="2416"/>
      <c r="V4" s="2417"/>
      <c r="W4" s="1854" t="s">
        <v>1507</v>
      </c>
      <c r="X4" s="1854" t="s">
        <v>164</v>
      </c>
      <c r="Y4" s="1854" t="s">
        <v>1508</v>
      </c>
      <c r="Z4" s="1854" t="s">
        <v>1509</v>
      </c>
      <c r="AA4" s="1854" t="s">
        <v>165</v>
      </c>
      <c r="AB4" s="1854" t="s">
        <v>1510</v>
      </c>
      <c r="AC4" s="1854" t="s">
        <v>1511</v>
      </c>
      <c r="AD4" s="1854" t="s">
        <v>1512</v>
      </c>
      <c r="AE4" s="1854" t="s">
        <v>1513</v>
      </c>
      <c r="AF4" s="1854" t="s">
        <v>1543</v>
      </c>
      <c r="AG4" s="1854" t="s">
        <v>1514</v>
      </c>
      <c r="AH4" s="1854" t="s">
        <v>1515</v>
      </c>
      <c r="AI4" s="2416"/>
      <c r="AJ4" s="2417"/>
      <c r="AK4" s="2436"/>
      <c r="AL4" s="2437"/>
      <c r="AM4" s="1852" t="s">
        <v>1516</v>
      </c>
      <c r="AN4" s="1852" t="s">
        <v>1517</v>
      </c>
      <c r="AO4" s="1852" t="s">
        <v>1518</v>
      </c>
      <c r="AP4" s="1852" t="s">
        <v>1519</v>
      </c>
      <c r="AQ4" s="1852" t="s">
        <v>1520</v>
      </c>
      <c r="AR4" s="1852" t="s">
        <v>1521</v>
      </c>
      <c r="AS4" s="1852" t="s">
        <v>2621</v>
      </c>
      <c r="AT4" s="1852" t="s">
        <v>1522</v>
      </c>
      <c r="AU4" s="1852" t="s">
        <v>1523</v>
      </c>
      <c r="AV4" s="1852" t="s">
        <v>166</v>
      </c>
      <c r="AW4" s="1852" t="s">
        <v>1524</v>
      </c>
      <c r="AX4" s="1852" t="s">
        <v>1525</v>
      </c>
      <c r="AY4" s="1852" t="s">
        <v>1883</v>
      </c>
      <c r="AZ4" s="1852" t="s">
        <v>2171</v>
      </c>
      <c r="BA4" s="2416"/>
      <c r="BB4" s="2417"/>
      <c r="BC4" s="2416"/>
      <c r="BD4" s="2417"/>
      <c r="BE4" s="1856" t="s">
        <v>1526</v>
      </c>
      <c r="BF4" s="1854" t="s">
        <v>1527</v>
      </c>
      <c r="BG4" s="1856" t="s">
        <v>1528</v>
      </c>
      <c r="BH4" s="768" t="s">
        <v>1383</v>
      </c>
      <c r="BI4" s="1854" t="s">
        <v>1529</v>
      </c>
      <c r="BJ4" s="1854" t="s">
        <v>1530</v>
      </c>
      <c r="BK4" s="1854" t="s">
        <v>167</v>
      </c>
      <c r="BL4" s="1854" t="s">
        <v>609</v>
      </c>
      <c r="BM4" s="1854" t="s">
        <v>2105</v>
      </c>
      <c r="BN4" s="2416"/>
      <c r="BO4" s="2417"/>
    </row>
    <row r="5" spans="1:67" s="95" customFormat="1" ht="10.5" customHeight="1">
      <c r="A5" s="2418"/>
      <c r="B5" s="2419"/>
      <c r="C5" s="1856">
        <v>1</v>
      </c>
      <c r="D5" s="1350">
        <v>2</v>
      </c>
      <c r="E5" s="1856">
        <v>3</v>
      </c>
      <c r="F5" s="1350">
        <v>4</v>
      </c>
      <c r="G5" s="1856">
        <v>5</v>
      </c>
      <c r="H5" s="1856">
        <v>6</v>
      </c>
      <c r="I5" s="931">
        <v>7</v>
      </c>
      <c r="J5" s="931">
        <v>8</v>
      </c>
      <c r="K5" s="1856">
        <v>9</v>
      </c>
      <c r="L5" s="750">
        <v>10</v>
      </c>
      <c r="M5" s="1350">
        <v>11</v>
      </c>
      <c r="N5" s="1856">
        <v>12</v>
      </c>
      <c r="O5" s="1350">
        <v>13</v>
      </c>
      <c r="P5" s="1856">
        <v>14</v>
      </c>
      <c r="Q5" s="1350">
        <v>15</v>
      </c>
      <c r="R5" s="1856">
        <v>16</v>
      </c>
      <c r="S5" s="2418"/>
      <c r="T5" s="2419"/>
      <c r="U5" s="2418"/>
      <c r="V5" s="2419"/>
      <c r="W5" s="1856">
        <v>17</v>
      </c>
      <c r="X5" s="1351">
        <v>18</v>
      </c>
      <c r="Y5" s="1856">
        <v>19</v>
      </c>
      <c r="Z5" s="1856">
        <v>20</v>
      </c>
      <c r="AA5" s="1856">
        <v>21</v>
      </c>
      <c r="AB5" s="1856">
        <v>22</v>
      </c>
      <c r="AC5" s="1350">
        <v>23</v>
      </c>
      <c r="AD5" s="1856">
        <v>24</v>
      </c>
      <c r="AE5" s="1856">
        <v>25</v>
      </c>
      <c r="AF5" s="1856">
        <v>26</v>
      </c>
      <c r="AG5" s="734">
        <v>27</v>
      </c>
      <c r="AH5" s="1856">
        <v>28</v>
      </c>
      <c r="AI5" s="2418"/>
      <c r="AJ5" s="2419"/>
      <c r="AK5" s="2438"/>
      <c r="AL5" s="2439"/>
      <c r="AM5" s="1350">
        <v>29</v>
      </c>
      <c r="AN5" s="1856">
        <v>30</v>
      </c>
      <c r="AO5" s="1350">
        <v>31</v>
      </c>
      <c r="AP5" s="1350">
        <v>32</v>
      </c>
      <c r="AQ5" s="1856">
        <v>33</v>
      </c>
      <c r="AR5" s="1350">
        <v>34</v>
      </c>
      <c r="AS5" s="1350">
        <v>35</v>
      </c>
      <c r="AT5" s="1856">
        <v>36</v>
      </c>
      <c r="AU5" s="1350">
        <v>37</v>
      </c>
      <c r="AV5" s="1856">
        <v>38</v>
      </c>
      <c r="AW5" s="1856">
        <v>39</v>
      </c>
      <c r="AX5" s="1856">
        <v>40</v>
      </c>
      <c r="AY5" s="1128">
        <v>41</v>
      </c>
      <c r="AZ5" s="1856">
        <v>42</v>
      </c>
      <c r="BA5" s="2418"/>
      <c r="BB5" s="2419"/>
      <c r="BC5" s="2418"/>
      <c r="BD5" s="2419"/>
      <c r="BE5" s="750">
        <v>43</v>
      </c>
      <c r="BF5" s="1350">
        <v>44</v>
      </c>
      <c r="BG5" s="826">
        <v>45</v>
      </c>
      <c r="BH5" s="1350">
        <v>46</v>
      </c>
      <c r="BI5" s="750">
        <v>47</v>
      </c>
      <c r="BJ5" s="1350">
        <v>48</v>
      </c>
      <c r="BK5" s="750">
        <v>49</v>
      </c>
      <c r="BL5" s="1350">
        <v>50</v>
      </c>
      <c r="BM5" s="1856">
        <v>51</v>
      </c>
      <c r="BN5" s="2418"/>
      <c r="BO5" s="2419"/>
    </row>
    <row r="6" spans="1:67" s="1855" customFormat="1" ht="11.45" customHeight="1">
      <c r="A6" s="2421" t="s">
        <v>26</v>
      </c>
      <c r="B6" s="2421"/>
      <c r="C6" s="751">
        <v>3.01</v>
      </c>
      <c r="D6" s="751">
        <v>3</v>
      </c>
      <c r="E6" s="751">
        <v>3.5</v>
      </c>
      <c r="F6" s="751" t="s">
        <v>1468</v>
      </c>
      <c r="G6" s="751" t="s">
        <v>2687</v>
      </c>
      <c r="H6" s="751">
        <v>4</v>
      </c>
      <c r="I6" s="751">
        <v>4.5</v>
      </c>
      <c r="J6" s="751">
        <v>3</v>
      </c>
      <c r="K6" s="751">
        <v>3</v>
      </c>
      <c r="L6" s="751" t="s">
        <v>2964</v>
      </c>
      <c r="M6" s="751">
        <v>2.75</v>
      </c>
      <c r="N6" s="751">
        <v>3.25</v>
      </c>
      <c r="O6" s="751">
        <v>2.5</v>
      </c>
      <c r="P6" s="751">
        <v>3</v>
      </c>
      <c r="Q6" s="751">
        <v>4.25</v>
      </c>
      <c r="R6" s="751">
        <v>2.5</v>
      </c>
      <c r="S6" s="2421" t="s">
        <v>26</v>
      </c>
      <c r="T6" s="2421"/>
      <c r="U6" s="2406" t="s">
        <v>26</v>
      </c>
      <c r="V6" s="2406"/>
      <c r="W6" s="751" t="s">
        <v>2807</v>
      </c>
      <c r="X6" s="751" t="s">
        <v>2194</v>
      </c>
      <c r="Y6" s="751">
        <v>3.25</v>
      </c>
      <c r="Z6" s="751" t="s">
        <v>2189</v>
      </c>
      <c r="AA6" s="751" t="s">
        <v>2190</v>
      </c>
      <c r="AB6" s="751" t="s">
        <v>2268</v>
      </c>
      <c r="AC6" s="751" t="s">
        <v>2191</v>
      </c>
      <c r="AD6" s="751" t="s">
        <v>2637</v>
      </c>
      <c r="AE6" s="751" t="s">
        <v>2407</v>
      </c>
      <c r="AF6" s="751" t="s">
        <v>2965</v>
      </c>
      <c r="AG6" s="751" t="s">
        <v>2917</v>
      </c>
      <c r="AH6" s="751" t="s">
        <v>2694</v>
      </c>
      <c r="AI6" s="2421" t="s">
        <v>26</v>
      </c>
      <c r="AJ6" s="2421"/>
      <c r="AK6" s="2421" t="s">
        <v>26</v>
      </c>
      <c r="AL6" s="2421"/>
      <c r="AM6" s="751" t="s">
        <v>1468</v>
      </c>
      <c r="AN6" s="751" t="s">
        <v>1468</v>
      </c>
      <c r="AO6" s="751" t="s">
        <v>2697</v>
      </c>
      <c r="AP6" s="751" t="s">
        <v>2639</v>
      </c>
      <c r="AQ6" s="751" t="s">
        <v>2637</v>
      </c>
      <c r="AR6" s="751" t="s">
        <v>2193</v>
      </c>
      <c r="AS6" s="751" t="s">
        <v>2409</v>
      </c>
      <c r="AT6" s="751" t="s">
        <v>2770</v>
      </c>
      <c r="AU6" s="751">
        <v>2.5</v>
      </c>
      <c r="AV6" s="751" t="s">
        <v>2919</v>
      </c>
      <c r="AW6" s="751" t="s">
        <v>2966</v>
      </c>
      <c r="AX6" s="751" t="s">
        <v>2700</v>
      </c>
      <c r="AY6" s="751" t="s">
        <v>2882</v>
      </c>
      <c r="AZ6" s="751">
        <v>3.25</v>
      </c>
      <c r="BA6" s="2406" t="s">
        <v>26</v>
      </c>
      <c r="BB6" s="2406"/>
      <c r="BC6" s="2406" t="s">
        <v>26</v>
      </c>
      <c r="BD6" s="2406"/>
      <c r="BE6" s="751">
        <v>6</v>
      </c>
      <c r="BF6" s="751" t="s">
        <v>2411</v>
      </c>
      <c r="BG6" s="751" t="s">
        <v>2704</v>
      </c>
      <c r="BH6" s="751">
        <v>4</v>
      </c>
      <c r="BI6" s="751">
        <v>4.5</v>
      </c>
      <c r="BJ6" s="751">
        <v>0.75</v>
      </c>
      <c r="BK6" s="751" t="s">
        <v>2194</v>
      </c>
      <c r="BL6" s="751" t="s">
        <v>2814</v>
      </c>
      <c r="BM6" s="751">
        <v>8</v>
      </c>
      <c r="BN6" s="2406" t="s">
        <v>26</v>
      </c>
      <c r="BO6" s="2406"/>
    </row>
    <row r="7" spans="1:67" ht="11.45" customHeight="1">
      <c r="A7" s="2407" t="s">
        <v>825</v>
      </c>
      <c r="B7" s="2427"/>
      <c r="C7" s="715"/>
      <c r="D7" s="715"/>
      <c r="E7" s="715"/>
      <c r="F7" s="715"/>
      <c r="G7" s="715"/>
      <c r="H7" s="715"/>
      <c r="I7" s="715"/>
      <c r="J7" s="715"/>
      <c r="K7" s="715"/>
      <c r="L7" s="715"/>
      <c r="M7" s="715"/>
      <c r="N7" s="715"/>
      <c r="O7" s="715"/>
      <c r="P7" s="715"/>
      <c r="Q7" s="715"/>
      <c r="R7" s="715"/>
      <c r="S7" s="2407" t="s">
        <v>825</v>
      </c>
      <c r="T7" s="2407"/>
      <c r="U7" s="2407" t="s">
        <v>825</v>
      </c>
      <c r="V7" s="2427"/>
      <c r="W7" s="715"/>
      <c r="X7" s="715"/>
      <c r="Y7" s="715"/>
      <c r="Z7" s="715"/>
      <c r="AA7" s="715"/>
      <c r="AB7" s="715"/>
      <c r="AC7" s="715"/>
      <c r="AD7" s="715"/>
      <c r="AE7" s="715"/>
      <c r="AF7" s="715"/>
      <c r="AG7" s="715"/>
      <c r="AH7" s="715" t="s">
        <v>1207</v>
      </c>
      <c r="AI7" s="2407" t="s">
        <v>825</v>
      </c>
      <c r="AJ7" s="2407"/>
      <c r="AK7" s="2407" t="s">
        <v>825</v>
      </c>
      <c r="AL7" s="2407"/>
      <c r="AM7" s="715"/>
      <c r="AN7" s="715"/>
      <c r="AO7" s="715"/>
      <c r="AP7" s="715"/>
      <c r="AQ7" s="715"/>
      <c r="AR7" s="715"/>
      <c r="AS7" s="715"/>
      <c r="AT7" s="715"/>
      <c r="AU7" s="715"/>
      <c r="AV7" s="715"/>
      <c r="AW7" s="715"/>
      <c r="AX7" s="715"/>
      <c r="AY7" s="715"/>
      <c r="AZ7" s="715"/>
      <c r="BA7" s="2407" t="s">
        <v>825</v>
      </c>
      <c r="BB7" s="2427"/>
      <c r="BC7" s="2407" t="s">
        <v>825</v>
      </c>
      <c r="BD7" s="2427"/>
      <c r="BE7" s="715"/>
      <c r="BF7" s="715"/>
      <c r="BG7" s="715"/>
      <c r="BH7" s="715"/>
      <c r="BI7" s="715"/>
      <c r="BJ7" s="715"/>
      <c r="BK7" s="715"/>
      <c r="BL7" s="715"/>
      <c r="BM7" s="715"/>
      <c r="BN7" s="2407" t="s">
        <v>825</v>
      </c>
      <c r="BO7" s="2427"/>
    </row>
    <row r="8" spans="1:67" ht="11.45" customHeight="1">
      <c r="A8" s="752" t="s">
        <v>306</v>
      </c>
      <c r="B8" s="1573" t="s">
        <v>816</v>
      </c>
      <c r="C8" s="751">
        <v>2.67</v>
      </c>
      <c r="D8" s="751">
        <v>3.63</v>
      </c>
      <c r="E8" s="751">
        <v>4</v>
      </c>
      <c r="F8" s="751">
        <v>2.5</v>
      </c>
      <c r="G8" s="751" t="s">
        <v>2688</v>
      </c>
      <c r="H8" s="751">
        <v>4</v>
      </c>
      <c r="I8" s="751" t="s">
        <v>1974</v>
      </c>
      <c r="J8" s="751">
        <v>3</v>
      </c>
      <c r="K8" s="751" t="s">
        <v>52</v>
      </c>
      <c r="L8" s="751" t="s">
        <v>2967</v>
      </c>
      <c r="M8" s="751" t="s">
        <v>2398</v>
      </c>
      <c r="N8" s="751">
        <v>2.13</v>
      </c>
      <c r="O8" s="751">
        <v>2.25</v>
      </c>
      <c r="P8" s="751">
        <v>3</v>
      </c>
      <c r="Q8" s="751">
        <v>3.75</v>
      </c>
      <c r="R8" s="751" t="s">
        <v>2544</v>
      </c>
      <c r="S8" s="1181" t="s">
        <v>306</v>
      </c>
      <c r="T8" s="1573" t="s">
        <v>2166</v>
      </c>
      <c r="U8" s="752" t="s">
        <v>306</v>
      </c>
      <c r="V8" s="1573" t="s">
        <v>816</v>
      </c>
      <c r="W8" s="751">
        <v>1.5</v>
      </c>
      <c r="X8" s="751">
        <v>2</v>
      </c>
      <c r="Y8" s="751">
        <v>2</v>
      </c>
      <c r="Z8" s="751">
        <v>1.5</v>
      </c>
      <c r="AA8" s="751">
        <v>2</v>
      </c>
      <c r="AB8" s="751">
        <v>0.5</v>
      </c>
      <c r="AC8" s="751" t="s">
        <v>2409</v>
      </c>
      <c r="AD8" s="751">
        <v>2.5</v>
      </c>
      <c r="AE8" s="751" t="s">
        <v>2192</v>
      </c>
      <c r="AF8" s="751" t="s">
        <v>1468</v>
      </c>
      <c r="AG8" s="751">
        <v>1</v>
      </c>
      <c r="AH8" s="751">
        <v>2.5</v>
      </c>
      <c r="AI8" s="752" t="s">
        <v>306</v>
      </c>
      <c r="AJ8" s="1573" t="s">
        <v>816</v>
      </c>
      <c r="AK8" s="752" t="s">
        <v>306</v>
      </c>
      <c r="AL8" s="1573" t="s">
        <v>816</v>
      </c>
      <c r="AM8" s="751">
        <v>3</v>
      </c>
      <c r="AN8" s="751">
        <v>1.5</v>
      </c>
      <c r="AO8" s="751">
        <v>0.25</v>
      </c>
      <c r="AP8" s="751" t="s">
        <v>2415</v>
      </c>
      <c r="AQ8" s="751">
        <v>2.5</v>
      </c>
      <c r="AR8" s="751">
        <v>2.5</v>
      </c>
      <c r="AS8" s="751">
        <v>2.75</v>
      </c>
      <c r="AT8" s="751" t="s">
        <v>2192</v>
      </c>
      <c r="AU8" s="751">
        <v>1.25</v>
      </c>
      <c r="AV8" s="751" t="s">
        <v>2920</v>
      </c>
      <c r="AW8" s="751">
        <v>1</v>
      </c>
      <c r="AX8" s="751">
        <v>2</v>
      </c>
      <c r="AY8" s="751">
        <v>2</v>
      </c>
      <c r="AZ8" s="751">
        <v>2.5</v>
      </c>
      <c r="BA8" s="752" t="s">
        <v>306</v>
      </c>
      <c r="BB8" s="1573" t="s">
        <v>816</v>
      </c>
      <c r="BC8" s="752" t="s">
        <v>306</v>
      </c>
      <c r="BD8" s="1573" t="s">
        <v>816</v>
      </c>
      <c r="BE8" s="751">
        <v>1</v>
      </c>
      <c r="BF8" s="751">
        <v>0.05</v>
      </c>
      <c r="BG8" s="751">
        <v>1.25</v>
      </c>
      <c r="BH8" s="751">
        <v>4.5</v>
      </c>
      <c r="BI8" s="751">
        <v>0.2</v>
      </c>
      <c r="BJ8" s="751">
        <v>0.05</v>
      </c>
      <c r="BK8" s="751">
        <v>0.5</v>
      </c>
      <c r="BL8" s="751">
        <v>0.05</v>
      </c>
      <c r="BM8" s="751" t="s">
        <v>2885</v>
      </c>
      <c r="BN8" s="752" t="s">
        <v>306</v>
      </c>
      <c r="BO8" s="1573" t="s">
        <v>816</v>
      </c>
    </row>
    <row r="9" spans="1:67" ht="11.45" customHeight="1">
      <c r="A9" s="753" t="s">
        <v>477</v>
      </c>
      <c r="B9" s="754" t="s">
        <v>817</v>
      </c>
      <c r="C9" s="715">
        <v>3.05</v>
      </c>
      <c r="D9" s="715">
        <v>6</v>
      </c>
      <c r="E9" s="715">
        <v>4.25</v>
      </c>
      <c r="F9" s="715">
        <v>3</v>
      </c>
      <c r="G9" s="715" t="s">
        <v>2688</v>
      </c>
      <c r="H9" s="715">
        <v>4.25</v>
      </c>
      <c r="I9" s="715" t="s">
        <v>2460</v>
      </c>
      <c r="J9" s="715">
        <v>3</v>
      </c>
      <c r="K9" s="715" t="s">
        <v>52</v>
      </c>
      <c r="L9" s="715" t="s">
        <v>2967</v>
      </c>
      <c r="M9" s="715" t="s">
        <v>2399</v>
      </c>
      <c r="N9" s="715">
        <v>2.75</v>
      </c>
      <c r="O9" s="715">
        <v>2.25</v>
      </c>
      <c r="P9" s="715">
        <v>3</v>
      </c>
      <c r="Q9" s="715">
        <v>4.25</v>
      </c>
      <c r="R9" s="715" t="s">
        <v>2545</v>
      </c>
      <c r="S9" s="1182" t="s">
        <v>477</v>
      </c>
      <c r="T9" s="754" t="s">
        <v>2167</v>
      </c>
      <c r="U9" s="753" t="s">
        <v>477</v>
      </c>
      <c r="V9" s="754" t="s">
        <v>817</v>
      </c>
      <c r="W9" s="715" t="s">
        <v>1531</v>
      </c>
      <c r="X9" s="715">
        <v>2</v>
      </c>
      <c r="Y9" s="715">
        <v>2.25</v>
      </c>
      <c r="Z9" s="715">
        <v>1.75</v>
      </c>
      <c r="AA9" s="715">
        <v>3</v>
      </c>
      <c r="AB9" s="715">
        <v>1</v>
      </c>
      <c r="AC9" s="715" t="s">
        <v>2461</v>
      </c>
      <c r="AD9" s="715">
        <v>3.25</v>
      </c>
      <c r="AE9" s="715" t="s">
        <v>2192</v>
      </c>
      <c r="AF9" s="715">
        <v>4</v>
      </c>
      <c r="AG9" s="715">
        <v>1.5</v>
      </c>
      <c r="AH9" s="715">
        <v>3</v>
      </c>
      <c r="AI9" s="753" t="s">
        <v>477</v>
      </c>
      <c r="AJ9" s="754" t="s">
        <v>817</v>
      </c>
      <c r="AK9" s="753" t="s">
        <v>477</v>
      </c>
      <c r="AL9" s="754" t="s">
        <v>817</v>
      </c>
      <c r="AM9" s="715">
        <v>3.5</v>
      </c>
      <c r="AN9" s="715">
        <v>1.75</v>
      </c>
      <c r="AO9" s="715">
        <v>0.75</v>
      </c>
      <c r="AP9" s="715" t="s">
        <v>1891</v>
      </c>
      <c r="AQ9" s="715">
        <v>3.25</v>
      </c>
      <c r="AR9" s="715">
        <v>3</v>
      </c>
      <c r="AS9" s="715" t="s">
        <v>2639</v>
      </c>
      <c r="AT9" s="715" t="s">
        <v>2641</v>
      </c>
      <c r="AU9" s="715">
        <v>1.5</v>
      </c>
      <c r="AV9" s="715" t="s">
        <v>2921</v>
      </c>
      <c r="AW9" s="715">
        <v>2</v>
      </c>
      <c r="AX9" s="715">
        <v>2</v>
      </c>
      <c r="AY9" s="715">
        <v>2.25</v>
      </c>
      <c r="AZ9" s="715">
        <v>2.5</v>
      </c>
      <c r="BA9" s="753" t="s">
        <v>477</v>
      </c>
      <c r="BB9" s="754" t="s">
        <v>817</v>
      </c>
      <c r="BC9" s="753" t="s">
        <v>477</v>
      </c>
      <c r="BD9" s="754" t="s">
        <v>817</v>
      </c>
      <c r="BE9" s="715">
        <v>1</v>
      </c>
      <c r="BF9" s="715">
        <v>0.25</v>
      </c>
      <c r="BG9" s="715">
        <v>1.75</v>
      </c>
      <c r="BH9" s="715">
        <v>5</v>
      </c>
      <c r="BI9" s="715">
        <v>0.3</v>
      </c>
      <c r="BJ9" s="715">
        <v>0.05</v>
      </c>
      <c r="BK9" s="715">
        <v>0.5</v>
      </c>
      <c r="BL9" s="715">
        <v>0.2</v>
      </c>
      <c r="BM9" s="715" t="s">
        <v>2546</v>
      </c>
      <c r="BN9" s="753" t="s">
        <v>477</v>
      </c>
      <c r="BO9" s="754" t="s">
        <v>817</v>
      </c>
    </row>
    <row r="10" spans="1:67" ht="11.45" customHeight="1">
      <c r="A10" s="752" t="s">
        <v>298</v>
      </c>
      <c r="B10" s="1573" t="s">
        <v>818</v>
      </c>
      <c r="C10" s="751">
        <v>3.3</v>
      </c>
      <c r="D10" s="751">
        <v>6.38</v>
      </c>
      <c r="E10" s="751">
        <v>4.5</v>
      </c>
      <c r="F10" s="751">
        <v>3.25</v>
      </c>
      <c r="G10" s="751" t="s">
        <v>2688</v>
      </c>
      <c r="H10" s="751">
        <v>4.5</v>
      </c>
      <c r="I10" s="751" t="s">
        <v>2462</v>
      </c>
      <c r="J10" s="751">
        <v>3</v>
      </c>
      <c r="K10" s="751" t="s">
        <v>52</v>
      </c>
      <c r="L10" s="751" t="s">
        <v>2967</v>
      </c>
      <c r="M10" s="751" t="s">
        <v>2400</v>
      </c>
      <c r="N10" s="751">
        <v>3.5</v>
      </c>
      <c r="O10" s="751">
        <v>2.75</v>
      </c>
      <c r="P10" s="751">
        <v>4</v>
      </c>
      <c r="Q10" s="751">
        <v>4.75</v>
      </c>
      <c r="R10" s="751" t="s">
        <v>2425</v>
      </c>
      <c r="S10" s="1183" t="s">
        <v>298</v>
      </c>
      <c r="T10" s="1573" t="s">
        <v>2168</v>
      </c>
      <c r="U10" s="752" t="s">
        <v>298</v>
      </c>
      <c r="V10" s="1573" t="s">
        <v>818</v>
      </c>
      <c r="W10" s="751">
        <v>2</v>
      </c>
      <c r="X10" s="751">
        <v>2</v>
      </c>
      <c r="Y10" s="751">
        <v>2.5</v>
      </c>
      <c r="Z10" s="751">
        <v>2</v>
      </c>
      <c r="AA10" s="751">
        <v>3</v>
      </c>
      <c r="AB10" s="751">
        <v>2</v>
      </c>
      <c r="AC10" s="751" t="s">
        <v>2461</v>
      </c>
      <c r="AD10" s="751">
        <v>3.25</v>
      </c>
      <c r="AE10" s="751" t="s">
        <v>2744</v>
      </c>
      <c r="AF10" s="751" t="s">
        <v>2968</v>
      </c>
      <c r="AG10" s="751">
        <v>2.5</v>
      </c>
      <c r="AH10" s="751">
        <v>3.25</v>
      </c>
      <c r="AI10" s="752" t="s">
        <v>298</v>
      </c>
      <c r="AJ10" s="1573" t="s">
        <v>818</v>
      </c>
      <c r="AK10" s="752" t="s">
        <v>298</v>
      </c>
      <c r="AL10" s="1573" t="s">
        <v>818</v>
      </c>
      <c r="AM10" s="751">
        <v>3.75</v>
      </c>
      <c r="AN10" s="751">
        <v>2</v>
      </c>
      <c r="AO10" s="751">
        <v>1.25</v>
      </c>
      <c r="AP10" s="751" t="s">
        <v>2409</v>
      </c>
      <c r="AQ10" s="751">
        <v>3.25</v>
      </c>
      <c r="AR10" s="751">
        <v>3.5</v>
      </c>
      <c r="AS10" s="751">
        <v>4</v>
      </c>
      <c r="AT10" s="751" t="s">
        <v>2746</v>
      </c>
      <c r="AU10" s="751">
        <v>1.75</v>
      </c>
      <c r="AV10" s="751" t="s">
        <v>2922</v>
      </c>
      <c r="AW10" s="751">
        <v>3</v>
      </c>
      <c r="AX10" s="751" t="s">
        <v>2547</v>
      </c>
      <c r="AY10" s="751">
        <v>2.5</v>
      </c>
      <c r="AZ10" s="751">
        <v>2.5</v>
      </c>
      <c r="BA10" s="752" t="s">
        <v>298</v>
      </c>
      <c r="BB10" s="1573" t="s">
        <v>818</v>
      </c>
      <c r="BC10" s="752" t="s">
        <v>298</v>
      </c>
      <c r="BD10" s="1573" t="s">
        <v>818</v>
      </c>
      <c r="BE10" s="751">
        <v>1.25</v>
      </c>
      <c r="BF10" s="751">
        <v>0.5</v>
      </c>
      <c r="BG10" s="751">
        <v>2.5</v>
      </c>
      <c r="BH10" s="751">
        <v>5.5</v>
      </c>
      <c r="BI10" s="751">
        <v>0.4</v>
      </c>
      <c r="BJ10" s="751">
        <v>0.05</v>
      </c>
      <c r="BK10" s="751">
        <v>0.5</v>
      </c>
      <c r="BL10" s="751">
        <v>0.4</v>
      </c>
      <c r="BM10" s="751" t="s">
        <v>2548</v>
      </c>
      <c r="BN10" s="752" t="s">
        <v>298</v>
      </c>
      <c r="BO10" s="1573" t="s">
        <v>818</v>
      </c>
    </row>
    <row r="11" spans="1:67" ht="11.45" customHeight="1">
      <c r="A11" s="753" t="s">
        <v>299</v>
      </c>
      <c r="B11" s="754" t="s">
        <v>819</v>
      </c>
      <c r="C11" s="715">
        <v>3.67</v>
      </c>
      <c r="D11" s="715" t="s">
        <v>2969</v>
      </c>
      <c r="E11" s="715">
        <v>5</v>
      </c>
      <c r="F11" s="715">
        <v>3.5</v>
      </c>
      <c r="G11" s="715" t="s">
        <v>2688</v>
      </c>
      <c r="H11" s="715">
        <v>5</v>
      </c>
      <c r="I11" s="715">
        <v>6</v>
      </c>
      <c r="J11" s="715">
        <v>3</v>
      </c>
      <c r="K11" s="715" t="s">
        <v>52</v>
      </c>
      <c r="L11" s="715" t="s">
        <v>2967</v>
      </c>
      <c r="M11" s="715" t="s">
        <v>2401</v>
      </c>
      <c r="N11" s="715">
        <v>4</v>
      </c>
      <c r="O11" s="715">
        <v>3.25</v>
      </c>
      <c r="P11" s="715">
        <v>4</v>
      </c>
      <c r="Q11" s="715">
        <v>5.25</v>
      </c>
      <c r="R11" s="715" t="s">
        <v>2549</v>
      </c>
      <c r="S11" s="1182" t="s">
        <v>299</v>
      </c>
      <c r="T11" s="754" t="s">
        <v>819</v>
      </c>
      <c r="U11" s="753" t="s">
        <v>299</v>
      </c>
      <c r="V11" s="754" t="s">
        <v>819</v>
      </c>
      <c r="W11" s="715">
        <v>2</v>
      </c>
      <c r="X11" s="715">
        <v>2</v>
      </c>
      <c r="Y11" s="715">
        <v>2.75</v>
      </c>
      <c r="Z11" s="715">
        <v>2.25</v>
      </c>
      <c r="AA11" s="715">
        <v>3</v>
      </c>
      <c r="AB11" s="715">
        <v>2</v>
      </c>
      <c r="AC11" s="715" t="s">
        <v>2463</v>
      </c>
      <c r="AD11" s="715">
        <v>4</v>
      </c>
      <c r="AE11" s="715" t="s">
        <v>2192</v>
      </c>
      <c r="AF11" s="715" t="s">
        <v>2968</v>
      </c>
      <c r="AG11" s="715">
        <v>3</v>
      </c>
      <c r="AH11" s="715">
        <v>3.5</v>
      </c>
      <c r="AI11" s="753" t="s">
        <v>299</v>
      </c>
      <c r="AJ11" s="754" t="s">
        <v>819</v>
      </c>
      <c r="AK11" s="753" t="s">
        <v>299</v>
      </c>
      <c r="AL11" s="754" t="s">
        <v>819</v>
      </c>
      <c r="AM11" s="715">
        <v>4</v>
      </c>
      <c r="AN11" s="715">
        <v>2.5</v>
      </c>
      <c r="AO11" s="715">
        <v>1.5</v>
      </c>
      <c r="AP11" s="715" t="s">
        <v>2410</v>
      </c>
      <c r="AQ11" s="715">
        <v>4</v>
      </c>
      <c r="AR11" s="715">
        <v>4</v>
      </c>
      <c r="AS11" s="715">
        <v>5</v>
      </c>
      <c r="AT11" s="715" t="s">
        <v>2642</v>
      </c>
      <c r="AU11" s="715">
        <v>2</v>
      </c>
      <c r="AV11" s="715" t="s">
        <v>2923</v>
      </c>
      <c r="AW11" s="715">
        <v>4.5</v>
      </c>
      <c r="AX11" s="715" t="s">
        <v>2701</v>
      </c>
      <c r="AY11" s="715">
        <v>2.75</v>
      </c>
      <c r="AZ11" s="715">
        <v>2.75</v>
      </c>
      <c r="BA11" s="753" t="s">
        <v>299</v>
      </c>
      <c r="BB11" s="754" t="s">
        <v>819</v>
      </c>
      <c r="BC11" s="753" t="s">
        <v>299</v>
      </c>
      <c r="BD11" s="754" t="s">
        <v>819</v>
      </c>
      <c r="BE11" s="715">
        <v>1.5</v>
      </c>
      <c r="BF11" s="715">
        <v>0.75</v>
      </c>
      <c r="BG11" s="715">
        <v>5.5</v>
      </c>
      <c r="BH11" s="715">
        <v>6.5</v>
      </c>
      <c r="BI11" s="715">
        <v>0.5</v>
      </c>
      <c r="BJ11" s="715">
        <v>0.05</v>
      </c>
      <c r="BK11" s="715">
        <v>0.5</v>
      </c>
      <c r="BL11" s="715">
        <v>0.6</v>
      </c>
      <c r="BM11" s="715" t="s">
        <v>2548</v>
      </c>
      <c r="BN11" s="753" t="s">
        <v>299</v>
      </c>
      <c r="BO11" s="754" t="s">
        <v>819</v>
      </c>
    </row>
    <row r="12" spans="1:67" ht="11.45" customHeight="1">
      <c r="A12" s="752" t="s">
        <v>304</v>
      </c>
      <c r="B12" s="1573" t="s">
        <v>1306</v>
      </c>
      <c r="C12" s="751">
        <v>3.92</v>
      </c>
      <c r="D12" s="751">
        <v>7</v>
      </c>
      <c r="E12" s="751">
        <v>6</v>
      </c>
      <c r="F12" s="751" t="s">
        <v>2397</v>
      </c>
      <c r="G12" s="751" t="s">
        <v>2688</v>
      </c>
      <c r="H12" s="751">
        <v>6</v>
      </c>
      <c r="I12" s="751">
        <v>6</v>
      </c>
      <c r="J12" s="751">
        <v>3</v>
      </c>
      <c r="K12" s="751" t="s">
        <v>52</v>
      </c>
      <c r="L12" s="751" t="s">
        <v>2967</v>
      </c>
      <c r="M12" s="751" t="s">
        <v>2402</v>
      </c>
      <c r="N12" s="751">
        <v>4.38</v>
      </c>
      <c r="O12" s="751">
        <v>3.75</v>
      </c>
      <c r="P12" s="751">
        <v>4</v>
      </c>
      <c r="Q12" s="751">
        <v>5.5</v>
      </c>
      <c r="R12" s="751">
        <v>5.5</v>
      </c>
      <c r="S12" s="1183" t="s">
        <v>304</v>
      </c>
      <c r="T12" s="1573" t="s">
        <v>1306</v>
      </c>
      <c r="U12" s="752" t="s">
        <v>304</v>
      </c>
      <c r="V12" s="1573" t="s">
        <v>1306</v>
      </c>
      <c r="W12" s="751">
        <v>2</v>
      </c>
      <c r="X12" s="751">
        <v>2</v>
      </c>
      <c r="Y12" s="751">
        <v>3</v>
      </c>
      <c r="Z12" s="751">
        <v>2.5</v>
      </c>
      <c r="AA12" s="751">
        <v>3</v>
      </c>
      <c r="AB12" s="751" t="s">
        <v>2403</v>
      </c>
      <c r="AC12" s="751" t="s">
        <v>2463</v>
      </c>
      <c r="AD12" s="751">
        <v>4.25</v>
      </c>
      <c r="AE12" s="751" t="s">
        <v>2192</v>
      </c>
      <c r="AF12" s="751" t="s">
        <v>2968</v>
      </c>
      <c r="AG12" s="751">
        <v>3.5</v>
      </c>
      <c r="AH12" s="751">
        <v>4</v>
      </c>
      <c r="AI12" s="752" t="s">
        <v>304</v>
      </c>
      <c r="AJ12" s="1573" t="s">
        <v>1306</v>
      </c>
      <c r="AK12" s="752" t="s">
        <v>304</v>
      </c>
      <c r="AL12" s="1573" t="s">
        <v>1306</v>
      </c>
      <c r="AM12" s="751">
        <v>4.5</v>
      </c>
      <c r="AN12" s="751">
        <v>2.5</v>
      </c>
      <c r="AO12" s="751">
        <v>3</v>
      </c>
      <c r="AP12" s="751" t="s">
        <v>2970</v>
      </c>
      <c r="AQ12" s="751">
        <v>4.25</v>
      </c>
      <c r="AR12" s="751">
        <v>4</v>
      </c>
      <c r="AS12" s="751">
        <v>5</v>
      </c>
      <c r="AT12" s="751" t="s">
        <v>2643</v>
      </c>
      <c r="AU12" s="751">
        <v>2.5</v>
      </c>
      <c r="AV12" s="751" t="s">
        <v>2924</v>
      </c>
      <c r="AW12" s="751">
        <v>6.5</v>
      </c>
      <c r="AX12" s="751" t="s">
        <v>2701</v>
      </c>
      <c r="AY12" s="751">
        <v>3</v>
      </c>
      <c r="AZ12" s="751">
        <v>3</v>
      </c>
      <c r="BA12" s="752" t="s">
        <v>304</v>
      </c>
      <c r="BB12" s="1573" t="s">
        <v>1306</v>
      </c>
      <c r="BC12" s="752" t="s">
        <v>304</v>
      </c>
      <c r="BD12" s="1573" t="s">
        <v>1306</v>
      </c>
      <c r="BE12" s="751">
        <v>2.5</v>
      </c>
      <c r="BF12" s="751">
        <v>1.25</v>
      </c>
      <c r="BG12" s="751">
        <v>6</v>
      </c>
      <c r="BH12" s="751">
        <v>7</v>
      </c>
      <c r="BI12" s="751">
        <v>1</v>
      </c>
      <c r="BJ12" s="751">
        <v>1.2</v>
      </c>
      <c r="BK12" s="751">
        <v>0.5</v>
      </c>
      <c r="BL12" s="751">
        <v>1.5</v>
      </c>
      <c r="BM12" s="751" t="s">
        <v>2273</v>
      </c>
      <c r="BN12" s="752" t="s">
        <v>304</v>
      </c>
      <c r="BO12" s="1573" t="s">
        <v>1306</v>
      </c>
    </row>
    <row r="13" spans="1:67" ht="11.45" customHeight="1">
      <c r="A13" s="2405" t="s">
        <v>27</v>
      </c>
      <c r="B13" s="2405"/>
      <c r="C13" s="755"/>
      <c r="D13" s="755"/>
      <c r="E13" s="755"/>
      <c r="F13" s="755"/>
      <c r="G13" s="755"/>
      <c r="H13" s="755"/>
      <c r="I13" s="755"/>
      <c r="J13" s="755"/>
      <c r="K13" s="755"/>
      <c r="L13" s="755"/>
      <c r="M13" s="755"/>
      <c r="N13" s="755"/>
      <c r="O13" s="755"/>
      <c r="P13" s="755"/>
      <c r="Q13" s="755"/>
      <c r="R13" s="755"/>
      <c r="S13" s="2405" t="s">
        <v>27</v>
      </c>
      <c r="T13" s="2405"/>
      <c r="U13" s="2405" t="s">
        <v>27</v>
      </c>
      <c r="V13" s="2405"/>
      <c r="W13" s="755"/>
      <c r="X13" s="755"/>
      <c r="Y13" s="755"/>
      <c r="Z13" s="755"/>
      <c r="AA13" s="755"/>
      <c r="AB13" s="755"/>
      <c r="AC13" s="755"/>
      <c r="AD13" s="755"/>
      <c r="AE13" s="755"/>
      <c r="AF13" s="755"/>
      <c r="AG13" s="755"/>
      <c r="AH13" s="755"/>
      <c r="AI13" s="2405" t="s">
        <v>27</v>
      </c>
      <c r="AJ13" s="2405"/>
      <c r="AK13" s="2405" t="s">
        <v>27</v>
      </c>
      <c r="AL13" s="2405"/>
      <c r="AM13" s="755"/>
      <c r="AN13" s="755"/>
      <c r="AO13" s="755"/>
      <c r="AP13" s="755"/>
      <c r="AQ13" s="755"/>
      <c r="AR13" s="755"/>
      <c r="AS13" s="755"/>
      <c r="AT13" s="755"/>
      <c r="AU13" s="755"/>
      <c r="AV13" s="755"/>
      <c r="AW13" s="755"/>
      <c r="AX13" s="755"/>
      <c r="AY13" s="755"/>
      <c r="AZ13" s="755"/>
      <c r="BA13" s="2405" t="s">
        <v>27</v>
      </c>
      <c r="BB13" s="2405"/>
      <c r="BC13" s="2405" t="s">
        <v>27</v>
      </c>
      <c r="BD13" s="2405"/>
      <c r="BE13" s="755"/>
      <c r="BF13" s="755"/>
      <c r="BG13" s="755"/>
      <c r="BH13" s="755"/>
      <c r="BI13" s="755"/>
      <c r="BJ13" s="755"/>
      <c r="BK13" s="755"/>
      <c r="BL13" s="755"/>
      <c r="BM13" s="755"/>
      <c r="BN13" s="2405" t="s">
        <v>27</v>
      </c>
      <c r="BO13" s="2405"/>
    </row>
    <row r="14" spans="1:67" ht="11.45" customHeight="1">
      <c r="A14" s="752" t="s">
        <v>306</v>
      </c>
      <c r="B14" s="1573" t="s">
        <v>820</v>
      </c>
      <c r="C14" s="751">
        <v>6.46</v>
      </c>
      <c r="D14" s="751">
        <v>8.5</v>
      </c>
      <c r="E14" s="751">
        <v>9</v>
      </c>
      <c r="F14" s="751">
        <v>8.5</v>
      </c>
      <c r="G14" s="751" t="s">
        <v>2550</v>
      </c>
      <c r="H14" s="751">
        <v>8.5</v>
      </c>
      <c r="I14" s="751" t="s">
        <v>2550</v>
      </c>
      <c r="J14" s="751">
        <v>7.5</v>
      </c>
      <c r="K14" s="751" t="s">
        <v>52</v>
      </c>
      <c r="L14" s="751" t="s">
        <v>2971</v>
      </c>
      <c r="M14" s="751" t="s">
        <v>2741</v>
      </c>
      <c r="N14" s="751">
        <v>12</v>
      </c>
      <c r="O14" s="751">
        <v>10.130000000000001</v>
      </c>
      <c r="P14" s="751" t="s">
        <v>2574</v>
      </c>
      <c r="Q14" s="751" t="s">
        <v>2772</v>
      </c>
      <c r="R14" s="751">
        <v>9</v>
      </c>
      <c r="S14" s="1183" t="s">
        <v>306</v>
      </c>
      <c r="T14" s="1573" t="s">
        <v>820</v>
      </c>
      <c r="U14" s="752" t="s">
        <v>306</v>
      </c>
      <c r="V14" s="1573" t="s">
        <v>820</v>
      </c>
      <c r="W14" s="751" t="s">
        <v>2808</v>
      </c>
      <c r="X14" s="751">
        <v>9.5</v>
      </c>
      <c r="Y14" s="751" t="s">
        <v>2693</v>
      </c>
      <c r="Z14" s="751" t="s">
        <v>2851</v>
      </c>
      <c r="AA14" s="751">
        <v>9</v>
      </c>
      <c r="AB14" s="751" t="s">
        <v>2542</v>
      </c>
      <c r="AC14" s="751" t="s">
        <v>2404</v>
      </c>
      <c r="AD14" s="751" t="s">
        <v>2767</v>
      </c>
      <c r="AE14" s="751" t="s">
        <v>2854</v>
      </c>
      <c r="AF14" s="751" t="s">
        <v>2972</v>
      </c>
      <c r="AG14" s="751" t="s">
        <v>2973</v>
      </c>
      <c r="AH14" s="751" t="s">
        <v>2812</v>
      </c>
      <c r="AI14" s="752" t="s">
        <v>306</v>
      </c>
      <c r="AJ14" s="1573" t="s">
        <v>820</v>
      </c>
      <c r="AK14" s="752" t="s">
        <v>306</v>
      </c>
      <c r="AL14" s="1573" t="s">
        <v>820</v>
      </c>
      <c r="AM14" s="751" t="s">
        <v>2695</v>
      </c>
      <c r="AN14" s="751" t="s">
        <v>2578</v>
      </c>
      <c r="AO14" s="751" t="s">
        <v>2884</v>
      </c>
      <c r="AP14" s="751" t="s">
        <v>2925</v>
      </c>
      <c r="AQ14" s="751" t="s">
        <v>2767</v>
      </c>
      <c r="AR14" s="751" t="s">
        <v>2698</v>
      </c>
      <c r="AS14" s="751">
        <v>11</v>
      </c>
      <c r="AT14" s="751">
        <v>9.75</v>
      </c>
      <c r="AU14" s="751" t="s">
        <v>2771</v>
      </c>
      <c r="AV14" s="751" t="s">
        <v>2926</v>
      </c>
      <c r="AW14" s="751" t="s">
        <v>2699</v>
      </c>
      <c r="AX14" s="751" t="s">
        <v>2553</v>
      </c>
      <c r="AY14" s="751" t="s">
        <v>2747</v>
      </c>
      <c r="AZ14" s="751" t="s">
        <v>2974</v>
      </c>
      <c r="BA14" s="752" t="s">
        <v>306</v>
      </c>
      <c r="BB14" s="1573" t="s">
        <v>820</v>
      </c>
      <c r="BC14" s="752" t="s">
        <v>306</v>
      </c>
      <c r="BD14" s="1573" t="s">
        <v>820</v>
      </c>
      <c r="BE14" s="751" t="s">
        <v>2931</v>
      </c>
      <c r="BF14" s="751" t="s">
        <v>2282</v>
      </c>
      <c r="BG14" s="751" t="s">
        <v>2705</v>
      </c>
      <c r="BH14" s="751">
        <v>11.5</v>
      </c>
      <c r="BI14" s="751">
        <v>5.75</v>
      </c>
      <c r="BJ14" s="751" t="s">
        <v>2577</v>
      </c>
      <c r="BK14" s="751" t="s">
        <v>2412</v>
      </c>
      <c r="BL14" s="751" t="s">
        <v>2975</v>
      </c>
      <c r="BM14" s="751" t="s">
        <v>2976</v>
      </c>
      <c r="BN14" s="752" t="s">
        <v>306</v>
      </c>
      <c r="BO14" s="1573" t="s">
        <v>820</v>
      </c>
    </row>
    <row r="15" spans="1:67" ht="11.45" customHeight="1">
      <c r="A15" s="753" t="s">
        <v>477</v>
      </c>
      <c r="B15" s="754" t="s">
        <v>821</v>
      </c>
      <c r="C15" s="715">
        <v>7.06</v>
      </c>
      <c r="D15" s="715">
        <v>8.6300000000000008</v>
      </c>
      <c r="E15" s="715">
        <v>9.25</v>
      </c>
      <c r="F15" s="715">
        <v>8.75</v>
      </c>
      <c r="G15" s="715" t="s">
        <v>2689</v>
      </c>
      <c r="H15" s="715">
        <v>8.75</v>
      </c>
      <c r="I15" s="715" t="s">
        <v>2551</v>
      </c>
      <c r="J15" s="715">
        <v>7.75</v>
      </c>
      <c r="K15" s="715" t="s">
        <v>52</v>
      </c>
      <c r="L15" s="715" t="s">
        <v>2977</v>
      </c>
      <c r="M15" s="715" t="s">
        <v>2766</v>
      </c>
      <c r="N15" s="715">
        <v>12</v>
      </c>
      <c r="O15" s="715">
        <v>10.130000000000001</v>
      </c>
      <c r="P15" s="715" t="s">
        <v>2581</v>
      </c>
      <c r="Q15" s="715" t="s">
        <v>2915</v>
      </c>
      <c r="R15" s="715">
        <v>9</v>
      </c>
      <c r="S15" s="1182" t="s">
        <v>477</v>
      </c>
      <c r="T15" s="754" t="s">
        <v>821</v>
      </c>
      <c r="U15" s="753" t="s">
        <v>477</v>
      </c>
      <c r="V15" s="754" t="s">
        <v>821</v>
      </c>
      <c r="W15" s="715" t="s">
        <v>2809</v>
      </c>
      <c r="X15" s="715">
        <v>9.75</v>
      </c>
      <c r="Y15" s="715" t="s">
        <v>2848</v>
      </c>
      <c r="Z15" s="715" t="s">
        <v>2851</v>
      </c>
      <c r="AA15" s="715">
        <v>10</v>
      </c>
      <c r="AB15" s="715" t="s">
        <v>2881</v>
      </c>
      <c r="AC15" s="715" t="s">
        <v>2405</v>
      </c>
      <c r="AD15" s="715" t="s">
        <v>2768</v>
      </c>
      <c r="AE15" s="715" t="s">
        <v>2849</v>
      </c>
      <c r="AF15" s="715">
        <v>9.5</v>
      </c>
      <c r="AG15" s="715" t="s">
        <v>2978</v>
      </c>
      <c r="AH15" s="715" t="s">
        <v>2813</v>
      </c>
      <c r="AI15" s="753" t="s">
        <v>477</v>
      </c>
      <c r="AJ15" s="754" t="s">
        <v>821</v>
      </c>
      <c r="AK15" s="753" t="s">
        <v>477</v>
      </c>
      <c r="AL15" s="754" t="s">
        <v>821</v>
      </c>
      <c r="AM15" s="715" t="s">
        <v>2579</v>
      </c>
      <c r="AN15" s="715" t="s">
        <v>2580</v>
      </c>
      <c r="AO15" s="715" t="s">
        <v>2695</v>
      </c>
      <c r="AP15" s="715" t="s">
        <v>2927</v>
      </c>
      <c r="AQ15" s="715" t="s">
        <v>2768</v>
      </c>
      <c r="AR15" s="715" t="s">
        <v>2552</v>
      </c>
      <c r="AS15" s="715">
        <v>11.5</v>
      </c>
      <c r="AT15" s="715">
        <v>10.25</v>
      </c>
      <c r="AU15" s="715" t="s">
        <v>1353</v>
      </c>
      <c r="AV15" s="715" t="s">
        <v>2928</v>
      </c>
      <c r="AW15" s="715" t="s">
        <v>2979</v>
      </c>
      <c r="AX15" s="715" t="s">
        <v>2702</v>
      </c>
      <c r="AY15" s="715" t="s">
        <v>2748</v>
      </c>
      <c r="AZ15" s="715" t="s">
        <v>2974</v>
      </c>
      <c r="BA15" s="753" t="s">
        <v>477</v>
      </c>
      <c r="BB15" s="754" t="s">
        <v>821</v>
      </c>
      <c r="BC15" s="753" t="s">
        <v>477</v>
      </c>
      <c r="BD15" s="754" t="s">
        <v>821</v>
      </c>
      <c r="BE15" s="715" t="s">
        <v>2854</v>
      </c>
      <c r="BF15" s="715" t="s">
        <v>2411</v>
      </c>
      <c r="BG15" s="715" t="s">
        <v>2750</v>
      </c>
      <c r="BH15" s="715">
        <v>11.5</v>
      </c>
      <c r="BI15" s="715">
        <v>5.75</v>
      </c>
      <c r="BJ15" s="715" t="s">
        <v>2648</v>
      </c>
      <c r="BK15" s="715" t="s">
        <v>2413</v>
      </c>
      <c r="BL15" s="715" t="s">
        <v>2975</v>
      </c>
      <c r="BM15" s="715" t="s">
        <v>2980</v>
      </c>
      <c r="BN15" s="753" t="s">
        <v>477</v>
      </c>
      <c r="BO15" s="754" t="s">
        <v>821</v>
      </c>
    </row>
    <row r="16" spans="1:67" ht="11.45" customHeight="1">
      <c r="A16" s="752" t="s">
        <v>298</v>
      </c>
      <c r="B16" s="1573" t="s">
        <v>822</v>
      </c>
      <c r="C16" s="751">
        <v>7.41</v>
      </c>
      <c r="D16" s="751">
        <v>8.5</v>
      </c>
      <c r="E16" s="751">
        <v>9.5</v>
      </c>
      <c r="F16" s="751">
        <v>9</v>
      </c>
      <c r="G16" s="751" t="s">
        <v>2690</v>
      </c>
      <c r="H16" s="751">
        <v>9</v>
      </c>
      <c r="I16" s="751" t="s">
        <v>52</v>
      </c>
      <c r="J16" s="751">
        <v>8</v>
      </c>
      <c r="K16" s="751" t="s">
        <v>2273</v>
      </c>
      <c r="L16" s="751" t="s">
        <v>2981</v>
      </c>
      <c r="M16" s="751" t="s">
        <v>2742</v>
      </c>
      <c r="N16" s="751">
        <v>12</v>
      </c>
      <c r="O16" s="751">
        <v>10.130000000000001</v>
      </c>
      <c r="P16" s="751" t="s">
        <v>2692</v>
      </c>
      <c r="Q16" s="751" t="s">
        <v>2916</v>
      </c>
      <c r="R16" s="751">
        <v>9.25</v>
      </c>
      <c r="S16" s="1183" t="s">
        <v>298</v>
      </c>
      <c r="T16" s="1573" t="s">
        <v>822</v>
      </c>
      <c r="U16" s="752" t="s">
        <v>298</v>
      </c>
      <c r="V16" s="1573" t="s">
        <v>822</v>
      </c>
      <c r="W16" s="751" t="s">
        <v>2554</v>
      </c>
      <c r="X16" s="751">
        <v>10</v>
      </c>
      <c r="Y16" s="751" t="s">
        <v>2849</v>
      </c>
      <c r="Z16" s="751" t="s">
        <v>2852</v>
      </c>
      <c r="AA16" s="751">
        <v>11</v>
      </c>
      <c r="AB16" s="751" t="s">
        <v>2743</v>
      </c>
      <c r="AC16" s="751" t="s">
        <v>2918</v>
      </c>
      <c r="AD16" s="751" t="s">
        <v>2769</v>
      </c>
      <c r="AE16" s="751" t="s">
        <v>2811</v>
      </c>
      <c r="AF16" s="751" t="s">
        <v>2636</v>
      </c>
      <c r="AG16" s="751" t="s">
        <v>2982</v>
      </c>
      <c r="AH16" s="751" t="s">
        <v>2632</v>
      </c>
      <c r="AI16" s="752" t="s">
        <v>298</v>
      </c>
      <c r="AJ16" s="1573" t="s">
        <v>822</v>
      </c>
      <c r="AK16" s="752" t="s">
        <v>298</v>
      </c>
      <c r="AL16" s="1573" t="s">
        <v>822</v>
      </c>
      <c r="AM16" s="751" t="s">
        <v>2696</v>
      </c>
      <c r="AN16" s="751" t="s">
        <v>2582</v>
      </c>
      <c r="AO16" s="751" t="s">
        <v>2974</v>
      </c>
      <c r="AP16" s="751" t="s">
        <v>2927</v>
      </c>
      <c r="AQ16" s="751" t="s">
        <v>2769</v>
      </c>
      <c r="AR16" s="751" t="s">
        <v>2541</v>
      </c>
      <c r="AS16" s="751" t="s">
        <v>2983</v>
      </c>
      <c r="AT16" s="751">
        <v>10.5</v>
      </c>
      <c r="AU16" s="751" t="s">
        <v>2772</v>
      </c>
      <c r="AV16" s="751" t="s">
        <v>2929</v>
      </c>
      <c r="AW16" s="751" t="s">
        <v>2984</v>
      </c>
      <c r="AX16" s="751" t="s">
        <v>2644</v>
      </c>
      <c r="AY16" s="751" t="s">
        <v>2749</v>
      </c>
      <c r="AZ16" s="751" t="s">
        <v>2974</v>
      </c>
      <c r="BA16" s="752" t="s">
        <v>298</v>
      </c>
      <c r="BB16" s="1573" t="s">
        <v>822</v>
      </c>
      <c r="BC16" s="752" t="s">
        <v>298</v>
      </c>
      <c r="BD16" s="1573" t="s">
        <v>822</v>
      </c>
      <c r="BE16" s="751" t="s">
        <v>2932</v>
      </c>
      <c r="BF16" s="751" t="s">
        <v>2933</v>
      </c>
      <c r="BG16" s="751">
        <v>7.25</v>
      </c>
      <c r="BH16" s="751">
        <v>10.5</v>
      </c>
      <c r="BI16" s="751" t="s">
        <v>2706</v>
      </c>
      <c r="BJ16" s="751">
        <v>0.1</v>
      </c>
      <c r="BK16" s="751" t="s">
        <v>2414</v>
      </c>
      <c r="BL16" s="751" t="s">
        <v>2708</v>
      </c>
      <c r="BM16" s="751" t="s">
        <v>2985</v>
      </c>
      <c r="BN16" s="752" t="s">
        <v>298</v>
      </c>
      <c r="BO16" s="1573" t="s">
        <v>822</v>
      </c>
    </row>
    <row r="17" spans="1:67" ht="11.45" customHeight="1">
      <c r="A17" s="753" t="s">
        <v>299</v>
      </c>
      <c r="B17" s="754" t="s">
        <v>823</v>
      </c>
      <c r="C17" s="715">
        <v>7.65</v>
      </c>
      <c r="D17" s="715">
        <v>8.5</v>
      </c>
      <c r="E17" s="715" t="s">
        <v>52</v>
      </c>
      <c r="F17" s="715">
        <v>8.25</v>
      </c>
      <c r="G17" s="715" t="s">
        <v>2645</v>
      </c>
      <c r="H17" s="715" t="s">
        <v>52</v>
      </c>
      <c r="I17" s="715">
        <v>9.25</v>
      </c>
      <c r="J17" s="715">
        <v>8.25</v>
      </c>
      <c r="K17" s="715" t="s">
        <v>52</v>
      </c>
      <c r="L17" s="715" t="s">
        <v>2986</v>
      </c>
      <c r="M17" s="715" t="s">
        <v>2230</v>
      </c>
      <c r="N17" s="715">
        <v>12</v>
      </c>
      <c r="O17" s="715">
        <v>10.130000000000001</v>
      </c>
      <c r="P17" s="715" t="s">
        <v>2692</v>
      </c>
      <c r="Q17" s="715" t="s">
        <v>2916</v>
      </c>
      <c r="R17" s="715">
        <v>9.25</v>
      </c>
      <c r="S17" s="1182" t="s">
        <v>299</v>
      </c>
      <c r="T17" s="754" t="s">
        <v>823</v>
      </c>
      <c r="U17" s="753" t="s">
        <v>299</v>
      </c>
      <c r="V17" s="754" t="s">
        <v>823</v>
      </c>
      <c r="W17" s="715" t="s">
        <v>2810</v>
      </c>
      <c r="X17" s="715">
        <v>10</v>
      </c>
      <c r="Y17" s="715" t="s">
        <v>2574</v>
      </c>
      <c r="Z17" s="715" t="s">
        <v>2853</v>
      </c>
      <c r="AA17" s="715" t="s">
        <v>52</v>
      </c>
      <c r="AB17" s="715" t="s">
        <v>2743</v>
      </c>
      <c r="AC17" s="715" t="s">
        <v>2406</v>
      </c>
      <c r="AD17" s="715" t="s">
        <v>52</v>
      </c>
      <c r="AE17" s="715" t="s">
        <v>2811</v>
      </c>
      <c r="AF17" s="715" t="s">
        <v>52</v>
      </c>
      <c r="AG17" s="715">
        <v>10.25</v>
      </c>
      <c r="AH17" s="715" t="s">
        <v>52</v>
      </c>
      <c r="AI17" s="753" t="s">
        <v>299</v>
      </c>
      <c r="AJ17" s="754" t="s">
        <v>823</v>
      </c>
      <c r="AK17" s="753" t="s">
        <v>299</v>
      </c>
      <c r="AL17" s="754" t="s">
        <v>823</v>
      </c>
      <c r="AM17" s="715" t="s">
        <v>2408</v>
      </c>
      <c r="AN17" s="715" t="s">
        <v>2582</v>
      </c>
      <c r="AO17" s="715" t="s">
        <v>2579</v>
      </c>
      <c r="AP17" s="715" t="s">
        <v>2636</v>
      </c>
      <c r="AQ17" s="715" t="s">
        <v>52</v>
      </c>
      <c r="AR17" s="715">
        <v>10.75</v>
      </c>
      <c r="AS17" s="715"/>
      <c r="AT17" s="715">
        <v>11</v>
      </c>
      <c r="AU17" s="715" t="s">
        <v>2772</v>
      </c>
      <c r="AV17" s="715" t="s">
        <v>2930</v>
      </c>
      <c r="AW17" s="715" t="s">
        <v>52</v>
      </c>
      <c r="AX17" s="715" t="s">
        <v>2426</v>
      </c>
      <c r="AY17" s="715">
        <v>9.75</v>
      </c>
      <c r="AZ17" s="715" t="s">
        <v>2974</v>
      </c>
      <c r="BA17" s="753" t="s">
        <v>299</v>
      </c>
      <c r="BB17" s="754" t="s">
        <v>823</v>
      </c>
      <c r="BC17" s="753" t="s">
        <v>299</v>
      </c>
      <c r="BD17" s="754" t="s">
        <v>823</v>
      </c>
      <c r="BE17" s="715" t="s">
        <v>2987</v>
      </c>
      <c r="BF17" s="715" t="s">
        <v>2283</v>
      </c>
      <c r="BG17" s="715">
        <v>7.25</v>
      </c>
      <c r="BH17" s="715">
        <v>10.5</v>
      </c>
      <c r="BI17" s="715" t="s">
        <v>2707</v>
      </c>
      <c r="BJ17" s="715" t="s">
        <v>52</v>
      </c>
      <c r="BK17" s="715" t="s">
        <v>2415</v>
      </c>
      <c r="BL17" s="715" t="s">
        <v>2555</v>
      </c>
      <c r="BM17" s="715">
        <v>2</v>
      </c>
      <c r="BN17" s="753" t="s">
        <v>299</v>
      </c>
      <c r="BO17" s="754" t="s">
        <v>823</v>
      </c>
    </row>
    <row r="18" spans="1:67" ht="11.45" customHeight="1">
      <c r="A18" s="752" t="s">
        <v>304</v>
      </c>
      <c r="B18" s="1573" t="s">
        <v>824</v>
      </c>
      <c r="C18" s="751">
        <v>7.65</v>
      </c>
      <c r="D18" s="751">
        <v>6.25</v>
      </c>
      <c r="E18" s="751" t="s">
        <v>52</v>
      </c>
      <c r="F18" s="751">
        <v>8.5</v>
      </c>
      <c r="G18" s="751" t="s">
        <v>2691</v>
      </c>
      <c r="H18" s="751" t="s">
        <v>52</v>
      </c>
      <c r="I18" s="751" t="s">
        <v>52</v>
      </c>
      <c r="J18" s="751" t="s">
        <v>2740</v>
      </c>
      <c r="K18" s="751" t="s">
        <v>52</v>
      </c>
      <c r="L18" s="751" t="s">
        <v>2988</v>
      </c>
      <c r="M18" s="751" t="s">
        <v>2230</v>
      </c>
      <c r="N18" s="751" t="s">
        <v>52</v>
      </c>
      <c r="O18" s="751">
        <v>10.130000000000001</v>
      </c>
      <c r="P18" s="751" t="s">
        <v>2692</v>
      </c>
      <c r="Q18" s="751" t="s">
        <v>2916</v>
      </c>
      <c r="R18" s="751" t="s">
        <v>2883</v>
      </c>
      <c r="S18" s="1183" t="s">
        <v>304</v>
      </c>
      <c r="T18" s="1573" t="s">
        <v>824</v>
      </c>
      <c r="U18" s="752" t="s">
        <v>304</v>
      </c>
      <c r="V18" s="1573" t="s">
        <v>824</v>
      </c>
      <c r="W18" s="751" t="s">
        <v>2810</v>
      </c>
      <c r="X18" s="751">
        <v>10</v>
      </c>
      <c r="Y18" s="751" t="s">
        <v>2850</v>
      </c>
      <c r="Z18" s="751" t="s">
        <v>2853</v>
      </c>
      <c r="AA18" s="751" t="s">
        <v>52</v>
      </c>
      <c r="AB18" s="751" t="s">
        <v>2743</v>
      </c>
      <c r="AC18" s="751" t="s">
        <v>2406</v>
      </c>
      <c r="AD18" s="751" t="s">
        <v>52</v>
      </c>
      <c r="AE18" s="751" t="s">
        <v>2811</v>
      </c>
      <c r="AF18" s="751" t="s">
        <v>52</v>
      </c>
      <c r="AG18" s="751">
        <v>10.5</v>
      </c>
      <c r="AH18" s="751" t="s">
        <v>52</v>
      </c>
      <c r="AI18" s="752" t="s">
        <v>304</v>
      </c>
      <c r="AJ18" s="1573" t="s">
        <v>824</v>
      </c>
      <c r="AK18" s="752" t="s">
        <v>304</v>
      </c>
      <c r="AL18" s="1573" t="s">
        <v>824</v>
      </c>
      <c r="AM18" s="751" t="s">
        <v>2408</v>
      </c>
      <c r="AN18" s="751" t="s">
        <v>2582</v>
      </c>
      <c r="AO18" s="751" t="s">
        <v>2579</v>
      </c>
      <c r="AP18" s="751" t="s">
        <v>2636</v>
      </c>
      <c r="AQ18" s="751" t="s">
        <v>52</v>
      </c>
      <c r="AR18" s="751" t="s">
        <v>2745</v>
      </c>
      <c r="AS18" s="751"/>
      <c r="AT18" s="751">
        <v>11.25</v>
      </c>
      <c r="AU18" s="751" t="s">
        <v>2772</v>
      </c>
      <c r="AV18" s="751" t="s">
        <v>2930</v>
      </c>
      <c r="AW18" s="751" t="s">
        <v>52</v>
      </c>
      <c r="AX18" s="751" t="s">
        <v>2703</v>
      </c>
      <c r="AY18" s="751">
        <v>9.75</v>
      </c>
      <c r="AZ18" s="751" t="s">
        <v>2974</v>
      </c>
      <c r="BA18" s="752" t="s">
        <v>304</v>
      </c>
      <c r="BB18" s="1573" t="s">
        <v>824</v>
      </c>
      <c r="BC18" s="752" t="s">
        <v>304</v>
      </c>
      <c r="BD18" s="1573" t="s">
        <v>824</v>
      </c>
      <c r="BE18" s="751" t="s">
        <v>2989</v>
      </c>
      <c r="BF18" s="751">
        <v>2.0299999999999998</v>
      </c>
      <c r="BG18" s="751">
        <v>7.25</v>
      </c>
      <c r="BH18" s="751">
        <v>7.5</v>
      </c>
      <c r="BI18" s="751" t="s">
        <v>2540</v>
      </c>
      <c r="BJ18" s="751" t="s">
        <v>52</v>
      </c>
      <c r="BK18" s="751" t="s">
        <v>1891</v>
      </c>
      <c r="BL18" s="751" t="s">
        <v>2555</v>
      </c>
      <c r="BM18" s="751">
        <v>2</v>
      </c>
      <c r="BN18" s="752" t="s">
        <v>304</v>
      </c>
      <c r="BO18" s="1573" t="s">
        <v>824</v>
      </c>
    </row>
    <row r="19" spans="1:67" ht="11.45" customHeight="1">
      <c r="A19" s="2405" t="s">
        <v>146</v>
      </c>
      <c r="B19" s="2405"/>
      <c r="C19" s="693"/>
      <c r="D19" s="693"/>
      <c r="E19" s="693"/>
      <c r="F19" s="693"/>
      <c r="G19" s="693"/>
      <c r="H19" s="693"/>
      <c r="I19" s="693"/>
      <c r="J19" s="693"/>
      <c r="K19" s="693"/>
      <c r="L19" s="693"/>
      <c r="M19" s="693"/>
      <c r="N19" s="693"/>
      <c r="O19" s="693"/>
      <c r="P19" s="693" t="s">
        <v>132</v>
      </c>
      <c r="Q19" s="693"/>
      <c r="R19" s="693"/>
      <c r="S19" s="2405" t="s">
        <v>146</v>
      </c>
      <c r="T19" s="2405"/>
      <c r="U19" s="2405" t="s">
        <v>146</v>
      </c>
      <c r="V19" s="2405"/>
      <c r="W19" s="693"/>
      <c r="X19" s="693"/>
      <c r="Y19" s="693"/>
      <c r="Z19" s="693"/>
      <c r="AA19" s="693"/>
      <c r="AB19" s="693"/>
      <c r="AC19" s="693"/>
      <c r="AD19" s="693"/>
      <c r="AE19" s="693"/>
      <c r="AF19" s="693"/>
      <c r="AG19" s="693"/>
      <c r="AH19" s="693"/>
      <c r="AI19" s="2405" t="s">
        <v>146</v>
      </c>
      <c r="AJ19" s="2405"/>
      <c r="AK19" s="2405" t="s">
        <v>146</v>
      </c>
      <c r="AL19" s="2405"/>
      <c r="AM19" s="693"/>
      <c r="AN19" s="693"/>
      <c r="AO19" s="693"/>
      <c r="AP19" s="693"/>
      <c r="AQ19" s="693"/>
      <c r="AR19" s="693"/>
      <c r="AS19" s="693"/>
      <c r="AT19" s="693"/>
      <c r="AU19" s="693"/>
      <c r="AV19" s="693"/>
      <c r="AW19" s="693"/>
      <c r="AX19" s="693"/>
      <c r="AY19" s="693"/>
      <c r="AZ19" s="693"/>
      <c r="BA19" s="2405" t="s">
        <v>146</v>
      </c>
      <c r="BB19" s="2405"/>
      <c r="BC19" s="2405" t="s">
        <v>146</v>
      </c>
      <c r="BD19" s="2405"/>
      <c r="BE19" s="693"/>
      <c r="BF19" s="693"/>
      <c r="BG19" s="693"/>
      <c r="BH19" s="693"/>
      <c r="BI19" s="693"/>
      <c r="BJ19" s="693"/>
      <c r="BK19" s="693"/>
      <c r="BL19" s="693"/>
      <c r="BM19" s="693"/>
      <c r="BN19" s="2405" t="s">
        <v>146</v>
      </c>
      <c r="BO19" s="2405"/>
    </row>
    <row r="20" spans="1:67" ht="11.45" customHeight="1">
      <c r="A20" s="2406" t="s">
        <v>147</v>
      </c>
      <c r="B20" s="2406"/>
      <c r="C20" s="692"/>
      <c r="D20" s="692"/>
      <c r="E20" s="692"/>
      <c r="F20" s="692"/>
      <c r="G20" s="692"/>
      <c r="H20" s="692"/>
      <c r="I20" s="692"/>
      <c r="J20" s="692"/>
      <c r="K20" s="692"/>
      <c r="L20" s="692"/>
      <c r="M20" s="692"/>
      <c r="N20" s="692"/>
      <c r="O20" s="692"/>
      <c r="P20" s="692"/>
      <c r="Q20" s="692"/>
      <c r="R20" s="692"/>
      <c r="S20" s="2406" t="s">
        <v>147</v>
      </c>
      <c r="T20" s="2406"/>
      <c r="U20" s="2406" t="s">
        <v>147</v>
      </c>
      <c r="V20" s="2406"/>
      <c r="W20" s="692"/>
      <c r="X20" s="692"/>
      <c r="Y20" s="692"/>
      <c r="Z20" s="692"/>
      <c r="AA20" s="692"/>
      <c r="AB20" s="692"/>
      <c r="AC20" s="692"/>
      <c r="AD20" s="692"/>
      <c r="AE20" s="692"/>
      <c r="AF20" s="692"/>
      <c r="AG20" s="692"/>
      <c r="AH20" s="692"/>
      <c r="AI20" s="2406" t="s">
        <v>147</v>
      </c>
      <c r="AJ20" s="2406"/>
      <c r="AK20" s="2406" t="s">
        <v>147</v>
      </c>
      <c r="AL20" s="2406"/>
      <c r="AM20" s="692"/>
      <c r="AN20" s="692"/>
      <c r="AO20" s="692"/>
      <c r="AP20" s="692"/>
      <c r="AQ20" s="692"/>
      <c r="AR20" s="692"/>
      <c r="AS20" s="692"/>
      <c r="AT20" s="692"/>
      <c r="AU20" s="692"/>
      <c r="AV20" s="692"/>
      <c r="AW20" s="692"/>
      <c r="AX20" s="692"/>
      <c r="AY20" s="692"/>
      <c r="AZ20" s="692"/>
      <c r="BA20" s="2406" t="s">
        <v>147</v>
      </c>
      <c r="BB20" s="2406"/>
      <c r="BC20" s="2406" t="s">
        <v>147</v>
      </c>
      <c r="BD20" s="2406"/>
      <c r="BE20" s="692"/>
      <c r="BF20" s="692"/>
      <c r="BG20" s="692"/>
      <c r="BH20" s="692"/>
      <c r="BI20" s="692"/>
      <c r="BJ20" s="692"/>
      <c r="BK20" s="692"/>
      <c r="BL20" s="692"/>
      <c r="BM20" s="692"/>
      <c r="BN20" s="2406" t="s">
        <v>147</v>
      </c>
      <c r="BO20" s="2406"/>
    </row>
    <row r="21" spans="1:67" ht="11.45" customHeight="1">
      <c r="A21" s="756"/>
      <c r="B21" s="323" t="s">
        <v>148</v>
      </c>
      <c r="C21" s="693" t="s">
        <v>2886</v>
      </c>
      <c r="D21" s="693">
        <v>12.4</v>
      </c>
      <c r="E21" s="693" t="s">
        <v>2709</v>
      </c>
      <c r="F21" s="693" t="s">
        <v>2709</v>
      </c>
      <c r="G21" s="693" t="s">
        <v>2752</v>
      </c>
      <c r="H21" s="693">
        <v>12</v>
      </c>
      <c r="I21" s="693">
        <v>12</v>
      </c>
      <c r="J21" s="693">
        <v>12</v>
      </c>
      <c r="K21" s="693" t="s">
        <v>52</v>
      </c>
      <c r="L21" s="693" t="s">
        <v>2624</v>
      </c>
      <c r="M21" s="693" t="s">
        <v>2622</v>
      </c>
      <c r="N21" s="693">
        <v>12.55</v>
      </c>
      <c r="O21" s="693" t="s">
        <v>2755</v>
      </c>
      <c r="P21" s="693">
        <v>13.5</v>
      </c>
      <c r="Q21" s="693" t="s">
        <v>2622</v>
      </c>
      <c r="R21" s="693" t="s">
        <v>2622</v>
      </c>
      <c r="S21" s="1176"/>
      <c r="T21" s="323" t="s">
        <v>148</v>
      </c>
      <c r="U21" s="698"/>
      <c r="V21" s="323" t="s">
        <v>148</v>
      </c>
      <c r="W21" s="693" t="s">
        <v>2624</v>
      </c>
      <c r="X21" s="693" t="s">
        <v>2631</v>
      </c>
      <c r="Y21" s="693" t="s">
        <v>2634</v>
      </c>
      <c r="Z21" s="693" t="s">
        <v>2625</v>
      </c>
      <c r="AA21" s="693" t="s">
        <v>2990</v>
      </c>
      <c r="AB21" s="693" t="s">
        <v>2624</v>
      </c>
      <c r="AC21" s="693" t="s">
        <v>2649</v>
      </c>
      <c r="AD21" s="693" t="s">
        <v>2626</v>
      </c>
      <c r="AE21" s="693" t="s">
        <v>2860</v>
      </c>
      <c r="AF21" s="693" t="s">
        <v>2757</v>
      </c>
      <c r="AG21" s="693" t="s">
        <v>2630</v>
      </c>
      <c r="AH21" s="693">
        <v>13.5</v>
      </c>
      <c r="AI21" s="698"/>
      <c r="AJ21" s="323" t="s">
        <v>148</v>
      </c>
      <c r="AK21" s="698"/>
      <c r="AL21" s="323" t="s">
        <v>148</v>
      </c>
      <c r="AM21" s="693" t="s">
        <v>2622</v>
      </c>
      <c r="AN21" s="693">
        <v>13</v>
      </c>
      <c r="AO21" s="693" t="s">
        <v>2622</v>
      </c>
      <c r="AP21" s="693" t="s">
        <v>2627</v>
      </c>
      <c r="AQ21" s="693" t="s">
        <v>2626</v>
      </c>
      <c r="AR21" s="693" t="s">
        <v>2713</v>
      </c>
      <c r="AS21" s="693" t="s">
        <v>2622</v>
      </c>
      <c r="AT21" s="693" t="s">
        <v>2623</v>
      </c>
      <c r="AU21" s="693" t="s">
        <v>2757</v>
      </c>
      <c r="AV21" s="693" t="s">
        <v>2634</v>
      </c>
      <c r="AW21" s="693" t="s">
        <v>2625</v>
      </c>
      <c r="AX21" s="693" t="s">
        <v>2625</v>
      </c>
      <c r="AY21" s="693" t="s">
        <v>2626</v>
      </c>
      <c r="AZ21" s="693">
        <v>13.5</v>
      </c>
      <c r="BA21" s="698"/>
      <c r="BB21" s="323" t="s">
        <v>148</v>
      </c>
      <c r="BC21" s="698"/>
      <c r="BD21" s="323" t="s">
        <v>148</v>
      </c>
      <c r="BE21" s="693" t="s">
        <v>2625</v>
      </c>
      <c r="BF21" s="693" t="s">
        <v>2726</v>
      </c>
      <c r="BG21" s="693" t="s">
        <v>2728</v>
      </c>
      <c r="BH21" s="693" t="s">
        <v>2624</v>
      </c>
      <c r="BI21" s="693" t="s">
        <v>1353</v>
      </c>
      <c r="BJ21" s="693" t="s">
        <v>2693</v>
      </c>
      <c r="BK21" s="693" t="s">
        <v>2693</v>
      </c>
      <c r="BL21" s="693" t="s">
        <v>2629</v>
      </c>
      <c r="BM21" s="693" t="s">
        <v>2991</v>
      </c>
      <c r="BN21" s="698"/>
      <c r="BO21" s="323" t="s">
        <v>148</v>
      </c>
    </row>
    <row r="22" spans="1:67" ht="11.45" customHeight="1">
      <c r="A22" s="31"/>
      <c r="B22" s="757" t="s">
        <v>149</v>
      </c>
      <c r="C22" s="771" t="s">
        <v>52</v>
      </c>
      <c r="D22" s="771" t="s">
        <v>52</v>
      </c>
      <c r="E22" s="771" t="s">
        <v>52</v>
      </c>
      <c r="F22" s="771" t="s">
        <v>52</v>
      </c>
      <c r="G22" s="771" t="s">
        <v>52</v>
      </c>
      <c r="H22" s="771" t="s">
        <v>52</v>
      </c>
      <c r="I22" s="771" t="s">
        <v>52</v>
      </c>
      <c r="J22" s="771" t="s">
        <v>52</v>
      </c>
      <c r="K22" s="771" t="s">
        <v>52</v>
      </c>
      <c r="L22" s="771" t="s">
        <v>52</v>
      </c>
      <c r="M22" s="771" t="s">
        <v>52</v>
      </c>
      <c r="N22" s="771" t="s">
        <v>52</v>
      </c>
      <c r="O22" s="771" t="s">
        <v>2625</v>
      </c>
      <c r="P22" s="771" t="s">
        <v>52</v>
      </c>
      <c r="Q22" s="771" t="s">
        <v>52</v>
      </c>
      <c r="R22" s="771" t="s">
        <v>52</v>
      </c>
      <c r="S22" s="1177"/>
      <c r="T22" s="757" t="s">
        <v>149</v>
      </c>
      <c r="V22" s="757" t="s">
        <v>149</v>
      </c>
      <c r="W22" s="771" t="s">
        <v>52</v>
      </c>
      <c r="X22" s="771" t="s">
        <v>52</v>
      </c>
      <c r="Y22" s="771" t="s">
        <v>52</v>
      </c>
      <c r="Z22" s="771" t="s">
        <v>52</v>
      </c>
      <c r="AA22" s="771" t="s">
        <v>52</v>
      </c>
      <c r="AB22" s="771" t="s">
        <v>2624</v>
      </c>
      <c r="AC22" s="771" t="s">
        <v>2649</v>
      </c>
      <c r="AD22" s="771" t="s">
        <v>52</v>
      </c>
      <c r="AE22" s="771" t="s">
        <v>52</v>
      </c>
      <c r="AF22" s="771" t="s">
        <v>2757</v>
      </c>
      <c r="AG22" s="771" t="s">
        <v>52</v>
      </c>
      <c r="AH22" s="771" t="s">
        <v>52</v>
      </c>
      <c r="AJ22" s="757" t="s">
        <v>149</v>
      </c>
      <c r="AL22" s="757" t="s">
        <v>149</v>
      </c>
      <c r="AM22" s="771" t="s">
        <v>52</v>
      </c>
      <c r="AN22" s="771" t="s">
        <v>52</v>
      </c>
      <c r="AO22" s="771" t="s">
        <v>52</v>
      </c>
      <c r="AP22" s="771" t="s">
        <v>52</v>
      </c>
      <c r="AQ22" s="771" t="s">
        <v>52</v>
      </c>
      <c r="AR22" s="771" t="s">
        <v>52</v>
      </c>
      <c r="AS22" s="771"/>
      <c r="AT22" s="771" t="s">
        <v>52</v>
      </c>
      <c r="AU22" s="771" t="s">
        <v>52</v>
      </c>
      <c r="AV22" s="771" t="s">
        <v>52</v>
      </c>
      <c r="AW22" s="771" t="s">
        <v>52</v>
      </c>
      <c r="AX22" s="771" t="s">
        <v>52</v>
      </c>
      <c r="AY22" s="771" t="s">
        <v>52</v>
      </c>
      <c r="AZ22" s="771" t="s">
        <v>52</v>
      </c>
      <c r="BB22" s="757" t="s">
        <v>149</v>
      </c>
      <c r="BD22" s="757" t="s">
        <v>149</v>
      </c>
      <c r="BE22" s="771" t="s">
        <v>52</v>
      </c>
      <c r="BF22" s="771" t="s">
        <v>52</v>
      </c>
      <c r="BG22" s="771" t="s">
        <v>52</v>
      </c>
      <c r="BH22" s="771" t="s">
        <v>52</v>
      </c>
      <c r="BI22" s="771" t="s">
        <v>52</v>
      </c>
      <c r="BJ22" s="771" t="s">
        <v>52</v>
      </c>
      <c r="BK22" s="771" t="s">
        <v>52</v>
      </c>
      <c r="BL22" s="771" t="s">
        <v>52</v>
      </c>
      <c r="BM22" s="771" t="s">
        <v>52</v>
      </c>
      <c r="BO22" s="757" t="s">
        <v>149</v>
      </c>
    </row>
    <row r="23" spans="1:67" ht="22.5" customHeight="1">
      <c r="A23" s="2405" t="s">
        <v>155</v>
      </c>
      <c r="B23" s="2405"/>
      <c r="C23" s="693"/>
      <c r="D23" s="693"/>
      <c r="E23" s="693"/>
      <c r="F23" s="693"/>
      <c r="G23" s="693"/>
      <c r="H23" s="693"/>
      <c r="I23" s="693"/>
      <c r="J23" s="693"/>
      <c r="K23" s="693"/>
      <c r="L23" s="693"/>
      <c r="M23" s="693"/>
      <c r="N23" s="693"/>
      <c r="O23" s="693"/>
      <c r="P23" s="693"/>
      <c r="Q23" s="693"/>
      <c r="R23" s="693"/>
      <c r="S23" s="2405" t="s">
        <v>155</v>
      </c>
      <c r="T23" s="2405"/>
      <c r="U23" s="2405" t="s">
        <v>155</v>
      </c>
      <c r="V23" s="2405"/>
      <c r="W23" s="693"/>
      <c r="X23" s="693"/>
      <c r="Y23" s="693"/>
      <c r="Z23" s="693"/>
      <c r="AA23" s="693"/>
      <c r="AB23" s="693"/>
      <c r="AC23" s="693"/>
      <c r="AD23" s="693"/>
      <c r="AE23" s="693"/>
      <c r="AF23" s="693"/>
      <c r="AG23" s="693"/>
      <c r="AH23" s="693"/>
      <c r="AI23" s="2405" t="s">
        <v>155</v>
      </c>
      <c r="AJ23" s="2405"/>
      <c r="AK23" s="2405" t="s">
        <v>155</v>
      </c>
      <c r="AL23" s="2405"/>
      <c r="AM23" s="693"/>
      <c r="AN23" s="693"/>
      <c r="AO23" s="693"/>
      <c r="AP23" s="693"/>
      <c r="AQ23" s="693"/>
      <c r="AR23" s="693"/>
      <c r="AS23" s="693"/>
      <c r="AT23" s="693"/>
      <c r="AU23" s="693"/>
      <c r="AV23" s="693"/>
      <c r="AW23" s="693"/>
      <c r="AX23" s="693"/>
      <c r="AY23" s="693"/>
      <c r="AZ23" s="693"/>
      <c r="BA23" s="2405" t="s">
        <v>155</v>
      </c>
      <c r="BB23" s="2405"/>
      <c r="BC23" s="2405" t="s">
        <v>155</v>
      </c>
      <c r="BD23" s="2405"/>
      <c r="BE23" s="693"/>
      <c r="BF23" s="693"/>
      <c r="BG23" s="693"/>
      <c r="BH23" s="693"/>
      <c r="BI23" s="693"/>
      <c r="BJ23" s="693"/>
      <c r="BK23" s="693"/>
      <c r="BL23" s="693"/>
      <c r="BM23" s="693"/>
      <c r="BN23" s="2405" t="s">
        <v>155</v>
      </c>
      <c r="BO23" s="2405"/>
    </row>
    <row r="24" spans="1:67" ht="11.45" customHeight="1">
      <c r="B24" s="757" t="s">
        <v>148</v>
      </c>
      <c r="C24" s="692">
        <v>13.25</v>
      </c>
      <c r="D24" s="692">
        <v>13.4</v>
      </c>
      <c r="E24" s="692">
        <v>13</v>
      </c>
      <c r="F24" s="692" t="s">
        <v>2751</v>
      </c>
      <c r="G24" s="692" t="s">
        <v>2753</v>
      </c>
      <c r="H24" s="692">
        <v>13</v>
      </c>
      <c r="I24" s="692" t="s">
        <v>52</v>
      </c>
      <c r="J24" s="692" t="s">
        <v>52</v>
      </c>
      <c r="K24" s="692" t="s">
        <v>52</v>
      </c>
      <c r="L24" s="692" t="s">
        <v>2622</v>
      </c>
      <c r="M24" s="692" t="s">
        <v>2623</v>
      </c>
      <c r="N24" s="692" t="s">
        <v>2638</v>
      </c>
      <c r="O24" s="692" t="s">
        <v>2623</v>
      </c>
      <c r="P24" s="692">
        <v>14.5</v>
      </c>
      <c r="Q24" s="692" t="s">
        <v>2623</v>
      </c>
      <c r="R24" s="692" t="s">
        <v>2623</v>
      </c>
      <c r="S24" s="1177"/>
      <c r="T24" s="757" t="s">
        <v>148</v>
      </c>
      <c r="V24" s="757" t="s">
        <v>148</v>
      </c>
      <c r="W24" s="692" t="s">
        <v>2622</v>
      </c>
      <c r="X24" s="692" t="s">
        <v>2992</v>
      </c>
      <c r="Y24" s="692" t="s">
        <v>2818</v>
      </c>
      <c r="Z24" s="692" t="s">
        <v>52</v>
      </c>
      <c r="AA24" s="692" t="s">
        <v>2715</v>
      </c>
      <c r="AB24" s="692" t="s">
        <v>2622</v>
      </c>
      <c r="AC24" s="692" t="s">
        <v>2624</v>
      </c>
      <c r="AD24" s="692" t="s">
        <v>2856</v>
      </c>
      <c r="AE24" s="692" t="s">
        <v>2861</v>
      </c>
      <c r="AF24" s="692" t="s">
        <v>2623</v>
      </c>
      <c r="AG24" s="692" t="s">
        <v>2583</v>
      </c>
      <c r="AH24" s="692" t="s">
        <v>2638</v>
      </c>
      <c r="AJ24" s="757" t="s">
        <v>148</v>
      </c>
      <c r="AL24" s="757" t="s">
        <v>148</v>
      </c>
      <c r="AM24" s="692" t="s">
        <v>2623</v>
      </c>
      <c r="AN24" s="692" t="s">
        <v>2626</v>
      </c>
      <c r="AO24" s="692" t="s">
        <v>2625</v>
      </c>
      <c r="AP24" s="692" t="s">
        <v>2912</v>
      </c>
      <c r="AQ24" s="692" t="s">
        <v>2626</v>
      </c>
      <c r="AR24" s="692" t="s">
        <v>2633</v>
      </c>
      <c r="AS24" s="692" t="s">
        <v>2623</v>
      </c>
      <c r="AT24" s="692" t="s">
        <v>2633</v>
      </c>
      <c r="AU24" s="692" t="s">
        <v>2626</v>
      </c>
      <c r="AV24" s="692" t="s">
        <v>2759</v>
      </c>
      <c r="AW24" s="692" t="s">
        <v>2623</v>
      </c>
      <c r="AX24" s="692" t="s">
        <v>2626</v>
      </c>
      <c r="AY24" s="692" t="s">
        <v>2638</v>
      </c>
      <c r="AZ24" s="692" t="s">
        <v>2725</v>
      </c>
      <c r="BB24" s="757" t="s">
        <v>148</v>
      </c>
      <c r="BD24" s="757" t="s">
        <v>148</v>
      </c>
      <c r="BE24" s="692" t="s">
        <v>2627</v>
      </c>
      <c r="BF24" s="692" t="s">
        <v>2649</v>
      </c>
      <c r="BG24" s="692" t="s">
        <v>1223</v>
      </c>
      <c r="BH24" s="692" t="s">
        <v>2622</v>
      </c>
      <c r="BI24" s="692" t="s">
        <v>52</v>
      </c>
      <c r="BJ24" s="692" t="s">
        <v>2624</v>
      </c>
      <c r="BK24" s="692" t="s">
        <v>2649</v>
      </c>
      <c r="BL24" s="692" t="s">
        <v>2622</v>
      </c>
      <c r="BM24" s="692" t="s">
        <v>2756</v>
      </c>
      <c r="BO24" s="757" t="s">
        <v>148</v>
      </c>
    </row>
    <row r="25" spans="1:67" ht="11.45" customHeight="1">
      <c r="A25" s="698"/>
      <c r="B25" s="323" t="s">
        <v>149</v>
      </c>
      <c r="C25" s="693" t="s">
        <v>52</v>
      </c>
      <c r="D25" s="693" t="s">
        <v>52</v>
      </c>
      <c r="E25" s="693" t="s">
        <v>52</v>
      </c>
      <c r="F25" s="693" t="s">
        <v>52</v>
      </c>
      <c r="G25" s="693" t="s">
        <v>52</v>
      </c>
      <c r="H25" s="693" t="s">
        <v>52</v>
      </c>
      <c r="I25" s="693">
        <v>13</v>
      </c>
      <c r="J25" s="693" t="s">
        <v>52</v>
      </c>
      <c r="K25" s="693" t="s">
        <v>52</v>
      </c>
      <c r="L25" s="693" t="s">
        <v>52</v>
      </c>
      <c r="M25" s="693" t="s">
        <v>2623</v>
      </c>
      <c r="N25" s="693" t="s">
        <v>2638</v>
      </c>
      <c r="O25" s="693" t="s">
        <v>2623</v>
      </c>
      <c r="P25" s="693" t="s">
        <v>52</v>
      </c>
      <c r="Q25" s="693" t="s">
        <v>2623</v>
      </c>
      <c r="R25" s="693" t="s">
        <v>52</v>
      </c>
      <c r="S25" s="1176"/>
      <c r="T25" s="323" t="s">
        <v>149</v>
      </c>
      <c r="U25" s="698"/>
      <c r="V25" s="323" t="s">
        <v>149</v>
      </c>
      <c r="W25" s="693" t="s">
        <v>52</v>
      </c>
      <c r="X25" s="693" t="s">
        <v>52</v>
      </c>
      <c r="Y25" s="693" t="s">
        <v>52</v>
      </c>
      <c r="Z25" s="693" t="s">
        <v>2626</v>
      </c>
      <c r="AA25" s="693" t="s">
        <v>52</v>
      </c>
      <c r="AB25" s="693" t="s">
        <v>2622</v>
      </c>
      <c r="AC25" s="693" t="s">
        <v>2624</v>
      </c>
      <c r="AD25" s="693" t="s">
        <v>2857</v>
      </c>
      <c r="AE25" s="693" t="s">
        <v>2861</v>
      </c>
      <c r="AF25" s="693" t="s">
        <v>52</v>
      </c>
      <c r="AG25" s="693" t="s">
        <v>2631</v>
      </c>
      <c r="AH25" s="693" t="s">
        <v>52</v>
      </c>
      <c r="AI25" s="698"/>
      <c r="AJ25" s="323" t="s">
        <v>149</v>
      </c>
      <c r="AK25" s="698"/>
      <c r="AL25" s="323" t="s">
        <v>149</v>
      </c>
      <c r="AM25" s="693" t="s">
        <v>2623</v>
      </c>
      <c r="AN25" s="693" t="s">
        <v>52</v>
      </c>
      <c r="AO25" s="693" t="s">
        <v>2623</v>
      </c>
      <c r="AP25" s="693" t="s">
        <v>52</v>
      </c>
      <c r="AQ25" s="693" t="s">
        <v>52</v>
      </c>
      <c r="AR25" s="693" t="s">
        <v>52</v>
      </c>
      <c r="AS25" s="693" t="s">
        <v>2623</v>
      </c>
      <c r="AT25" s="693" t="s">
        <v>52</v>
      </c>
      <c r="AU25" s="693" t="s">
        <v>52</v>
      </c>
      <c r="AV25" s="693" t="s">
        <v>52</v>
      </c>
      <c r="AW25" s="693" t="s">
        <v>52</v>
      </c>
      <c r="AX25" s="693" t="s">
        <v>52</v>
      </c>
      <c r="AY25" s="693" t="s">
        <v>52</v>
      </c>
      <c r="AZ25" s="693" t="s">
        <v>52</v>
      </c>
      <c r="BA25" s="698"/>
      <c r="BB25" s="323" t="s">
        <v>149</v>
      </c>
      <c r="BC25" s="698"/>
      <c r="BD25" s="323" t="s">
        <v>149</v>
      </c>
      <c r="BE25" s="693" t="s">
        <v>52</v>
      </c>
      <c r="BF25" s="693" t="s">
        <v>2622</v>
      </c>
      <c r="BG25" s="693" t="s">
        <v>52</v>
      </c>
      <c r="BH25" s="693" t="s">
        <v>52</v>
      </c>
      <c r="BI25" s="693" t="s">
        <v>52</v>
      </c>
      <c r="BJ25" s="693" t="s">
        <v>52</v>
      </c>
      <c r="BK25" s="693" t="s">
        <v>52</v>
      </c>
      <c r="BL25" s="693" t="s">
        <v>52</v>
      </c>
      <c r="BM25" s="693" t="s">
        <v>52</v>
      </c>
      <c r="BN25" s="698"/>
      <c r="BO25" s="323" t="s">
        <v>149</v>
      </c>
    </row>
    <row r="26" spans="1:67" ht="12.75" customHeight="1">
      <c r="A26" s="2406" t="s">
        <v>28</v>
      </c>
      <c r="B26" s="2406"/>
      <c r="C26" s="692"/>
      <c r="D26" s="692"/>
      <c r="E26" s="692"/>
      <c r="F26" s="692"/>
      <c r="G26" s="692"/>
      <c r="H26" s="692"/>
      <c r="I26" s="692"/>
      <c r="J26" s="692"/>
      <c r="K26" s="692"/>
      <c r="L26" s="692"/>
      <c r="M26" s="692"/>
      <c r="N26" s="692"/>
      <c r="O26" s="692"/>
      <c r="P26" s="692"/>
      <c r="Q26" s="692"/>
      <c r="R26" s="692"/>
      <c r="S26" s="2406" t="s">
        <v>28</v>
      </c>
      <c r="T26" s="2406"/>
      <c r="U26" s="2406" t="s">
        <v>28</v>
      </c>
      <c r="V26" s="2406"/>
      <c r="W26" s="692"/>
      <c r="X26" s="692"/>
      <c r="Y26" s="692"/>
      <c r="Z26" s="692"/>
      <c r="AA26" s="692"/>
      <c r="AB26" s="692"/>
      <c r="AC26" s="692"/>
      <c r="AD26" s="692"/>
      <c r="AE26" s="692"/>
      <c r="AF26" s="692"/>
      <c r="AG26" s="692"/>
      <c r="AH26" s="692"/>
      <c r="AI26" s="2406" t="s">
        <v>28</v>
      </c>
      <c r="AJ26" s="2406"/>
      <c r="AK26" s="2406" t="s">
        <v>28</v>
      </c>
      <c r="AL26" s="2406"/>
      <c r="AM26" s="692"/>
      <c r="AN26" s="692"/>
      <c r="AO26" s="692"/>
      <c r="AP26" s="692"/>
      <c r="AQ26" s="692"/>
      <c r="AR26" s="692"/>
      <c r="AS26" s="692"/>
      <c r="AT26" s="692"/>
      <c r="AU26" s="692"/>
      <c r="AV26" s="692"/>
      <c r="AW26" s="692"/>
      <c r="AX26" s="692"/>
      <c r="AY26" s="692"/>
      <c r="AZ26" s="692"/>
      <c r="BA26" s="2406" t="s">
        <v>28</v>
      </c>
      <c r="BB26" s="2406"/>
      <c r="BC26" s="2406" t="s">
        <v>28</v>
      </c>
      <c r="BD26" s="2406"/>
      <c r="BE26" s="692"/>
      <c r="BF26" s="692"/>
      <c r="BG26" s="692"/>
      <c r="BH26" s="692"/>
      <c r="BI26" s="692"/>
      <c r="BJ26" s="692"/>
      <c r="BK26" s="692"/>
      <c r="BL26" s="692"/>
      <c r="BM26" s="692"/>
      <c r="BN26" s="2406" t="s">
        <v>28</v>
      </c>
      <c r="BO26" s="2406"/>
    </row>
    <row r="27" spans="1:67" ht="11.45" customHeight="1">
      <c r="A27" s="698"/>
      <c r="B27" s="323" t="s">
        <v>148</v>
      </c>
      <c r="C27" s="693">
        <v>13.25</v>
      </c>
      <c r="D27" s="693">
        <v>13.4</v>
      </c>
      <c r="E27" s="693">
        <v>13</v>
      </c>
      <c r="F27" s="693">
        <v>12.75</v>
      </c>
      <c r="G27" s="693" t="s">
        <v>2753</v>
      </c>
      <c r="H27" s="693">
        <v>13</v>
      </c>
      <c r="I27" s="693" t="s">
        <v>52</v>
      </c>
      <c r="J27" s="693">
        <v>13</v>
      </c>
      <c r="K27" s="693" t="s">
        <v>52</v>
      </c>
      <c r="L27" s="693" t="s">
        <v>2773</v>
      </c>
      <c r="M27" s="693" t="s">
        <v>2623</v>
      </c>
      <c r="N27" s="693" t="s">
        <v>2816</v>
      </c>
      <c r="O27" s="693" t="s">
        <v>2623</v>
      </c>
      <c r="P27" s="693">
        <v>14.5</v>
      </c>
      <c r="Q27" s="693" t="s">
        <v>2623</v>
      </c>
      <c r="R27" s="693" t="s">
        <v>2623</v>
      </c>
      <c r="S27" s="1176"/>
      <c r="T27" s="323" t="s">
        <v>148</v>
      </c>
      <c r="U27" s="698"/>
      <c r="V27" s="323" t="s">
        <v>148</v>
      </c>
      <c r="W27" s="693" t="s">
        <v>2622</v>
      </c>
      <c r="X27" s="693">
        <v>14.5</v>
      </c>
      <c r="Y27" s="693" t="s">
        <v>2627</v>
      </c>
      <c r="Z27" s="693" t="s">
        <v>2626</v>
      </c>
      <c r="AA27" s="693" t="s">
        <v>2633</v>
      </c>
      <c r="AB27" s="693" t="s">
        <v>2626</v>
      </c>
      <c r="AC27" s="693" t="s">
        <v>2624</v>
      </c>
      <c r="AD27" s="693" t="s">
        <v>2857</v>
      </c>
      <c r="AE27" s="693" t="s">
        <v>2821</v>
      </c>
      <c r="AF27" s="693" t="s">
        <v>2758</v>
      </c>
      <c r="AG27" s="693" t="s">
        <v>2583</v>
      </c>
      <c r="AH27" s="693" t="s">
        <v>2714</v>
      </c>
      <c r="AI27" s="698"/>
      <c r="AJ27" s="323" t="s">
        <v>148</v>
      </c>
      <c r="AK27" s="698"/>
      <c r="AL27" s="323" t="s">
        <v>148</v>
      </c>
      <c r="AM27" s="693" t="s">
        <v>2623</v>
      </c>
      <c r="AN27" s="693" t="s">
        <v>2626</v>
      </c>
      <c r="AO27" s="693" t="s">
        <v>2623</v>
      </c>
      <c r="AP27" s="693" t="s">
        <v>2913</v>
      </c>
      <c r="AQ27" s="693" t="s">
        <v>2638</v>
      </c>
      <c r="AR27" s="693" t="s">
        <v>2718</v>
      </c>
      <c r="AS27" s="693" t="s">
        <v>2633</v>
      </c>
      <c r="AT27" s="693" t="s">
        <v>2633</v>
      </c>
      <c r="AU27" s="693" t="s">
        <v>2622</v>
      </c>
      <c r="AV27" s="693" t="s">
        <v>2759</v>
      </c>
      <c r="AW27" s="693" t="s">
        <v>2623</v>
      </c>
      <c r="AX27" s="693" t="s">
        <v>52</v>
      </c>
      <c r="AY27" s="693" t="s">
        <v>2638</v>
      </c>
      <c r="AZ27" s="693">
        <v>14</v>
      </c>
      <c r="BA27" s="698"/>
      <c r="BB27" s="323" t="s">
        <v>148</v>
      </c>
      <c r="BC27" s="698"/>
      <c r="BD27" s="323" t="s">
        <v>148</v>
      </c>
      <c r="BE27" s="693" t="s">
        <v>2647</v>
      </c>
      <c r="BF27" s="693" t="s">
        <v>2761</v>
      </c>
      <c r="BG27" s="693" t="s">
        <v>2823</v>
      </c>
      <c r="BH27" s="693" t="s">
        <v>2622</v>
      </c>
      <c r="BI27" s="693">
        <v>8</v>
      </c>
      <c r="BJ27" s="693" t="s">
        <v>52</v>
      </c>
      <c r="BK27" s="693" t="s">
        <v>2649</v>
      </c>
      <c r="BL27" s="693" t="s">
        <v>2888</v>
      </c>
      <c r="BM27" s="693" t="s">
        <v>52</v>
      </c>
      <c r="BN27" s="698"/>
      <c r="BO27" s="323" t="s">
        <v>148</v>
      </c>
    </row>
    <row r="28" spans="1:67" ht="11.45" customHeight="1">
      <c r="B28" s="757" t="s">
        <v>149</v>
      </c>
      <c r="C28" s="692" t="s">
        <v>52</v>
      </c>
      <c r="D28" s="692" t="s">
        <v>52</v>
      </c>
      <c r="E28" s="692" t="s">
        <v>52</v>
      </c>
      <c r="F28" s="692" t="s">
        <v>52</v>
      </c>
      <c r="G28" s="692" t="s">
        <v>52</v>
      </c>
      <c r="H28" s="692" t="s">
        <v>52</v>
      </c>
      <c r="I28" s="692">
        <v>13</v>
      </c>
      <c r="J28" s="692" t="s">
        <v>52</v>
      </c>
      <c r="K28" s="692" t="s">
        <v>52</v>
      </c>
      <c r="L28" s="692" t="s">
        <v>52</v>
      </c>
      <c r="M28" s="692" t="s">
        <v>2623</v>
      </c>
      <c r="N28" s="692" t="s">
        <v>2816</v>
      </c>
      <c r="O28" s="692" t="s">
        <v>52</v>
      </c>
      <c r="P28" s="692" t="s">
        <v>52</v>
      </c>
      <c r="Q28" s="692" t="s">
        <v>2623</v>
      </c>
      <c r="R28" s="692" t="s">
        <v>52</v>
      </c>
      <c r="S28" s="1177"/>
      <c r="T28" s="757" t="s">
        <v>149</v>
      </c>
      <c r="V28" s="757" t="s">
        <v>149</v>
      </c>
      <c r="W28" s="692" t="s">
        <v>52</v>
      </c>
      <c r="X28" s="692" t="s">
        <v>52</v>
      </c>
      <c r="Y28" s="692" t="s">
        <v>52</v>
      </c>
      <c r="Z28" s="692" t="s">
        <v>52</v>
      </c>
      <c r="AA28" s="692" t="s">
        <v>52</v>
      </c>
      <c r="AB28" s="692" t="s">
        <v>2626</v>
      </c>
      <c r="AC28" s="692" t="s">
        <v>52</v>
      </c>
      <c r="AD28" s="692" t="s">
        <v>52</v>
      </c>
      <c r="AE28" s="692" t="s">
        <v>2821</v>
      </c>
      <c r="AF28" s="692" t="s">
        <v>52</v>
      </c>
      <c r="AG28" s="692" t="s">
        <v>2631</v>
      </c>
      <c r="AH28" s="692" t="s">
        <v>52</v>
      </c>
      <c r="AJ28" s="757" t="s">
        <v>149</v>
      </c>
      <c r="AL28" s="757" t="s">
        <v>149</v>
      </c>
      <c r="AM28" s="692" t="s">
        <v>2623</v>
      </c>
      <c r="AN28" s="692" t="s">
        <v>52</v>
      </c>
      <c r="AO28" s="692" t="s">
        <v>52</v>
      </c>
      <c r="AP28" s="692" t="s">
        <v>52</v>
      </c>
      <c r="AQ28" s="692" t="s">
        <v>52</v>
      </c>
      <c r="AR28" s="692" t="s">
        <v>52</v>
      </c>
      <c r="AS28" s="692"/>
      <c r="AT28" s="692" t="s">
        <v>52</v>
      </c>
      <c r="AU28" s="692" t="s">
        <v>52</v>
      </c>
      <c r="AV28" s="692" t="s">
        <v>52</v>
      </c>
      <c r="AW28" s="692" t="s">
        <v>52</v>
      </c>
      <c r="AX28" s="692" t="s">
        <v>52</v>
      </c>
      <c r="AY28" s="692" t="s">
        <v>52</v>
      </c>
      <c r="AZ28" s="692" t="s">
        <v>52</v>
      </c>
      <c r="BB28" s="757" t="s">
        <v>149</v>
      </c>
      <c r="BD28" s="757" t="s">
        <v>149</v>
      </c>
      <c r="BE28" s="692" t="s">
        <v>52</v>
      </c>
      <c r="BF28" s="692" t="s">
        <v>2761</v>
      </c>
      <c r="BG28" s="692" t="s">
        <v>52</v>
      </c>
      <c r="BH28" s="692" t="s">
        <v>52</v>
      </c>
      <c r="BI28" s="692" t="s">
        <v>52</v>
      </c>
      <c r="BJ28" s="692" t="s">
        <v>52</v>
      </c>
      <c r="BK28" s="692" t="s">
        <v>52</v>
      </c>
      <c r="BL28" s="692" t="s">
        <v>52</v>
      </c>
      <c r="BM28" s="692" t="s">
        <v>52</v>
      </c>
      <c r="BO28" s="757" t="s">
        <v>149</v>
      </c>
    </row>
    <row r="29" spans="1:67" ht="21" customHeight="1">
      <c r="A29" s="2410" t="s">
        <v>159</v>
      </c>
      <c r="B29" s="2410"/>
      <c r="C29" s="693"/>
      <c r="D29" s="693"/>
      <c r="E29" s="693"/>
      <c r="F29" s="693"/>
      <c r="G29" s="693"/>
      <c r="H29" s="693"/>
      <c r="I29" s="693"/>
      <c r="J29" s="693"/>
      <c r="K29" s="693"/>
      <c r="L29" s="693"/>
      <c r="M29" s="693"/>
      <c r="N29" s="693"/>
      <c r="O29" s="693"/>
      <c r="P29" s="693"/>
      <c r="Q29" s="693"/>
      <c r="R29" s="693"/>
      <c r="S29" s="2405" t="s">
        <v>159</v>
      </c>
      <c r="T29" s="2405"/>
      <c r="U29" s="2405" t="s">
        <v>159</v>
      </c>
      <c r="V29" s="2405"/>
      <c r="W29" s="693"/>
      <c r="X29" s="693"/>
      <c r="Y29" s="693"/>
      <c r="Z29" s="693"/>
      <c r="AA29" s="693"/>
      <c r="AB29" s="693"/>
      <c r="AC29" s="693"/>
      <c r="AD29" s="693"/>
      <c r="AE29" s="693"/>
      <c r="AF29" s="693"/>
      <c r="AG29" s="693"/>
      <c r="AH29" s="693"/>
      <c r="AI29" s="2405" t="s">
        <v>159</v>
      </c>
      <c r="AJ29" s="2405"/>
      <c r="AK29" s="2405" t="s">
        <v>159</v>
      </c>
      <c r="AL29" s="2405"/>
      <c r="AM29" s="693"/>
      <c r="AN29" s="693"/>
      <c r="AO29" s="693"/>
      <c r="AP29" s="693"/>
      <c r="AQ29" s="693"/>
      <c r="AR29" s="693"/>
      <c r="AS29" s="693"/>
      <c r="AT29" s="693"/>
      <c r="AU29" s="693"/>
      <c r="AV29" s="693"/>
      <c r="AW29" s="693"/>
      <c r="AX29" s="693"/>
      <c r="AY29" s="693"/>
      <c r="AZ29" s="693"/>
      <c r="BA29" s="2405" t="s">
        <v>159</v>
      </c>
      <c r="BB29" s="2405"/>
      <c r="BC29" s="2405" t="s">
        <v>159</v>
      </c>
      <c r="BD29" s="2405"/>
      <c r="BE29" s="693"/>
      <c r="BF29" s="693"/>
      <c r="BG29" s="693"/>
      <c r="BH29" s="693"/>
      <c r="BI29" s="693"/>
      <c r="BJ29" s="693"/>
      <c r="BK29" s="693"/>
      <c r="BL29" s="693"/>
      <c r="BM29" s="693"/>
      <c r="BN29" s="2405" t="s">
        <v>159</v>
      </c>
      <c r="BO29" s="2405"/>
    </row>
    <row r="30" spans="1:67" s="802" customFormat="1" ht="18.75" customHeight="1">
      <c r="A30" s="758" t="s">
        <v>306</v>
      </c>
      <c r="B30" s="759" t="s">
        <v>604</v>
      </c>
      <c r="C30" s="692"/>
      <c r="D30" s="692"/>
      <c r="E30" s="692"/>
      <c r="F30" s="692"/>
      <c r="G30" s="692"/>
      <c r="H30" s="692"/>
      <c r="I30" s="692"/>
      <c r="J30" s="692"/>
      <c r="K30" s="692"/>
      <c r="L30" s="692"/>
      <c r="M30" s="692"/>
      <c r="N30" s="692"/>
      <c r="O30" s="692"/>
      <c r="P30" s="692"/>
      <c r="Q30" s="692"/>
      <c r="R30" s="692"/>
      <c r="S30" s="758" t="s">
        <v>306</v>
      </c>
      <c r="T30" s="1179" t="s">
        <v>604</v>
      </c>
      <c r="U30" s="758" t="s">
        <v>306</v>
      </c>
      <c r="V30" s="760" t="s">
        <v>604</v>
      </c>
      <c r="W30" s="692"/>
      <c r="X30" s="692"/>
      <c r="Y30" s="692"/>
      <c r="Z30" s="692"/>
      <c r="AA30" s="692"/>
      <c r="AB30" s="692"/>
      <c r="AC30" s="692"/>
      <c r="AD30" s="692"/>
      <c r="AE30" s="692"/>
      <c r="AF30" s="692"/>
      <c r="AG30" s="692"/>
      <c r="AH30" s="692"/>
      <c r="AI30" s="758" t="s">
        <v>306</v>
      </c>
      <c r="AJ30" s="760" t="s">
        <v>604</v>
      </c>
      <c r="AK30" s="758" t="s">
        <v>306</v>
      </c>
      <c r="AL30" s="760" t="s">
        <v>604</v>
      </c>
      <c r="AM30" s="692"/>
      <c r="AN30" s="692"/>
      <c r="AO30" s="692"/>
      <c r="AP30" s="692"/>
      <c r="AQ30" s="692"/>
      <c r="AR30" s="692"/>
      <c r="AS30" s="692"/>
      <c r="AT30" s="692"/>
      <c r="AU30" s="692"/>
      <c r="AV30" s="692"/>
      <c r="AW30" s="692"/>
      <c r="AX30" s="692"/>
      <c r="AY30" s="692"/>
      <c r="AZ30" s="692"/>
      <c r="BA30" s="758" t="s">
        <v>306</v>
      </c>
      <c r="BB30" s="760" t="s">
        <v>604</v>
      </c>
      <c r="BC30" s="758" t="s">
        <v>306</v>
      </c>
      <c r="BD30" s="760" t="s">
        <v>604</v>
      </c>
      <c r="BE30" s="692"/>
      <c r="BF30" s="692"/>
      <c r="BG30" s="692"/>
      <c r="BH30" s="692"/>
      <c r="BI30" s="692"/>
      <c r="BJ30" s="692"/>
      <c r="BK30" s="692"/>
      <c r="BL30" s="692"/>
      <c r="BM30" s="692"/>
      <c r="BN30" s="758" t="s">
        <v>306</v>
      </c>
      <c r="BO30" s="760" t="s">
        <v>604</v>
      </c>
    </row>
    <row r="31" spans="1:67" ht="11.45" customHeight="1">
      <c r="A31" s="761"/>
      <c r="B31" s="323" t="s">
        <v>156</v>
      </c>
      <c r="C31" s="693">
        <v>13.25</v>
      </c>
      <c r="D31" s="693">
        <v>13.4</v>
      </c>
      <c r="E31" s="693">
        <v>13</v>
      </c>
      <c r="F31" s="693" t="s">
        <v>2751</v>
      </c>
      <c r="G31" s="693" t="s">
        <v>2753</v>
      </c>
      <c r="H31" s="693">
        <v>13</v>
      </c>
      <c r="I31" s="693" t="s">
        <v>52</v>
      </c>
      <c r="J31" s="693" t="s">
        <v>52</v>
      </c>
      <c r="K31" s="693" t="s">
        <v>52</v>
      </c>
      <c r="L31" s="693" t="s">
        <v>2622</v>
      </c>
      <c r="M31" s="693" t="s">
        <v>2623</v>
      </c>
      <c r="N31" s="693" t="s">
        <v>2638</v>
      </c>
      <c r="O31" s="693" t="s">
        <v>2623</v>
      </c>
      <c r="P31" s="693">
        <v>14.5</v>
      </c>
      <c r="Q31" s="693" t="s">
        <v>2623</v>
      </c>
      <c r="R31" s="693" t="s">
        <v>2623</v>
      </c>
      <c r="S31" s="1180"/>
      <c r="T31" s="323" t="s">
        <v>148</v>
      </c>
      <c r="U31" s="761"/>
      <c r="V31" s="323" t="s">
        <v>148</v>
      </c>
      <c r="W31" s="693" t="s">
        <v>2622</v>
      </c>
      <c r="X31" s="693" t="s">
        <v>2992</v>
      </c>
      <c r="Y31" s="693" t="s">
        <v>2818</v>
      </c>
      <c r="Z31" s="693" t="s">
        <v>2626</v>
      </c>
      <c r="AA31" s="693" t="s">
        <v>2715</v>
      </c>
      <c r="AB31" s="693" t="s">
        <v>2622</v>
      </c>
      <c r="AC31" s="693" t="s">
        <v>2624</v>
      </c>
      <c r="AD31" s="693" t="s">
        <v>2857</v>
      </c>
      <c r="AE31" s="693" t="s">
        <v>2861</v>
      </c>
      <c r="AF31" s="693" t="s">
        <v>2623</v>
      </c>
      <c r="AG31" s="693" t="s">
        <v>2631</v>
      </c>
      <c r="AH31" s="693" t="s">
        <v>2638</v>
      </c>
      <c r="AI31" s="761"/>
      <c r="AJ31" s="323" t="s">
        <v>148</v>
      </c>
      <c r="AK31" s="761"/>
      <c r="AL31" s="323" t="s">
        <v>148</v>
      </c>
      <c r="AM31" s="693" t="s">
        <v>2623</v>
      </c>
      <c r="AN31" s="693" t="s">
        <v>2626</v>
      </c>
      <c r="AO31" s="693" t="s">
        <v>2625</v>
      </c>
      <c r="AP31" s="693" t="s">
        <v>2914</v>
      </c>
      <c r="AQ31" s="693" t="s">
        <v>2626</v>
      </c>
      <c r="AR31" s="693" t="s">
        <v>2719</v>
      </c>
      <c r="AS31" s="693" t="s">
        <v>2633</v>
      </c>
      <c r="AT31" s="693" t="s">
        <v>2633</v>
      </c>
      <c r="AU31" s="693" t="s">
        <v>2626</v>
      </c>
      <c r="AV31" s="693" t="s">
        <v>2759</v>
      </c>
      <c r="AW31" s="693" t="s">
        <v>2633</v>
      </c>
      <c r="AX31" s="693" t="s">
        <v>52</v>
      </c>
      <c r="AY31" s="693" t="s">
        <v>2638</v>
      </c>
      <c r="AZ31" s="693">
        <v>14.5</v>
      </c>
      <c r="BA31" s="761"/>
      <c r="BB31" s="323" t="s">
        <v>148</v>
      </c>
      <c r="BC31" s="761"/>
      <c r="BD31" s="323" t="s">
        <v>148</v>
      </c>
      <c r="BE31" s="693" t="s">
        <v>2627</v>
      </c>
      <c r="BF31" s="693" t="s">
        <v>2649</v>
      </c>
      <c r="BG31" s="693" t="s">
        <v>2762</v>
      </c>
      <c r="BH31" s="693" t="s">
        <v>2622</v>
      </c>
      <c r="BI31" s="693">
        <v>9</v>
      </c>
      <c r="BJ31" s="693" t="s">
        <v>2624</v>
      </c>
      <c r="BK31" s="693" t="s">
        <v>2695</v>
      </c>
      <c r="BL31" s="693" t="s">
        <v>2622</v>
      </c>
      <c r="BM31" s="693" t="s">
        <v>2756</v>
      </c>
      <c r="BN31" s="761"/>
      <c r="BO31" s="323" t="s">
        <v>148</v>
      </c>
    </row>
    <row r="32" spans="1:67" ht="11.45" customHeight="1">
      <c r="A32" s="758"/>
      <c r="B32" s="757" t="s">
        <v>157</v>
      </c>
      <c r="C32" s="692" t="s">
        <v>52</v>
      </c>
      <c r="D32" s="692" t="s">
        <v>52</v>
      </c>
      <c r="E32" s="692" t="s">
        <v>52</v>
      </c>
      <c r="F32" s="692" t="s">
        <v>52</v>
      </c>
      <c r="G32" s="692" t="s">
        <v>52</v>
      </c>
      <c r="H32" s="692" t="s">
        <v>52</v>
      </c>
      <c r="I32" s="692">
        <v>13</v>
      </c>
      <c r="J32" s="692" t="s">
        <v>52</v>
      </c>
      <c r="K32" s="692" t="s">
        <v>52</v>
      </c>
      <c r="L32" s="692" t="s">
        <v>52</v>
      </c>
      <c r="M32" s="692" t="s">
        <v>2623</v>
      </c>
      <c r="N32" s="692" t="s">
        <v>2638</v>
      </c>
      <c r="O32" s="692" t="s">
        <v>2623</v>
      </c>
      <c r="P32" s="692" t="s">
        <v>52</v>
      </c>
      <c r="Q32" s="692" t="s">
        <v>2623</v>
      </c>
      <c r="R32" s="692" t="s">
        <v>52</v>
      </c>
      <c r="S32" s="1178"/>
      <c r="T32" s="757" t="s">
        <v>149</v>
      </c>
      <c r="U32" s="758"/>
      <c r="V32" s="757" t="s">
        <v>149</v>
      </c>
      <c r="W32" s="692" t="s">
        <v>52</v>
      </c>
      <c r="X32" s="692" t="s">
        <v>52</v>
      </c>
      <c r="Y32" s="692" t="s">
        <v>52</v>
      </c>
      <c r="Z32" s="692" t="s">
        <v>52</v>
      </c>
      <c r="AA32" s="692" t="s">
        <v>52</v>
      </c>
      <c r="AB32" s="692" t="s">
        <v>2622</v>
      </c>
      <c r="AC32" s="692" t="s">
        <v>2624</v>
      </c>
      <c r="AD32" s="692" t="s">
        <v>52</v>
      </c>
      <c r="AE32" s="692" t="s">
        <v>2861</v>
      </c>
      <c r="AF32" s="692" t="s">
        <v>52</v>
      </c>
      <c r="AG32" s="692" t="s">
        <v>52</v>
      </c>
      <c r="AH32" s="692" t="s">
        <v>52</v>
      </c>
      <c r="AI32" s="758"/>
      <c r="AJ32" s="757" t="s">
        <v>149</v>
      </c>
      <c r="AK32" s="758"/>
      <c r="AL32" s="757" t="s">
        <v>149</v>
      </c>
      <c r="AM32" s="692" t="s">
        <v>52</v>
      </c>
      <c r="AN32" s="692" t="s">
        <v>52</v>
      </c>
      <c r="AO32" s="692" t="s">
        <v>2623</v>
      </c>
      <c r="AP32" s="692" t="s">
        <v>52</v>
      </c>
      <c r="AQ32" s="692" t="s">
        <v>52</v>
      </c>
      <c r="AR32" s="692" t="s">
        <v>52</v>
      </c>
      <c r="AS32" s="692"/>
      <c r="AT32" s="692" t="s">
        <v>52</v>
      </c>
      <c r="AU32" s="692" t="s">
        <v>52</v>
      </c>
      <c r="AV32" s="692" t="s">
        <v>52</v>
      </c>
      <c r="AW32" s="692" t="s">
        <v>52</v>
      </c>
      <c r="AX32" s="692" t="s">
        <v>52</v>
      </c>
      <c r="AY32" s="692" t="s">
        <v>52</v>
      </c>
      <c r="AZ32" s="692" t="s">
        <v>52</v>
      </c>
      <c r="BA32" s="758"/>
      <c r="BB32" s="757" t="s">
        <v>149</v>
      </c>
      <c r="BC32" s="758"/>
      <c r="BD32" s="757" t="s">
        <v>149</v>
      </c>
      <c r="BE32" s="692" t="s">
        <v>52</v>
      </c>
      <c r="BF32" s="692" t="s">
        <v>2624</v>
      </c>
      <c r="BG32" s="692" t="s">
        <v>52</v>
      </c>
      <c r="BH32" s="692" t="s">
        <v>52</v>
      </c>
      <c r="BI32" s="692" t="s">
        <v>52</v>
      </c>
      <c r="BJ32" s="692" t="s">
        <v>2624</v>
      </c>
      <c r="BK32" s="692" t="s">
        <v>52</v>
      </c>
      <c r="BL32" s="692" t="s">
        <v>52</v>
      </c>
      <c r="BM32" s="692"/>
      <c r="BN32" s="758"/>
      <c r="BO32" s="757" t="s">
        <v>149</v>
      </c>
    </row>
    <row r="33" spans="1:67" ht="21" customHeight="1">
      <c r="A33" s="761" t="s">
        <v>477</v>
      </c>
      <c r="B33" s="1857" t="s">
        <v>605</v>
      </c>
      <c r="C33" s="693"/>
      <c r="D33" s="693"/>
      <c r="E33" s="693"/>
      <c r="F33" s="693"/>
      <c r="G33" s="693"/>
      <c r="H33" s="693"/>
      <c r="I33" s="693"/>
      <c r="J33" s="693"/>
      <c r="K33" s="693"/>
      <c r="L33" s="693"/>
      <c r="M33" s="693"/>
      <c r="N33" s="693"/>
      <c r="O33" s="693"/>
      <c r="P33" s="693"/>
      <c r="Q33" s="693"/>
      <c r="R33" s="693"/>
      <c r="S33" s="761" t="s">
        <v>477</v>
      </c>
      <c r="T33" s="1857" t="s">
        <v>605</v>
      </c>
      <c r="U33" s="761" t="s">
        <v>477</v>
      </c>
      <c r="V33" s="1857" t="s">
        <v>605</v>
      </c>
      <c r="W33" s="693"/>
      <c r="X33" s="693"/>
      <c r="Y33" s="693"/>
      <c r="Z33" s="693"/>
      <c r="AA33" s="693"/>
      <c r="AB33" s="693"/>
      <c r="AC33" s="693"/>
      <c r="AD33" s="693"/>
      <c r="AE33" s="693"/>
      <c r="AF33" s="693"/>
      <c r="AG33" s="693"/>
      <c r="AH33" s="693"/>
      <c r="AI33" s="761" t="s">
        <v>477</v>
      </c>
      <c r="AJ33" s="1857" t="s">
        <v>605</v>
      </c>
      <c r="AK33" s="761" t="s">
        <v>477</v>
      </c>
      <c r="AL33" s="1857" t="s">
        <v>605</v>
      </c>
      <c r="AM33" s="693"/>
      <c r="AN33" s="693"/>
      <c r="AO33" s="693"/>
      <c r="AP33" s="693"/>
      <c r="AQ33" s="693"/>
      <c r="AR33" s="693"/>
      <c r="AS33" s="693"/>
      <c r="AT33" s="693"/>
      <c r="AU33" s="693"/>
      <c r="AV33" s="693"/>
      <c r="AW33" s="693"/>
      <c r="AX33" s="693"/>
      <c r="AY33" s="693"/>
      <c r="AZ33" s="693"/>
      <c r="BA33" s="761" t="s">
        <v>477</v>
      </c>
      <c r="BB33" s="1857" t="s">
        <v>605</v>
      </c>
      <c r="BC33" s="761" t="s">
        <v>477</v>
      </c>
      <c r="BD33" s="1857" t="s">
        <v>605</v>
      </c>
      <c r="BE33" s="693"/>
      <c r="BF33" s="693"/>
      <c r="BG33" s="693"/>
      <c r="BH33" s="693"/>
      <c r="BI33" s="693"/>
      <c r="BJ33" s="693"/>
      <c r="BK33" s="693"/>
      <c r="BL33" s="693"/>
      <c r="BM33" s="693"/>
      <c r="BN33" s="761" t="s">
        <v>477</v>
      </c>
      <c r="BO33" s="1857" t="s">
        <v>605</v>
      </c>
    </row>
    <row r="34" spans="1:67" ht="11.45" customHeight="1">
      <c r="B34" s="757" t="s">
        <v>156</v>
      </c>
      <c r="C34" s="771">
        <v>13.25</v>
      </c>
      <c r="D34" s="771">
        <v>13.4</v>
      </c>
      <c r="E34" s="771">
        <v>13</v>
      </c>
      <c r="F34" s="771" t="s">
        <v>2751</v>
      </c>
      <c r="G34" s="771" t="s">
        <v>2753</v>
      </c>
      <c r="H34" s="771">
        <v>13</v>
      </c>
      <c r="I34" s="771" t="s">
        <v>52</v>
      </c>
      <c r="J34" s="771">
        <v>13</v>
      </c>
      <c r="K34" s="771" t="s">
        <v>52</v>
      </c>
      <c r="L34" s="771" t="s">
        <v>2713</v>
      </c>
      <c r="M34" s="771" t="s">
        <v>2623</v>
      </c>
      <c r="N34" s="771" t="s">
        <v>2816</v>
      </c>
      <c r="O34" s="771" t="s">
        <v>2626</v>
      </c>
      <c r="P34" s="771">
        <v>14.5</v>
      </c>
      <c r="Q34" s="771" t="s">
        <v>2623</v>
      </c>
      <c r="R34" s="771" t="s">
        <v>2623</v>
      </c>
      <c r="S34" s="1177"/>
      <c r="T34" s="757" t="s">
        <v>148</v>
      </c>
      <c r="V34" s="757" t="s">
        <v>148</v>
      </c>
      <c r="W34" s="771" t="s">
        <v>2622</v>
      </c>
      <c r="X34" s="771">
        <v>14.75</v>
      </c>
      <c r="Y34" s="771" t="s">
        <v>2627</v>
      </c>
      <c r="Z34" s="771" t="s">
        <v>2626</v>
      </c>
      <c r="AA34" s="771" t="s">
        <v>2715</v>
      </c>
      <c r="AB34" s="771" t="s">
        <v>2622</v>
      </c>
      <c r="AC34" s="771" t="s">
        <v>2624</v>
      </c>
      <c r="AD34" s="771" t="s">
        <v>2714</v>
      </c>
      <c r="AE34" s="771" t="s">
        <v>2821</v>
      </c>
      <c r="AF34" s="771" t="s">
        <v>2758</v>
      </c>
      <c r="AG34" s="771" t="s">
        <v>2631</v>
      </c>
      <c r="AH34" s="771" t="s">
        <v>2714</v>
      </c>
      <c r="AJ34" s="757" t="s">
        <v>148</v>
      </c>
      <c r="AL34" s="757" t="s">
        <v>148</v>
      </c>
      <c r="AM34" s="771" t="s">
        <v>2623</v>
      </c>
      <c r="AN34" s="771" t="s">
        <v>2626</v>
      </c>
      <c r="AO34" s="771" t="s">
        <v>2623</v>
      </c>
      <c r="AP34" s="771" t="s">
        <v>2913</v>
      </c>
      <c r="AQ34" s="771" t="s">
        <v>2638</v>
      </c>
      <c r="AR34" s="771" t="s">
        <v>2720</v>
      </c>
      <c r="AS34" s="771" t="s">
        <v>2633</v>
      </c>
      <c r="AT34" s="771" t="s">
        <v>2633</v>
      </c>
      <c r="AU34" s="771" t="s">
        <v>2622</v>
      </c>
      <c r="AV34" s="771" t="s">
        <v>2759</v>
      </c>
      <c r="AW34" s="771" t="s">
        <v>2633</v>
      </c>
      <c r="AX34" s="771" t="s">
        <v>2760</v>
      </c>
      <c r="AY34" s="771" t="s">
        <v>2638</v>
      </c>
      <c r="AZ34" s="771">
        <v>14.5</v>
      </c>
      <c r="BB34" s="757" t="s">
        <v>148</v>
      </c>
      <c r="BD34" s="757" t="s">
        <v>148</v>
      </c>
      <c r="BE34" s="771" t="s">
        <v>2647</v>
      </c>
      <c r="BF34" s="771" t="s">
        <v>2727</v>
      </c>
      <c r="BG34" s="771" t="s">
        <v>2864</v>
      </c>
      <c r="BH34" s="771" t="s">
        <v>2622</v>
      </c>
      <c r="BI34" s="771">
        <v>9</v>
      </c>
      <c r="BJ34" s="771" t="s">
        <v>52</v>
      </c>
      <c r="BK34" s="771" t="s">
        <v>2695</v>
      </c>
      <c r="BL34" s="771" t="s">
        <v>2888</v>
      </c>
      <c r="BM34" s="771" t="s">
        <v>2993</v>
      </c>
      <c r="BO34" s="757" t="s">
        <v>148</v>
      </c>
    </row>
    <row r="35" spans="1:67" ht="11.45" customHeight="1">
      <c r="A35" s="698"/>
      <c r="B35" s="323" t="s">
        <v>157</v>
      </c>
      <c r="C35" s="693" t="s">
        <v>52</v>
      </c>
      <c r="D35" s="693" t="s">
        <v>52</v>
      </c>
      <c r="E35" s="693" t="s">
        <v>52</v>
      </c>
      <c r="F35" s="693" t="s">
        <v>52</v>
      </c>
      <c r="G35" s="693" t="s">
        <v>52</v>
      </c>
      <c r="H35" s="693" t="s">
        <v>52</v>
      </c>
      <c r="I35" s="693">
        <v>13</v>
      </c>
      <c r="J35" s="693" t="s">
        <v>52</v>
      </c>
      <c r="K35" s="693" t="s">
        <v>52</v>
      </c>
      <c r="L35" s="693" t="s">
        <v>52</v>
      </c>
      <c r="M35" s="693" t="s">
        <v>2623</v>
      </c>
      <c r="N35" s="693" t="s">
        <v>2638</v>
      </c>
      <c r="O35" s="693" t="s">
        <v>52</v>
      </c>
      <c r="P35" s="693" t="s">
        <v>52</v>
      </c>
      <c r="Q35" s="693" t="s">
        <v>2623</v>
      </c>
      <c r="R35" s="693" t="s">
        <v>52</v>
      </c>
      <c r="S35" s="1176"/>
      <c r="T35" s="323" t="s">
        <v>149</v>
      </c>
      <c r="U35" s="698"/>
      <c r="V35" s="323" t="s">
        <v>149</v>
      </c>
      <c r="W35" s="693" t="s">
        <v>52</v>
      </c>
      <c r="X35" s="693" t="s">
        <v>52</v>
      </c>
      <c r="Y35" s="693" t="s">
        <v>52</v>
      </c>
      <c r="Z35" s="693" t="s">
        <v>52</v>
      </c>
      <c r="AA35" s="693" t="s">
        <v>52</v>
      </c>
      <c r="AB35" s="693" t="s">
        <v>52</v>
      </c>
      <c r="AC35" s="693" t="s">
        <v>52</v>
      </c>
      <c r="AD35" s="693" t="s">
        <v>52</v>
      </c>
      <c r="AE35" s="693" t="s">
        <v>2821</v>
      </c>
      <c r="AF35" s="693" t="s">
        <v>52</v>
      </c>
      <c r="AG35" s="693" t="s">
        <v>2631</v>
      </c>
      <c r="AH35" s="693" t="s">
        <v>52</v>
      </c>
      <c r="AI35" s="698"/>
      <c r="AJ35" s="323" t="s">
        <v>149</v>
      </c>
      <c r="AK35" s="698"/>
      <c r="AL35" s="323" t="s">
        <v>149</v>
      </c>
      <c r="AM35" s="693" t="s">
        <v>52</v>
      </c>
      <c r="AN35" s="693" t="s">
        <v>52</v>
      </c>
      <c r="AO35" s="693" t="s">
        <v>52</v>
      </c>
      <c r="AP35" s="693" t="s">
        <v>52</v>
      </c>
      <c r="AQ35" s="693" t="s">
        <v>52</v>
      </c>
      <c r="AR35" s="693" t="s">
        <v>52</v>
      </c>
      <c r="AS35" s="693"/>
      <c r="AT35" s="693" t="s">
        <v>52</v>
      </c>
      <c r="AU35" s="693" t="s">
        <v>52</v>
      </c>
      <c r="AV35" s="693" t="s">
        <v>52</v>
      </c>
      <c r="AW35" s="693" t="s">
        <v>52</v>
      </c>
      <c r="AX35" s="693" t="s">
        <v>52</v>
      </c>
      <c r="AY35" s="693" t="s">
        <v>52</v>
      </c>
      <c r="AZ35" s="693" t="s">
        <v>52</v>
      </c>
      <c r="BA35" s="698"/>
      <c r="BB35" s="323" t="s">
        <v>149</v>
      </c>
      <c r="BC35" s="698"/>
      <c r="BD35" s="323" t="s">
        <v>149</v>
      </c>
      <c r="BE35" s="693" t="s">
        <v>52</v>
      </c>
      <c r="BF35" s="693" t="s">
        <v>2727</v>
      </c>
      <c r="BG35" s="693" t="s">
        <v>52</v>
      </c>
      <c r="BH35" s="693" t="s">
        <v>52</v>
      </c>
      <c r="BI35" s="693" t="s">
        <v>52</v>
      </c>
      <c r="BJ35" s="693" t="s">
        <v>52</v>
      </c>
      <c r="BK35" s="693" t="s">
        <v>52</v>
      </c>
      <c r="BL35" s="693" t="s">
        <v>52</v>
      </c>
      <c r="BM35" s="693" t="s">
        <v>52</v>
      </c>
      <c r="BN35" s="698"/>
      <c r="BO35" s="323" t="s">
        <v>149</v>
      </c>
    </row>
    <row r="36" spans="1:67" ht="11.45" customHeight="1">
      <c r="A36" s="2406" t="s">
        <v>88</v>
      </c>
      <c r="B36" s="2406"/>
      <c r="C36" s="692">
        <v>12.25</v>
      </c>
      <c r="D36" s="692">
        <v>12.4</v>
      </c>
      <c r="E36" s="692" t="s">
        <v>2710</v>
      </c>
      <c r="F36" s="692">
        <v>12</v>
      </c>
      <c r="G36" s="692" t="s">
        <v>2712</v>
      </c>
      <c r="H36" s="692">
        <v>12</v>
      </c>
      <c r="I36" s="692">
        <v>12</v>
      </c>
      <c r="J36" s="692" t="s">
        <v>52</v>
      </c>
      <c r="K36" s="692" t="s">
        <v>52</v>
      </c>
      <c r="L36" s="692" t="s">
        <v>2624</v>
      </c>
      <c r="M36" s="692" t="s">
        <v>2622</v>
      </c>
      <c r="N36" s="692">
        <v>12.55</v>
      </c>
      <c r="O36" s="692" t="s">
        <v>2622</v>
      </c>
      <c r="P36" s="692">
        <v>13.5</v>
      </c>
      <c r="Q36" s="692" t="s">
        <v>2622</v>
      </c>
      <c r="R36" s="692" t="s">
        <v>2622</v>
      </c>
      <c r="S36" s="2406" t="s">
        <v>88</v>
      </c>
      <c r="T36" s="2406"/>
      <c r="U36" s="2406" t="s">
        <v>88</v>
      </c>
      <c r="V36" s="2406"/>
      <c r="W36" s="692" t="s">
        <v>2624</v>
      </c>
      <c r="X36" s="692">
        <v>13.5</v>
      </c>
      <c r="Y36" s="692" t="s">
        <v>2634</v>
      </c>
      <c r="Z36" s="692" t="s">
        <v>2625</v>
      </c>
      <c r="AA36" s="692" t="s">
        <v>2715</v>
      </c>
      <c r="AB36" s="692">
        <v>12.5</v>
      </c>
      <c r="AC36" s="692" t="s">
        <v>2649</v>
      </c>
      <c r="AD36" s="692" t="s">
        <v>2626</v>
      </c>
      <c r="AE36" s="692" t="s">
        <v>2862</v>
      </c>
      <c r="AF36" s="692" t="s">
        <v>2623</v>
      </c>
      <c r="AG36" s="692" t="s">
        <v>2630</v>
      </c>
      <c r="AH36" s="692" t="s">
        <v>2626</v>
      </c>
      <c r="AI36" s="2406" t="s">
        <v>88</v>
      </c>
      <c r="AJ36" s="2406"/>
      <c r="AK36" s="2406" t="s">
        <v>88</v>
      </c>
      <c r="AL36" s="2406"/>
      <c r="AM36" s="692" t="s">
        <v>2622</v>
      </c>
      <c r="AN36" s="692">
        <v>13.5</v>
      </c>
      <c r="AO36" s="692" t="s">
        <v>2625</v>
      </c>
      <c r="AP36" s="692" t="s">
        <v>2719</v>
      </c>
      <c r="AQ36" s="692" t="s">
        <v>2625</v>
      </c>
      <c r="AR36" s="692" t="s">
        <v>2721</v>
      </c>
      <c r="AS36" s="692" t="s">
        <v>2623</v>
      </c>
      <c r="AT36" s="692" t="s">
        <v>2858</v>
      </c>
      <c r="AU36" s="692" t="s">
        <v>2622</v>
      </c>
      <c r="AV36" s="692" t="s">
        <v>2634</v>
      </c>
      <c r="AW36" s="692" t="s">
        <v>2625</v>
      </c>
      <c r="AX36" s="692" t="s">
        <v>52</v>
      </c>
      <c r="AY36" s="692" t="s">
        <v>2626</v>
      </c>
      <c r="AZ36" s="692" t="s">
        <v>2631</v>
      </c>
      <c r="BA36" s="2406" t="s">
        <v>88</v>
      </c>
      <c r="BB36" s="2406"/>
      <c r="BC36" s="2406" t="s">
        <v>88</v>
      </c>
      <c r="BD36" s="2406"/>
      <c r="BE36" s="692" t="s">
        <v>2625</v>
      </c>
      <c r="BF36" s="692">
        <v>7</v>
      </c>
      <c r="BG36" s="692" t="s">
        <v>1974</v>
      </c>
      <c r="BH36" s="692" t="s">
        <v>2622</v>
      </c>
      <c r="BI36" s="692">
        <v>9</v>
      </c>
      <c r="BJ36" s="692" t="s">
        <v>52</v>
      </c>
      <c r="BK36" s="692" t="s">
        <v>2693</v>
      </c>
      <c r="BL36" s="692" t="s">
        <v>2622</v>
      </c>
      <c r="BM36" s="692" t="s">
        <v>52</v>
      </c>
      <c r="BN36" s="2406" t="s">
        <v>88</v>
      </c>
      <c r="BO36" s="2406"/>
    </row>
    <row r="37" spans="1:67" ht="11.45" customHeight="1">
      <c r="A37" s="2405" t="s">
        <v>160</v>
      </c>
      <c r="B37" s="2405"/>
      <c r="C37" s="693"/>
      <c r="D37" s="693"/>
      <c r="E37" s="693"/>
      <c r="F37" s="693"/>
      <c r="G37" s="693"/>
      <c r="H37" s="693"/>
      <c r="I37" s="693"/>
      <c r="J37" s="693"/>
      <c r="K37" s="693"/>
      <c r="L37" s="693"/>
      <c r="M37" s="693"/>
      <c r="N37" s="693"/>
      <c r="O37" s="693"/>
      <c r="P37" s="693"/>
      <c r="Q37" s="693"/>
      <c r="R37" s="693"/>
      <c r="S37" s="2405" t="s">
        <v>160</v>
      </c>
      <c r="T37" s="2405"/>
      <c r="U37" s="2405" t="s">
        <v>160</v>
      </c>
      <c r="V37" s="2405"/>
      <c r="W37" s="693"/>
      <c r="X37" s="693"/>
      <c r="Y37" s="693"/>
      <c r="Z37" s="693"/>
      <c r="AA37" s="693"/>
      <c r="AB37" s="693"/>
      <c r="AC37" s="693"/>
      <c r="AD37" s="693"/>
      <c r="AE37" s="693"/>
      <c r="AF37" s="693"/>
      <c r="AG37" s="693"/>
      <c r="AH37" s="693"/>
      <c r="AI37" s="2405" t="s">
        <v>160</v>
      </c>
      <c r="AJ37" s="2405"/>
      <c r="AK37" s="2405" t="s">
        <v>160</v>
      </c>
      <c r="AL37" s="2405"/>
      <c r="AM37" s="693"/>
      <c r="AN37" s="693"/>
      <c r="AO37" s="693"/>
      <c r="AP37" s="693"/>
      <c r="AQ37" s="693"/>
      <c r="AR37" s="693"/>
      <c r="AS37" s="693"/>
      <c r="AT37" s="693"/>
      <c r="AU37" s="693"/>
      <c r="AV37" s="693"/>
      <c r="AW37" s="693"/>
      <c r="AX37" s="693"/>
      <c r="AY37" s="693"/>
      <c r="AZ37" s="693"/>
      <c r="BA37" s="2405" t="s">
        <v>160</v>
      </c>
      <c r="BB37" s="2405"/>
      <c r="BC37" s="2405" t="s">
        <v>160</v>
      </c>
      <c r="BD37" s="2405"/>
      <c r="BE37" s="693"/>
      <c r="BF37" s="693"/>
      <c r="BG37" s="693"/>
      <c r="BH37" s="693"/>
      <c r="BI37" s="693"/>
      <c r="BJ37" s="693"/>
      <c r="BK37" s="693"/>
      <c r="BL37" s="693"/>
      <c r="BM37" s="693"/>
      <c r="BN37" s="2405" t="s">
        <v>160</v>
      </c>
      <c r="BO37" s="2405"/>
    </row>
    <row r="38" spans="1:67" ht="11.45" customHeight="1">
      <c r="B38" s="757" t="s">
        <v>148</v>
      </c>
      <c r="C38" s="714">
        <v>13.25</v>
      </c>
      <c r="D38" s="714">
        <v>13.4</v>
      </c>
      <c r="E38" s="714">
        <v>13</v>
      </c>
      <c r="F38" s="714">
        <v>13</v>
      </c>
      <c r="G38" s="714" t="s">
        <v>2753</v>
      </c>
      <c r="H38" s="714">
        <v>13</v>
      </c>
      <c r="I38" s="714">
        <v>13</v>
      </c>
      <c r="J38" s="714">
        <v>13</v>
      </c>
      <c r="K38" s="714" t="s">
        <v>52</v>
      </c>
      <c r="L38" s="714" t="s">
        <v>2626</v>
      </c>
      <c r="M38" s="714" t="s">
        <v>2623</v>
      </c>
      <c r="N38" s="714" t="s">
        <v>2638</v>
      </c>
      <c r="O38" s="714" t="s">
        <v>2623</v>
      </c>
      <c r="P38" s="714">
        <v>14.5</v>
      </c>
      <c r="Q38" s="714" t="s">
        <v>2623</v>
      </c>
      <c r="R38" s="714" t="s">
        <v>2623</v>
      </c>
      <c r="S38" s="1177"/>
      <c r="T38" s="757" t="s">
        <v>148</v>
      </c>
      <c r="V38" s="757" t="s">
        <v>148</v>
      </c>
      <c r="W38" s="714" t="s">
        <v>2622</v>
      </c>
      <c r="X38" s="714">
        <v>15</v>
      </c>
      <c r="Y38" s="714" t="s">
        <v>2759</v>
      </c>
      <c r="Z38" s="714" t="s">
        <v>52</v>
      </c>
      <c r="AA38" s="714" t="s">
        <v>2717</v>
      </c>
      <c r="AB38" s="714" t="s">
        <v>2622</v>
      </c>
      <c r="AC38" s="714" t="s">
        <v>2624</v>
      </c>
      <c r="AD38" s="714" t="s">
        <v>2857</v>
      </c>
      <c r="AE38" s="714" t="s">
        <v>2821</v>
      </c>
      <c r="AF38" s="714" t="s">
        <v>2623</v>
      </c>
      <c r="AG38" s="714" t="s">
        <v>2631</v>
      </c>
      <c r="AH38" s="714" t="s">
        <v>2638</v>
      </c>
      <c r="AJ38" s="757" t="s">
        <v>148</v>
      </c>
      <c r="AL38" s="757" t="s">
        <v>148</v>
      </c>
      <c r="AM38" s="714" t="s">
        <v>2623</v>
      </c>
      <c r="AN38" s="714" t="s">
        <v>2626</v>
      </c>
      <c r="AO38" s="714" t="s">
        <v>2625</v>
      </c>
      <c r="AP38" s="714" t="s">
        <v>2719</v>
      </c>
      <c r="AQ38" s="714" t="s">
        <v>2626</v>
      </c>
      <c r="AR38" s="714" t="s">
        <v>2719</v>
      </c>
      <c r="AS38" s="714" t="s">
        <v>2633</v>
      </c>
      <c r="AT38" s="714" t="s">
        <v>2633</v>
      </c>
      <c r="AU38" s="714" t="s">
        <v>2626</v>
      </c>
      <c r="AV38" s="714" t="s">
        <v>2759</v>
      </c>
      <c r="AW38" s="714" t="s">
        <v>2633</v>
      </c>
      <c r="AX38" s="714" t="s">
        <v>52</v>
      </c>
      <c r="AY38" s="714" t="s">
        <v>2638</v>
      </c>
      <c r="AZ38" s="714">
        <v>14.5</v>
      </c>
      <c r="BB38" s="757" t="s">
        <v>148</v>
      </c>
      <c r="BD38" s="757" t="s">
        <v>148</v>
      </c>
      <c r="BE38" s="714" t="s">
        <v>2626</v>
      </c>
      <c r="BF38" s="714" t="s">
        <v>2649</v>
      </c>
      <c r="BG38" s="714" t="s">
        <v>1223</v>
      </c>
      <c r="BH38" s="714" t="s">
        <v>2622</v>
      </c>
      <c r="BI38" s="714">
        <v>9</v>
      </c>
      <c r="BJ38" s="714" t="s">
        <v>2994</v>
      </c>
      <c r="BK38" s="714" t="s">
        <v>2693</v>
      </c>
      <c r="BL38" s="714" t="s">
        <v>52</v>
      </c>
      <c r="BM38" s="714">
        <v>12.85</v>
      </c>
      <c r="BO38" s="757" t="s">
        <v>148</v>
      </c>
    </row>
    <row r="39" spans="1:67" ht="11.45" customHeight="1">
      <c r="A39" s="698"/>
      <c r="B39" s="323" t="s">
        <v>149</v>
      </c>
      <c r="C39" s="693" t="s">
        <v>52</v>
      </c>
      <c r="D39" s="693" t="s">
        <v>52</v>
      </c>
      <c r="E39" s="693" t="s">
        <v>52</v>
      </c>
      <c r="F39" s="693" t="s">
        <v>52</v>
      </c>
      <c r="G39" s="693" t="s">
        <v>52</v>
      </c>
      <c r="H39" s="693" t="s">
        <v>52</v>
      </c>
      <c r="I39" s="693" t="s">
        <v>52</v>
      </c>
      <c r="J39" s="693" t="s">
        <v>52</v>
      </c>
      <c r="K39" s="693" t="s">
        <v>52</v>
      </c>
      <c r="L39" s="693" t="s">
        <v>2626</v>
      </c>
      <c r="M39" s="693" t="s">
        <v>2623</v>
      </c>
      <c r="N39" s="693" t="s">
        <v>2638</v>
      </c>
      <c r="O39" s="693" t="s">
        <v>2623</v>
      </c>
      <c r="P39" s="693" t="s">
        <v>52</v>
      </c>
      <c r="Q39" s="693" t="s">
        <v>2623</v>
      </c>
      <c r="R39" s="693" t="s">
        <v>52</v>
      </c>
      <c r="S39" s="1176"/>
      <c r="T39" s="323" t="s">
        <v>149</v>
      </c>
      <c r="U39" s="698"/>
      <c r="V39" s="323" t="s">
        <v>149</v>
      </c>
      <c r="W39" s="693" t="s">
        <v>52</v>
      </c>
      <c r="X39" s="693" t="s">
        <v>52</v>
      </c>
      <c r="Y39" s="693" t="s">
        <v>52</v>
      </c>
      <c r="Z39" s="693" t="s">
        <v>2626</v>
      </c>
      <c r="AA39" s="693" t="s">
        <v>52</v>
      </c>
      <c r="AB39" s="693" t="s">
        <v>2622</v>
      </c>
      <c r="AC39" s="693" t="s">
        <v>52</v>
      </c>
      <c r="AD39" s="693" t="s">
        <v>52</v>
      </c>
      <c r="AE39" s="693" t="s">
        <v>52</v>
      </c>
      <c r="AF39" s="693" t="s">
        <v>52</v>
      </c>
      <c r="AG39" s="693" t="s">
        <v>2631</v>
      </c>
      <c r="AH39" s="693" t="s">
        <v>52</v>
      </c>
      <c r="AI39" s="698"/>
      <c r="AJ39" s="323" t="s">
        <v>149</v>
      </c>
      <c r="AK39" s="698"/>
      <c r="AL39" s="323" t="s">
        <v>149</v>
      </c>
      <c r="AM39" s="693" t="s">
        <v>52</v>
      </c>
      <c r="AN39" s="693" t="s">
        <v>52</v>
      </c>
      <c r="AO39" s="693" t="s">
        <v>52</v>
      </c>
      <c r="AP39" s="693" t="s">
        <v>52</v>
      </c>
      <c r="AQ39" s="693" t="s">
        <v>52</v>
      </c>
      <c r="AR39" s="693" t="s">
        <v>2720</v>
      </c>
      <c r="AS39" s="693"/>
      <c r="AT39" s="693" t="s">
        <v>52</v>
      </c>
      <c r="AU39" s="693" t="s">
        <v>52</v>
      </c>
      <c r="AV39" s="693" t="s">
        <v>52</v>
      </c>
      <c r="AW39" s="693" t="s">
        <v>52</v>
      </c>
      <c r="AX39" s="693" t="s">
        <v>52</v>
      </c>
      <c r="AY39" s="693" t="s">
        <v>2638</v>
      </c>
      <c r="AZ39" s="693" t="s">
        <v>52</v>
      </c>
      <c r="BA39" s="698"/>
      <c r="BB39" s="323" t="s">
        <v>149</v>
      </c>
      <c r="BC39" s="698"/>
      <c r="BD39" s="323" t="s">
        <v>149</v>
      </c>
      <c r="BE39" s="693" t="s">
        <v>52</v>
      </c>
      <c r="BF39" s="693" t="s">
        <v>2624</v>
      </c>
      <c r="BG39" s="693" t="s">
        <v>52</v>
      </c>
      <c r="BH39" s="693" t="s">
        <v>52</v>
      </c>
      <c r="BI39" s="693" t="s">
        <v>52</v>
      </c>
      <c r="BJ39" s="693" t="s">
        <v>2994</v>
      </c>
      <c r="BK39" s="693" t="s">
        <v>52</v>
      </c>
      <c r="BL39" s="693" t="s">
        <v>52</v>
      </c>
      <c r="BM39" s="693" t="s">
        <v>52</v>
      </c>
      <c r="BN39" s="698"/>
      <c r="BO39" s="323" t="s">
        <v>149</v>
      </c>
    </row>
    <row r="40" spans="1:67" ht="11.45" customHeight="1">
      <c r="A40" s="2406" t="s">
        <v>161</v>
      </c>
      <c r="B40" s="2406"/>
      <c r="C40" s="692"/>
      <c r="D40" s="692"/>
      <c r="E40" s="692"/>
      <c r="F40" s="692"/>
      <c r="G40" s="692"/>
      <c r="H40" s="692"/>
      <c r="I40" s="692"/>
      <c r="J40" s="692"/>
      <c r="K40" s="692"/>
      <c r="L40" s="692"/>
      <c r="M40" s="692"/>
      <c r="N40" s="692"/>
      <c r="O40" s="692"/>
      <c r="P40" s="692"/>
      <c r="Q40" s="692"/>
      <c r="R40" s="692"/>
      <c r="S40" s="2406" t="s">
        <v>161</v>
      </c>
      <c r="T40" s="2406"/>
      <c r="U40" s="2406" t="s">
        <v>161</v>
      </c>
      <c r="V40" s="2406"/>
      <c r="W40" s="692"/>
      <c r="X40" s="692"/>
      <c r="Y40" s="692"/>
      <c r="Z40" s="692"/>
      <c r="AA40" s="692"/>
      <c r="AB40" s="692"/>
      <c r="AC40" s="692"/>
      <c r="AD40" s="692"/>
      <c r="AE40" s="692"/>
      <c r="AF40" s="692"/>
      <c r="AG40" s="692"/>
      <c r="AH40" s="692"/>
      <c r="AI40" s="2406" t="s">
        <v>161</v>
      </c>
      <c r="AJ40" s="2406"/>
      <c r="AK40" s="2406" t="s">
        <v>161</v>
      </c>
      <c r="AL40" s="2406"/>
      <c r="AM40" s="692"/>
      <c r="AN40" s="692"/>
      <c r="AO40" s="692"/>
      <c r="AP40" s="692"/>
      <c r="AQ40" s="692"/>
      <c r="AR40" s="692"/>
      <c r="AS40" s="692"/>
      <c r="AT40" s="692"/>
      <c r="AU40" s="692"/>
      <c r="AV40" s="692"/>
      <c r="AW40" s="692"/>
      <c r="AX40" s="692"/>
      <c r="AY40" s="692"/>
      <c r="AZ40" s="692"/>
      <c r="BA40" s="2406" t="s">
        <v>161</v>
      </c>
      <c r="BB40" s="2406"/>
      <c r="BC40" s="2406" t="s">
        <v>161</v>
      </c>
      <c r="BD40" s="2406"/>
      <c r="BE40" s="692"/>
      <c r="BF40" s="692"/>
      <c r="BG40" s="692"/>
      <c r="BH40" s="692" t="s">
        <v>635</v>
      </c>
      <c r="BI40" s="692"/>
      <c r="BJ40" s="692"/>
      <c r="BK40" s="692"/>
      <c r="BL40" s="692"/>
      <c r="BM40" s="692"/>
      <c r="BN40" s="2406" t="s">
        <v>161</v>
      </c>
      <c r="BO40" s="2406"/>
    </row>
    <row r="41" spans="1:67" ht="11.45" customHeight="1">
      <c r="A41" s="698"/>
      <c r="B41" s="323" t="s">
        <v>148</v>
      </c>
      <c r="C41" s="797" t="s">
        <v>2908</v>
      </c>
      <c r="D41" s="797">
        <v>13.4</v>
      </c>
      <c r="E41" s="797" t="s">
        <v>2711</v>
      </c>
      <c r="F41" s="797" t="s">
        <v>2709</v>
      </c>
      <c r="G41" s="797" t="s">
        <v>2753</v>
      </c>
      <c r="H41" s="797">
        <v>13</v>
      </c>
      <c r="I41" s="797" t="s">
        <v>52</v>
      </c>
      <c r="J41" s="797" t="s">
        <v>52</v>
      </c>
      <c r="K41" s="797" t="s">
        <v>52</v>
      </c>
      <c r="L41" s="797" t="s">
        <v>2626</v>
      </c>
      <c r="M41" s="797" t="s">
        <v>2754</v>
      </c>
      <c r="N41" s="797" t="s">
        <v>2633</v>
      </c>
      <c r="O41" s="797" t="s">
        <v>2623</v>
      </c>
      <c r="P41" s="797">
        <v>14.5</v>
      </c>
      <c r="Q41" s="797" t="s">
        <v>2623</v>
      </c>
      <c r="R41" s="797" t="s">
        <v>2626</v>
      </c>
      <c r="S41" s="1176"/>
      <c r="T41" s="323" t="s">
        <v>148</v>
      </c>
      <c r="U41" s="698"/>
      <c r="V41" s="323" t="s">
        <v>148</v>
      </c>
      <c r="W41" s="797" t="s">
        <v>2624</v>
      </c>
      <c r="X41" s="797" t="s">
        <v>2995</v>
      </c>
      <c r="Y41" s="797" t="s">
        <v>2819</v>
      </c>
      <c r="Z41" s="797" t="s">
        <v>2626</v>
      </c>
      <c r="AA41" s="797" t="s">
        <v>2633</v>
      </c>
      <c r="AB41" s="797" t="s">
        <v>2622</v>
      </c>
      <c r="AC41" s="797" t="s">
        <v>2624</v>
      </c>
      <c r="AD41" s="797" t="s">
        <v>2623</v>
      </c>
      <c r="AE41" s="797" t="s">
        <v>2861</v>
      </c>
      <c r="AF41" s="797" t="s">
        <v>2623</v>
      </c>
      <c r="AG41" s="797" t="s">
        <v>2631</v>
      </c>
      <c r="AH41" s="797" t="s">
        <v>2638</v>
      </c>
      <c r="AI41" s="698"/>
      <c r="AJ41" s="323" t="s">
        <v>148</v>
      </c>
      <c r="AK41" s="698"/>
      <c r="AL41" s="323" t="s">
        <v>148</v>
      </c>
      <c r="AM41" s="797" t="s">
        <v>2623</v>
      </c>
      <c r="AN41" s="797" t="s">
        <v>2626</v>
      </c>
      <c r="AO41" s="797" t="s">
        <v>2624</v>
      </c>
      <c r="AP41" s="797" t="s">
        <v>2719</v>
      </c>
      <c r="AQ41" s="797" t="s">
        <v>2626</v>
      </c>
      <c r="AR41" s="797" t="s">
        <v>2718</v>
      </c>
      <c r="AS41" s="797" t="s">
        <v>2633</v>
      </c>
      <c r="AT41" s="797" t="s">
        <v>2631</v>
      </c>
      <c r="AU41" s="797">
        <v>11.5</v>
      </c>
      <c r="AV41" s="797" t="s">
        <v>2759</v>
      </c>
      <c r="AW41" s="797" t="s">
        <v>2633</v>
      </c>
      <c r="AX41" s="797" t="s">
        <v>2723</v>
      </c>
      <c r="AY41" s="797" t="s">
        <v>2638</v>
      </c>
      <c r="AZ41" s="797">
        <v>14.5</v>
      </c>
      <c r="BA41" s="698"/>
      <c r="BB41" s="323" t="s">
        <v>148</v>
      </c>
      <c r="BC41" s="698"/>
      <c r="BD41" s="323" t="s">
        <v>148</v>
      </c>
      <c r="BE41" s="797" t="s">
        <v>2622</v>
      </c>
      <c r="BF41" s="797" t="s">
        <v>2777</v>
      </c>
      <c r="BG41" s="797" t="s">
        <v>2729</v>
      </c>
      <c r="BH41" s="797" t="s">
        <v>52</v>
      </c>
      <c r="BI41" s="797">
        <v>9</v>
      </c>
      <c r="BJ41" s="797" t="s">
        <v>52</v>
      </c>
      <c r="BK41" s="797" t="s">
        <v>2649</v>
      </c>
      <c r="BL41" s="797" t="s">
        <v>2625</v>
      </c>
      <c r="BM41" s="797" t="s">
        <v>52</v>
      </c>
      <c r="BN41" s="698"/>
      <c r="BO41" s="323" t="s">
        <v>148</v>
      </c>
    </row>
    <row r="42" spans="1:67" ht="11.45" customHeight="1">
      <c r="B42" s="757" t="s">
        <v>149</v>
      </c>
      <c r="C42" s="714" t="s">
        <v>52</v>
      </c>
      <c r="D42" s="714">
        <v>13.4</v>
      </c>
      <c r="E42" s="714" t="s">
        <v>52</v>
      </c>
      <c r="F42" s="714" t="s">
        <v>52</v>
      </c>
      <c r="G42" s="714" t="s">
        <v>52</v>
      </c>
      <c r="H42" s="714" t="s">
        <v>52</v>
      </c>
      <c r="I42" s="714" t="s">
        <v>52</v>
      </c>
      <c r="J42" s="714" t="s">
        <v>52</v>
      </c>
      <c r="K42" s="714" t="s">
        <v>52</v>
      </c>
      <c r="L42" s="714" t="s">
        <v>2815</v>
      </c>
      <c r="M42" s="714" t="s">
        <v>52</v>
      </c>
      <c r="N42" s="714" t="s">
        <v>52</v>
      </c>
      <c r="O42" s="714" t="s">
        <v>2626</v>
      </c>
      <c r="P42" s="714" t="s">
        <v>52</v>
      </c>
      <c r="Q42" s="714" t="s">
        <v>52</v>
      </c>
      <c r="R42" s="714" t="s">
        <v>52</v>
      </c>
      <c r="S42" s="1177"/>
      <c r="T42" s="757" t="s">
        <v>149</v>
      </c>
      <c r="V42" s="757" t="s">
        <v>149</v>
      </c>
      <c r="W42" s="714" t="s">
        <v>52</v>
      </c>
      <c r="X42" s="714" t="s">
        <v>52</v>
      </c>
      <c r="Y42" s="714" t="s">
        <v>52</v>
      </c>
      <c r="Z42" s="714" t="s">
        <v>52</v>
      </c>
      <c r="AA42" s="714" t="s">
        <v>52</v>
      </c>
      <c r="AB42" s="714" t="s">
        <v>2622</v>
      </c>
      <c r="AC42" s="714" t="s">
        <v>52</v>
      </c>
      <c r="AD42" s="714" t="s">
        <v>52</v>
      </c>
      <c r="AE42" s="714" t="s">
        <v>52</v>
      </c>
      <c r="AF42" s="714" t="s">
        <v>52</v>
      </c>
      <c r="AG42" s="714" t="s">
        <v>2631</v>
      </c>
      <c r="AH42" s="714" t="s">
        <v>52</v>
      </c>
      <c r="AJ42" s="757" t="s">
        <v>149</v>
      </c>
      <c r="AL42" s="757" t="s">
        <v>149</v>
      </c>
      <c r="AM42" s="714" t="s">
        <v>2623</v>
      </c>
      <c r="AN42" s="714" t="s">
        <v>2911</v>
      </c>
      <c r="AO42" s="714" t="s">
        <v>2622</v>
      </c>
      <c r="AP42" s="714" t="s">
        <v>52</v>
      </c>
      <c r="AQ42" s="714" t="s">
        <v>52</v>
      </c>
      <c r="AR42" s="714" t="s">
        <v>52</v>
      </c>
      <c r="AS42" s="714"/>
      <c r="AT42" s="714" t="s">
        <v>52</v>
      </c>
      <c r="AU42" s="714" t="s">
        <v>52</v>
      </c>
      <c r="AV42" s="714" t="s">
        <v>52</v>
      </c>
      <c r="AW42" s="714" t="s">
        <v>52</v>
      </c>
      <c r="AX42" s="714" t="s">
        <v>52</v>
      </c>
      <c r="AY42" s="714" t="s">
        <v>52</v>
      </c>
      <c r="AZ42" s="714" t="s">
        <v>52</v>
      </c>
      <c r="BB42" s="757" t="s">
        <v>149</v>
      </c>
      <c r="BD42" s="757" t="s">
        <v>149</v>
      </c>
      <c r="BE42" s="714" t="s">
        <v>52</v>
      </c>
      <c r="BF42" s="714" t="s">
        <v>52</v>
      </c>
      <c r="BG42" s="714" t="s">
        <v>52</v>
      </c>
      <c r="BH42" s="714" t="s">
        <v>52</v>
      </c>
      <c r="BI42" s="714" t="s">
        <v>52</v>
      </c>
      <c r="BJ42" s="714" t="s">
        <v>52</v>
      </c>
      <c r="BK42" s="714" t="s">
        <v>52</v>
      </c>
      <c r="BL42" s="714" t="s">
        <v>52</v>
      </c>
      <c r="BM42" s="714"/>
      <c r="BO42" s="757" t="s">
        <v>149</v>
      </c>
    </row>
    <row r="43" spans="1:67" ht="11.45" customHeight="1">
      <c r="A43" s="2405" t="s">
        <v>162</v>
      </c>
      <c r="B43" s="2405"/>
      <c r="C43" s="693"/>
      <c r="D43" s="693"/>
      <c r="E43" s="693"/>
      <c r="F43" s="693"/>
      <c r="G43" s="693"/>
      <c r="H43" s="693"/>
      <c r="I43" s="693"/>
      <c r="J43" s="693"/>
      <c r="K43" s="693"/>
      <c r="L43" s="693"/>
      <c r="M43" s="693"/>
      <c r="N43" s="693"/>
      <c r="O43" s="693"/>
      <c r="P43" s="693"/>
      <c r="Q43" s="693"/>
      <c r="R43" s="693"/>
      <c r="S43" s="2405" t="s">
        <v>162</v>
      </c>
      <c r="T43" s="2405"/>
      <c r="U43" s="2405" t="s">
        <v>162</v>
      </c>
      <c r="V43" s="2405"/>
      <c r="W43" s="693"/>
      <c r="X43" s="693"/>
      <c r="Y43" s="693"/>
      <c r="Z43" s="693"/>
      <c r="AA43" s="693"/>
      <c r="AB43" s="693"/>
      <c r="AC43" s="693"/>
      <c r="AD43" s="693"/>
      <c r="AE43" s="693"/>
      <c r="AF43" s="693"/>
      <c r="AG43" s="693"/>
      <c r="AH43" s="693"/>
      <c r="AI43" s="2405" t="s">
        <v>162</v>
      </c>
      <c r="AJ43" s="2405"/>
      <c r="AK43" s="2405" t="s">
        <v>162</v>
      </c>
      <c r="AL43" s="2405"/>
      <c r="AM43" s="693"/>
      <c r="AN43" s="693"/>
      <c r="AO43" s="693"/>
      <c r="AP43" s="693"/>
      <c r="AQ43" s="693"/>
      <c r="AR43" s="693"/>
      <c r="AS43" s="693"/>
      <c r="AT43" s="693"/>
      <c r="AU43" s="693"/>
      <c r="AV43" s="693"/>
      <c r="AW43" s="693"/>
      <c r="AX43" s="693"/>
      <c r="AY43" s="693"/>
      <c r="AZ43" s="693"/>
      <c r="BA43" s="2405" t="s">
        <v>162</v>
      </c>
      <c r="BB43" s="2405"/>
      <c r="BC43" s="2405" t="s">
        <v>162</v>
      </c>
      <c r="BD43" s="2405"/>
      <c r="BE43" s="693"/>
      <c r="BF43" s="693"/>
      <c r="BG43" s="693"/>
      <c r="BH43" s="693"/>
      <c r="BI43" s="693"/>
      <c r="BJ43" s="693"/>
      <c r="BK43" s="693"/>
      <c r="BL43" s="693"/>
      <c r="BM43" s="693"/>
      <c r="BN43" s="2405" t="s">
        <v>162</v>
      </c>
      <c r="BO43" s="2405"/>
    </row>
    <row r="44" spans="1:67" s="13" customFormat="1" ht="11.45" customHeight="1">
      <c r="A44" s="8"/>
      <c r="B44" s="757" t="s">
        <v>148</v>
      </c>
      <c r="C44" s="771">
        <v>13.25</v>
      </c>
      <c r="D44" s="771">
        <v>13.4</v>
      </c>
      <c r="E44" s="771">
        <v>13</v>
      </c>
      <c r="F44" s="771">
        <v>13</v>
      </c>
      <c r="G44" s="771" t="s">
        <v>2753</v>
      </c>
      <c r="H44" s="771" t="s">
        <v>52</v>
      </c>
      <c r="I44" s="771">
        <v>13</v>
      </c>
      <c r="J44" s="771">
        <v>13</v>
      </c>
      <c r="K44" s="771" t="s">
        <v>52</v>
      </c>
      <c r="L44" s="771" t="s">
        <v>2774</v>
      </c>
      <c r="M44" s="771" t="s">
        <v>2623</v>
      </c>
      <c r="N44" s="771" t="s">
        <v>2633</v>
      </c>
      <c r="O44" s="771" t="s">
        <v>2626</v>
      </c>
      <c r="P44" s="771">
        <v>15</v>
      </c>
      <c r="Q44" s="771" t="s">
        <v>2623</v>
      </c>
      <c r="R44" s="771" t="s">
        <v>2855</v>
      </c>
      <c r="S44" s="1177"/>
      <c r="T44" s="757" t="s">
        <v>148</v>
      </c>
      <c r="U44" s="8"/>
      <c r="V44" s="757" t="s">
        <v>148</v>
      </c>
      <c r="W44" s="771" t="s">
        <v>2756</v>
      </c>
      <c r="X44" s="771" t="s">
        <v>2753</v>
      </c>
      <c r="Y44" s="771" t="s">
        <v>2820</v>
      </c>
      <c r="Z44" s="771" t="s">
        <v>2627</v>
      </c>
      <c r="AA44" s="771" t="s">
        <v>2775</v>
      </c>
      <c r="AB44" s="771" t="s">
        <v>2635</v>
      </c>
      <c r="AC44" s="771" t="s">
        <v>2624</v>
      </c>
      <c r="AD44" s="771" t="s">
        <v>2715</v>
      </c>
      <c r="AE44" s="771" t="s">
        <v>2863</v>
      </c>
      <c r="AF44" s="771" t="s">
        <v>2623</v>
      </c>
      <c r="AG44" s="771" t="s">
        <v>2631</v>
      </c>
      <c r="AH44" s="771" t="s">
        <v>2638</v>
      </c>
      <c r="AI44" s="8"/>
      <c r="AJ44" s="757" t="s">
        <v>148</v>
      </c>
      <c r="AK44" s="8"/>
      <c r="AL44" s="757" t="s">
        <v>148</v>
      </c>
      <c r="AM44" s="771" t="s">
        <v>2623</v>
      </c>
      <c r="AN44" s="771" t="s">
        <v>2773</v>
      </c>
      <c r="AO44" s="771" t="s">
        <v>2625</v>
      </c>
      <c r="AP44" s="771" t="s">
        <v>2913</v>
      </c>
      <c r="AQ44" s="771" t="s">
        <v>2625</v>
      </c>
      <c r="AR44" s="771" t="s">
        <v>2722</v>
      </c>
      <c r="AS44" s="771" t="s">
        <v>2716</v>
      </c>
      <c r="AT44" s="771" t="s">
        <v>2722</v>
      </c>
      <c r="AU44" s="771" t="s">
        <v>2625</v>
      </c>
      <c r="AV44" s="771" t="s">
        <v>2822</v>
      </c>
      <c r="AW44" s="771" t="s">
        <v>2633</v>
      </c>
      <c r="AX44" s="771" t="s">
        <v>2724</v>
      </c>
      <c r="AY44" s="771" t="s">
        <v>2638</v>
      </c>
      <c r="AZ44" s="771" t="s">
        <v>2640</v>
      </c>
      <c r="BA44" s="8"/>
      <c r="BB44" s="757" t="s">
        <v>148</v>
      </c>
      <c r="BC44" s="8"/>
      <c r="BD44" s="757" t="s">
        <v>148</v>
      </c>
      <c r="BE44" s="771" t="s">
        <v>2647</v>
      </c>
      <c r="BF44" s="771" t="s">
        <v>2635</v>
      </c>
      <c r="BG44" s="771" t="s">
        <v>1223</v>
      </c>
      <c r="BH44" s="771" t="s">
        <v>52</v>
      </c>
      <c r="BI44" s="771">
        <v>6.75</v>
      </c>
      <c r="BJ44" s="771" t="s">
        <v>52</v>
      </c>
      <c r="BK44" s="771" t="s">
        <v>2649</v>
      </c>
      <c r="BL44" s="771" t="s">
        <v>2730</v>
      </c>
      <c r="BM44" s="771" t="s">
        <v>52</v>
      </c>
      <c r="BN44" s="8"/>
      <c r="BO44" s="757" t="s">
        <v>148</v>
      </c>
    </row>
    <row r="45" spans="1:67" ht="11.45" customHeight="1">
      <c r="A45" s="698"/>
      <c r="B45" s="323" t="s">
        <v>149</v>
      </c>
      <c r="C45" s="693" t="s">
        <v>52</v>
      </c>
      <c r="D45" s="693" t="s">
        <v>52</v>
      </c>
      <c r="E45" s="693" t="s">
        <v>52</v>
      </c>
      <c r="F45" s="693" t="s">
        <v>52</v>
      </c>
      <c r="G45" s="693" t="s">
        <v>52</v>
      </c>
      <c r="H45" s="693">
        <v>13.5</v>
      </c>
      <c r="I45" s="693" t="s">
        <v>52</v>
      </c>
      <c r="J45" s="693" t="s">
        <v>52</v>
      </c>
      <c r="K45" s="693" t="s">
        <v>52</v>
      </c>
      <c r="L45" s="693" t="s">
        <v>2909</v>
      </c>
      <c r="M45" s="693" t="s">
        <v>2623</v>
      </c>
      <c r="N45" s="693" t="s">
        <v>52</v>
      </c>
      <c r="O45" s="693" t="s">
        <v>2626</v>
      </c>
      <c r="P45" s="693" t="s">
        <v>52</v>
      </c>
      <c r="Q45" s="693" t="s">
        <v>52</v>
      </c>
      <c r="R45" s="693" t="s">
        <v>52</v>
      </c>
      <c r="S45" s="1176"/>
      <c r="T45" s="323" t="s">
        <v>149</v>
      </c>
      <c r="U45" s="698"/>
      <c r="V45" s="323" t="s">
        <v>149</v>
      </c>
      <c r="W45" s="693" t="s">
        <v>52</v>
      </c>
      <c r="X45" s="693" t="s">
        <v>52</v>
      </c>
      <c r="Y45" s="693" t="s">
        <v>52</v>
      </c>
      <c r="Z45" s="693" t="s">
        <v>52</v>
      </c>
      <c r="AA45" s="693" t="s">
        <v>52</v>
      </c>
      <c r="AB45" s="693" t="s">
        <v>2624</v>
      </c>
      <c r="AC45" s="693" t="s">
        <v>52</v>
      </c>
      <c r="AD45" s="693" t="s">
        <v>52</v>
      </c>
      <c r="AE45" s="693" t="s">
        <v>52</v>
      </c>
      <c r="AF45" s="693" t="s">
        <v>52</v>
      </c>
      <c r="AG45" s="693" t="s">
        <v>2631</v>
      </c>
      <c r="AH45" s="693" t="s">
        <v>52</v>
      </c>
      <c r="AI45" s="698"/>
      <c r="AJ45" s="323" t="s">
        <v>149</v>
      </c>
      <c r="AK45" s="698"/>
      <c r="AL45" s="323" t="s">
        <v>149</v>
      </c>
      <c r="AM45" s="693" t="s">
        <v>52</v>
      </c>
      <c r="AN45" s="693" t="s">
        <v>52</v>
      </c>
      <c r="AO45" s="693" t="s">
        <v>52</v>
      </c>
      <c r="AP45" s="693" t="s">
        <v>52</v>
      </c>
      <c r="AQ45" s="693" t="s">
        <v>52</v>
      </c>
      <c r="AR45" s="693" t="s">
        <v>2722</v>
      </c>
      <c r="AS45" s="693"/>
      <c r="AT45" s="693" t="s">
        <v>52</v>
      </c>
      <c r="AU45" s="693" t="s">
        <v>52</v>
      </c>
      <c r="AV45" s="693" t="s">
        <v>52</v>
      </c>
      <c r="AW45" s="693" t="s">
        <v>52</v>
      </c>
      <c r="AX45" s="693" t="s">
        <v>52</v>
      </c>
      <c r="AY45" s="693" t="s">
        <v>52</v>
      </c>
      <c r="AZ45" s="693" t="s">
        <v>52</v>
      </c>
      <c r="BA45" s="698"/>
      <c r="BB45" s="323" t="s">
        <v>149</v>
      </c>
      <c r="BC45" s="698"/>
      <c r="BD45" s="323" t="s">
        <v>149</v>
      </c>
      <c r="BE45" s="693" t="s">
        <v>52</v>
      </c>
      <c r="BF45" s="693" t="s">
        <v>2635</v>
      </c>
      <c r="BG45" s="693" t="s">
        <v>52</v>
      </c>
      <c r="BH45" s="693" t="s">
        <v>52</v>
      </c>
      <c r="BI45" s="693" t="s">
        <v>52</v>
      </c>
      <c r="BJ45" s="693" t="s">
        <v>52</v>
      </c>
      <c r="BK45" s="693" t="s">
        <v>52</v>
      </c>
      <c r="BL45" s="693" t="s">
        <v>52</v>
      </c>
      <c r="BM45" s="693" t="s">
        <v>52</v>
      </c>
      <c r="BN45" s="698"/>
      <c r="BO45" s="323" t="s">
        <v>149</v>
      </c>
    </row>
    <row r="46" spans="1:67" ht="11.45" customHeight="1">
      <c r="A46" s="2406" t="s">
        <v>163</v>
      </c>
      <c r="B46" s="2406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2406" t="s">
        <v>163</v>
      </c>
      <c r="T46" s="2406"/>
      <c r="U46" s="2406" t="s">
        <v>163</v>
      </c>
      <c r="V46" s="2406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2406" t="s">
        <v>163</v>
      </c>
      <c r="AJ46" s="2406"/>
      <c r="AK46" s="2406" t="s">
        <v>163</v>
      </c>
      <c r="AL46" s="2406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2406" t="s">
        <v>163</v>
      </c>
      <c r="BB46" s="2406"/>
      <c r="BC46" s="2406" t="s">
        <v>163</v>
      </c>
      <c r="BD46" s="2406"/>
      <c r="BE46" s="82"/>
      <c r="BF46" s="82"/>
      <c r="BG46" s="82"/>
      <c r="BH46" s="82"/>
      <c r="BI46" s="82"/>
      <c r="BJ46" s="82"/>
      <c r="BK46" s="82"/>
      <c r="BL46" s="82"/>
      <c r="BM46" s="82"/>
      <c r="BN46" s="2406" t="s">
        <v>163</v>
      </c>
      <c r="BO46" s="2406"/>
    </row>
    <row r="47" spans="1:67" s="9" customFormat="1" ht="11.45" customHeight="1">
      <c r="A47" s="304"/>
      <c r="B47" s="323" t="s">
        <v>148</v>
      </c>
      <c r="C47" s="693" t="s">
        <v>52</v>
      </c>
      <c r="D47" s="693">
        <v>13.4</v>
      </c>
      <c r="E47" s="693" t="s">
        <v>2711</v>
      </c>
      <c r="F47" s="693">
        <v>13</v>
      </c>
      <c r="G47" s="693" t="s">
        <v>2753</v>
      </c>
      <c r="H47" s="693">
        <v>13</v>
      </c>
      <c r="I47" s="693" t="s">
        <v>52</v>
      </c>
      <c r="J47" s="693" t="s">
        <v>52</v>
      </c>
      <c r="K47" s="693">
        <v>9</v>
      </c>
      <c r="L47" s="693" t="s">
        <v>2910</v>
      </c>
      <c r="M47" s="693" t="s">
        <v>2623</v>
      </c>
      <c r="N47" s="693" t="s">
        <v>2638</v>
      </c>
      <c r="O47" s="693" t="s">
        <v>2626</v>
      </c>
      <c r="P47" s="693">
        <v>14.5</v>
      </c>
      <c r="Q47" s="693" t="s">
        <v>2623</v>
      </c>
      <c r="R47" s="693" t="s">
        <v>2623</v>
      </c>
      <c r="S47" s="398"/>
      <c r="T47" s="323" t="s">
        <v>148</v>
      </c>
      <c r="U47" s="304"/>
      <c r="V47" s="323" t="s">
        <v>148</v>
      </c>
      <c r="W47" s="693" t="s">
        <v>2756</v>
      </c>
      <c r="X47" s="693" t="s">
        <v>2817</v>
      </c>
      <c r="Y47" s="693" t="s">
        <v>2759</v>
      </c>
      <c r="Z47" s="693" t="s">
        <v>2627</v>
      </c>
      <c r="AA47" s="693" t="s">
        <v>1223</v>
      </c>
      <c r="AB47" s="693" t="s">
        <v>2628</v>
      </c>
      <c r="AC47" s="693" t="s">
        <v>2649</v>
      </c>
      <c r="AD47" s="693" t="s">
        <v>2623</v>
      </c>
      <c r="AE47" s="693" t="s">
        <v>2863</v>
      </c>
      <c r="AF47" s="693" t="s">
        <v>2623</v>
      </c>
      <c r="AG47" s="693" t="s">
        <v>2631</v>
      </c>
      <c r="AH47" s="693" t="s">
        <v>2776</v>
      </c>
      <c r="AI47" s="304"/>
      <c r="AJ47" s="323" t="s">
        <v>148</v>
      </c>
      <c r="AK47" s="304"/>
      <c r="AL47" s="323" t="s">
        <v>148</v>
      </c>
      <c r="AM47" s="693" t="s">
        <v>2623</v>
      </c>
      <c r="AN47" s="693" t="s">
        <v>2626</v>
      </c>
      <c r="AO47" s="693" t="s">
        <v>2624</v>
      </c>
      <c r="AP47" s="693" t="s">
        <v>2912</v>
      </c>
      <c r="AQ47" s="693" t="s">
        <v>2626</v>
      </c>
      <c r="AR47" s="693" t="s">
        <v>52</v>
      </c>
      <c r="AS47" s="693" t="s">
        <v>2633</v>
      </c>
      <c r="AT47" s="693" t="s">
        <v>2633</v>
      </c>
      <c r="AU47" s="693" t="s">
        <v>2626</v>
      </c>
      <c r="AV47" s="693" t="s">
        <v>2759</v>
      </c>
      <c r="AW47" s="693" t="s">
        <v>2633</v>
      </c>
      <c r="AX47" s="693" t="s">
        <v>2646</v>
      </c>
      <c r="AY47" s="693" t="s">
        <v>2638</v>
      </c>
      <c r="AZ47" s="693">
        <v>15</v>
      </c>
      <c r="BA47" s="304"/>
      <c r="BB47" s="323" t="s">
        <v>148</v>
      </c>
      <c r="BC47" s="304"/>
      <c r="BD47" s="323" t="s">
        <v>148</v>
      </c>
      <c r="BE47" s="693" t="s">
        <v>52</v>
      </c>
      <c r="BF47" s="693" t="s">
        <v>2887</v>
      </c>
      <c r="BG47" s="693" t="s">
        <v>2757</v>
      </c>
      <c r="BH47" s="693" t="s">
        <v>2622</v>
      </c>
      <c r="BI47" s="693" t="s">
        <v>52</v>
      </c>
      <c r="BJ47" s="693" t="s">
        <v>2629</v>
      </c>
      <c r="BK47" s="693" t="s">
        <v>52</v>
      </c>
      <c r="BL47" s="693" t="s">
        <v>2864</v>
      </c>
      <c r="BM47" s="693" t="s">
        <v>52</v>
      </c>
      <c r="BN47" s="304"/>
      <c r="BO47" s="323" t="s">
        <v>148</v>
      </c>
    </row>
    <row r="48" spans="1:67" s="250" customFormat="1" ht="11.45" customHeight="1" thickBot="1">
      <c r="A48" s="507"/>
      <c r="B48" s="749" t="s">
        <v>149</v>
      </c>
      <c r="C48" s="713">
        <v>13.25</v>
      </c>
      <c r="D48" s="713" t="s">
        <v>52</v>
      </c>
      <c r="E48" s="713" t="s">
        <v>52</v>
      </c>
      <c r="F48" s="713" t="s">
        <v>52</v>
      </c>
      <c r="G48" s="713" t="s">
        <v>52</v>
      </c>
      <c r="H48" s="713" t="s">
        <v>52</v>
      </c>
      <c r="I48" s="713" t="s">
        <v>2709</v>
      </c>
      <c r="J48" s="713" t="s">
        <v>52</v>
      </c>
      <c r="K48" s="713" t="s">
        <v>1351</v>
      </c>
      <c r="L48" s="713" t="s">
        <v>2622</v>
      </c>
      <c r="M48" s="713" t="s">
        <v>2623</v>
      </c>
      <c r="N48" s="713" t="s">
        <v>2638</v>
      </c>
      <c r="O48" s="713" t="s">
        <v>52</v>
      </c>
      <c r="P48" s="713" t="s">
        <v>52</v>
      </c>
      <c r="Q48" s="713" t="s">
        <v>52</v>
      </c>
      <c r="R48" s="713" t="s">
        <v>52</v>
      </c>
      <c r="S48" s="1163"/>
      <c r="T48" s="749" t="s">
        <v>149</v>
      </c>
      <c r="U48" s="507"/>
      <c r="V48" s="749" t="s">
        <v>149</v>
      </c>
      <c r="W48" s="713" t="s">
        <v>52</v>
      </c>
      <c r="X48" s="713" t="s">
        <v>52</v>
      </c>
      <c r="Y48" s="713" t="s">
        <v>52</v>
      </c>
      <c r="Z48" s="713" t="s">
        <v>52</v>
      </c>
      <c r="AA48" s="713" t="s">
        <v>52</v>
      </c>
      <c r="AB48" s="713" t="s">
        <v>52</v>
      </c>
      <c r="AC48" s="713" t="s">
        <v>2624</v>
      </c>
      <c r="AD48" s="713" t="s">
        <v>2859</v>
      </c>
      <c r="AE48" s="713" t="s">
        <v>52</v>
      </c>
      <c r="AF48" s="713" t="s">
        <v>52</v>
      </c>
      <c r="AG48" s="713" t="s">
        <v>2631</v>
      </c>
      <c r="AH48" s="713" t="s">
        <v>52</v>
      </c>
      <c r="AI48" s="507"/>
      <c r="AJ48" s="749" t="s">
        <v>149</v>
      </c>
      <c r="AK48" s="507"/>
      <c r="AL48" s="749" t="s">
        <v>149</v>
      </c>
      <c r="AM48" s="713" t="s">
        <v>52</v>
      </c>
      <c r="AN48" s="713" t="s">
        <v>52</v>
      </c>
      <c r="AO48" s="713" t="s">
        <v>2623</v>
      </c>
      <c r="AP48" s="713" t="s">
        <v>52</v>
      </c>
      <c r="AQ48" s="713" t="s">
        <v>52</v>
      </c>
      <c r="AR48" s="713" t="s">
        <v>52</v>
      </c>
      <c r="AS48" s="713" t="s">
        <v>2633</v>
      </c>
      <c r="AT48" s="713" t="s">
        <v>52</v>
      </c>
      <c r="AU48" s="713" t="s">
        <v>52</v>
      </c>
      <c r="AV48" s="713" t="s">
        <v>52</v>
      </c>
      <c r="AW48" s="713" t="s">
        <v>2633</v>
      </c>
      <c r="AX48" s="713" t="s">
        <v>52</v>
      </c>
      <c r="AY48" s="713" t="s">
        <v>52</v>
      </c>
      <c r="AZ48" s="713" t="s">
        <v>52</v>
      </c>
      <c r="BA48" s="507"/>
      <c r="BB48" s="749" t="s">
        <v>149</v>
      </c>
      <c r="BC48" s="507"/>
      <c r="BD48" s="749" t="s">
        <v>149</v>
      </c>
      <c r="BE48" s="713" t="s">
        <v>52</v>
      </c>
      <c r="BF48" s="713" t="s">
        <v>2639</v>
      </c>
      <c r="BG48" s="713" t="s">
        <v>52</v>
      </c>
      <c r="BH48" s="713" t="s">
        <v>52</v>
      </c>
      <c r="BI48" s="713" t="s">
        <v>52</v>
      </c>
      <c r="BJ48" s="713" t="s">
        <v>2624</v>
      </c>
      <c r="BK48" s="713" t="s">
        <v>52</v>
      </c>
      <c r="BL48" s="713" t="s">
        <v>52</v>
      </c>
      <c r="BM48" s="713" t="s">
        <v>52</v>
      </c>
      <c r="BN48" s="507"/>
      <c r="BO48" s="749" t="s">
        <v>149</v>
      </c>
    </row>
    <row r="49" spans="1:67" ht="10.5" customHeight="1">
      <c r="A49" s="2408" t="s">
        <v>2423</v>
      </c>
      <c r="B49" s="2408"/>
      <c r="C49" s="2408"/>
      <c r="D49" s="2408"/>
      <c r="E49" s="2408"/>
      <c r="F49" s="2409" t="s">
        <v>2338</v>
      </c>
      <c r="G49" s="2409"/>
      <c r="H49" s="1574"/>
      <c r="I49" s="1574"/>
      <c r="J49" s="1574"/>
      <c r="K49" s="1573"/>
      <c r="L49" s="1858"/>
      <c r="M49" s="1858"/>
      <c r="N49" s="1858"/>
      <c r="O49" s="1858"/>
      <c r="P49" s="1858"/>
      <c r="Q49" s="1858"/>
      <c r="R49" s="1858"/>
      <c r="S49" s="1858"/>
      <c r="T49" s="1858"/>
      <c r="U49" s="2408" t="s">
        <v>2423</v>
      </c>
      <c r="V49" s="2408"/>
      <c r="W49" s="2408"/>
      <c r="X49" s="2408"/>
      <c r="Y49" s="2408"/>
      <c r="Z49" s="763"/>
      <c r="AA49" s="764"/>
      <c r="AB49" s="764"/>
      <c r="AC49" s="764"/>
      <c r="AD49" s="764"/>
      <c r="AE49" s="764"/>
      <c r="AF49" s="764"/>
      <c r="AG49" s="764"/>
      <c r="AH49" s="764"/>
      <c r="AK49" s="2440" t="s">
        <v>2423</v>
      </c>
      <c r="AL49" s="2440"/>
      <c r="AM49" s="2440"/>
      <c r="AN49" s="2440"/>
      <c r="AS49" s="1850"/>
      <c r="BC49" s="2408" t="s">
        <v>2423</v>
      </c>
      <c r="BD49" s="2408"/>
      <c r="BE49" s="2408"/>
      <c r="BF49" s="2408"/>
      <c r="BG49" s="2408"/>
    </row>
    <row r="50" spans="1:67" ht="12" customHeight="1">
      <c r="B50" s="13" t="s">
        <v>152</v>
      </c>
      <c r="F50" s="1435"/>
      <c r="G50" s="1435"/>
      <c r="H50" s="55"/>
      <c r="V50" s="13" t="s">
        <v>152</v>
      </c>
      <c r="W50" s="26"/>
      <c r="X50" s="172"/>
      <c r="Y50" s="26"/>
      <c r="Z50" s="26"/>
      <c r="AB50" s="26"/>
      <c r="AC50" s="26"/>
      <c r="AD50" s="26"/>
      <c r="AE50" s="26"/>
      <c r="AF50" s="26"/>
      <c r="AG50" s="26"/>
      <c r="AH50" s="26"/>
      <c r="AL50" s="13" t="s">
        <v>152</v>
      </c>
      <c r="AM50" s="26"/>
      <c r="AN50" s="26"/>
      <c r="BD50" s="13" t="s">
        <v>152</v>
      </c>
      <c r="BE50" s="26"/>
      <c r="BF50" s="26"/>
      <c r="BG50" s="26"/>
      <c r="BO50" s="13" t="s">
        <v>635</v>
      </c>
    </row>
  </sheetData>
  <customSheetViews>
    <customSheetView guid="{A374FC54-96E3-45F0-9C12-8450400C12DF}" scale="170" topLeftCell="BF10">
      <pane xSplit="3.6026490066225163" topLeftCell="G1"/>
      <selection activeCell="BL21" sqref="BL21"/>
      <pageMargins left="0.511811023622047" right="0.511811023622047" top="0.511811023622047" bottom="0.511811023622047" header="0" footer="0.43307086614173201"/>
      <pageSetup paperSize="132" firstPageNumber="66" orientation="portrait" useFirstPageNumber="1" r:id="rId1"/>
      <headerFooter>
        <oddFooter>&amp;C&amp;"Times New Roman,Regular"&amp;8&amp;P</oddFooter>
      </headerFooter>
    </customSheetView>
  </customSheetViews>
  <mergeCells count="138">
    <mergeCell ref="BC13:BD13"/>
    <mergeCell ref="AK49:AN49"/>
    <mergeCell ref="AK46:AL46"/>
    <mergeCell ref="BA37:BB37"/>
    <mergeCell ref="BC37:BD37"/>
    <mergeCell ref="BN37:BO37"/>
    <mergeCell ref="BA40:BB40"/>
    <mergeCell ref="BC40:BD40"/>
    <mergeCell ref="BN40:BO40"/>
    <mergeCell ref="BA43:BB43"/>
    <mergeCell ref="BC43:BD43"/>
    <mergeCell ref="BN43:BO43"/>
    <mergeCell ref="BA46:BB46"/>
    <mergeCell ref="BC46:BD46"/>
    <mergeCell ref="BN46:BO46"/>
    <mergeCell ref="BC49:BG49"/>
    <mergeCell ref="AK43:AL43"/>
    <mergeCell ref="BA29:BB29"/>
    <mergeCell ref="BC29:BD29"/>
    <mergeCell ref="BN29:BO29"/>
    <mergeCell ref="BA36:BB36"/>
    <mergeCell ref="BC36:BD36"/>
    <mergeCell ref="BN36:BO36"/>
    <mergeCell ref="BC19:BD19"/>
    <mergeCell ref="AK1:AS1"/>
    <mergeCell ref="S13:T13"/>
    <mergeCell ref="BA1:BB1"/>
    <mergeCell ref="BE1:BH1"/>
    <mergeCell ref="AK6:AL6"/>
    <mergeCell ref="BA6:BB6"/>
    <mergeCell ref="BC6:BD6"/>
    <mergeCell ref="BN13:BO13"/>
    <mergeCell ref="BI1:BL1"/>
    <mergeCell ref="BN1:BO1"/>
    <mergeCell ref="BG2:BH2"/>
    <mergeCell ref="BI2:BK2"/>
    <mergeCell ref="AM3:AZ3"/>
    <mergeCell ref="BA3:BB5"/>
    <mergeCell ref="BC3:BD5"/>
    <mergeCell ref="BE3:BM3"/>
    <mergeCell ref="BN3:BO5"/>
    <mergeCell ref="AT1:AY1"/>
    <mergeCell ref="AK3:AL5"/>
    <mergeCell ref="BN6:BO6"/>
    <mergeCell ref="BA7:BB7"/>
    <mergeCell ref="BC7:BD7"/>
    <mergeCell ref="BN7:BO7"/>
    <mergeCell ref="BA13:BB13"/>
    <mergeCell ref="A7:B7"/>
    <mergeCell ref="A6:B6"/>
    <mergeCell ref="L3:R3"/>
    <mergeCell ref="A3:B5"/>
    <mergeCell ref="C3:H3"/>
    <mergeCell ref="K1:Q1"/>
    <mergeCell ref="AI1:AJ1"/>
    <mergeCell ref="S6:T6"/>
    <mergeCell ref="U3:V5"/>
    <mergeCell ref="A13:B13"/>
    <mergeCell ref="I3:K3"/>
    <mergeCell ref="S7:T7"/>
    <mergeCell ref="S3:T5"/>
    <mergeCell ref="B1:J1"/>
    <mergeCell ref="L2:M2"/>
    <mergeCell ref="U23:V23"/>
    <mergeCell ref="U20:V20"/>
    <mergeCell ref="AI20:AJ20"/>
    <mergeCell ref="AI6:AJ6"/>
    <mergeCell ref="U19:V19"/>
    <mergeCell ref="U6:V6"/>
    <mergeCell ref="W3:AH3"/>
    <mergeCell ref="AI3:AJ5"/>
    <mergeCell ref="Y2:Z2"/>
    <mergeCell ref="U1:AB1"/>
    <mergeCell ref="AC1:AG1"/>
    <mergeCell ref="U7:V7"/>
    <mergeCell ref="A19:B19"/>
    <mergeCell ref="S19:T19"/>
    <mergeCell ref="S20:T20"/>
    <mergeCell ref="A23:B23"/>
    <mergeCell ref="A20:B20"/>
    <mergeCell ref="S23:T23"/>
    <mergeCell ref="U26:V26"/>
    <mergeCell ref="U29:V29"/>
    <mergeCell ref="U36:V36"/>
    <mergeCell ref="U43:V43"/>
    <mergeCell ref="U46:V46"/>
    <mergeCell ref="U49:Y49"/>
    <mergeCell ref="A36:B36"/>
    <mergeCell ref="A43:B43"/>
    <mergeCell ref="S43:T43"/>
    <mergeCell ref="A46:B46"/>
    <mergeCell ref="S46:T46"/>
    <mergeCell ref="S40:T40"/>
    <mergeCell ref="S37:T37"/>
    <mergeCell ref="A40:B40"/>
    <mergeCell ref="A37:B37"/>
    <mergeCell ref="A49:E49"/>
    <mergeCell ref="F49:G49"/>
    <mergeCell ref="A26:B26"/>
    <mergeCell ref="S26:T26"/>
    <mergeCell ref="A29:B29"/>
    <mergeCell ref="S36:T36"/>
    <mergeCell ref="S29:T29"/>
    <mergeCell ref="AI46:AJ46"/>
    <mergeCell ref="AI7:AJ7"/>
    <mergeCell ref="AI23:AJ23"/>
    <mergeCell ref="AK37:AL37"/>
    <mergeCell ref="AI19:AJ19"/>
    <mergeCell ref="AK26:AL26"/>
    <mergeCell ref="AK29:AL29"/>
    <mergeCell ref="AK13:AL13"/>
    <mergeCell ref="U13:V13"/>
    <mergeCell ref="AI40:AJ40"/>
    <mergeCell ref="AK23:AL23"/>
    <mergeCell ref="AI37:AJ37"/>
    <mergeCell ref="AK40:AL40"/>
    <mergeCell ref="AK19:AL19"/>
    <mergeCell ref="AI13:AJ13"/>
    <mergeCell ref="AK7:AL7"/>
    <mergeCell ref="AI36:AJ36"/>
    <mergeCell ref="AI43:AJ43"/>
    <mergeCell ref="AK20:AL20"/>
    <mergeCell ref="AI26:AJ26"/>
    <mergeCell ref="AI29:AJ29"/>
    <mergeCell ref="U37:V37"/>
    <mergeCell ref="U40:V40"/>
    <mergeCell ref="AK36:AL36"/>
    <mergeCell ref="BN19:BO19"/>
    <mergeCell ref="BA20:BB20"/>
    <mergeCell ref="BC20:BD20"/>
    <mergeCell ref="BN20:BO20"/>
    <mergeCell ref="BA23:BB23"/>
    <mergeCell ref="BC23:BD23"/>
    <mergeCell ref="BN23:BO23"/>
    <mergeCell ref="BA26:BB26"/>
    <mergeCell ref="BC26:BD26"/>
    <mergeCell ref="BN26:BO26"/>
    <mergeCell ref="BA19:BB19"/>
  </mergeCells>
  <phoneticPr fontId="43" type="noConversion"/>
  <pageMargins left="0.511811023622047" right="0.511811023622047" top="0.511811023622047" bottom="0.511811023622047" header="0" footer="0.43307086614173201"/>
  <pageSetup paperSize="448" firstPageNumber="70" orientation="portrait" useFirstPageNumber="1" r:id="rId2"/>
  <headerFooter>
    <oddFooter>&amp;C&amp;"Times New Roman,Regular"&amp;8&amp;P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8"/>
  <dimension ref="A1:P59"/>
  <sheetViews>
    <sheetView zoomScale="160" zoomScaleNormal="160" workbookViewId="0">
      <pane xSplit="3" ySplit="3" topLeftCell="D4" activePane="bottomRight" state="frozen"/>
      <selection activeCell="G9" sqref="G9"/>
      <selection pane="topRight" activeCell="G9" sqref="G9"/>
      <selection pane="bottomLeft" activeCell="G9" sqref="G9"/>
      <selection pane="bottomRight" activeCell="A2" sqref="A2"/>
    </sheetView>
  </sheetViews>
  <sheetFormatPr defaultColWidth="9.140625" defaultRowHeight="12.75"/>
  <cols>
    <col min="1" max="1" width="1.85546875" style="2" customWidth="1"/>
    <col min="2" max="2" width="2.5703125" style="2" customWidth="1"/>
    <col min="3" max="3" width="29.28515625" style="2" customWidth="1"/>
    <col min="4" max="5" width="4.42578125" style="2" customWidth="1"/>
    <col min="6" max="6" width="4.85546875" style="2" customWidth="1"/>
    <col min="7" max="7" width="4.42578125" style="878" customWidth="1"/>
    <col min="8" max="8" width="5.7109375" style="2" customWidth="1"/>
    <col min="9" max="9" width="4.5703125" style="2" customWidth="1"/>
    <col min="10" max="10" width="5.140625" style="2" customWidth="1"/>
    <col min="11" max="11" width="5.28515625" style="2" customWidth="1"/>
    <col min="12" max="12" width="5.5703125" style="2" customWidth="1"/>
    <col min="13" max="13" width="5.28515625" style="2" customWidth="1"/>
    <col min="14" max="16384" width="9.140625" style="2"/>
  </cols>
  <sheetData>
    <row r="1" spans="1:15" s="17" customFormat="1" ht="15" customHeight="1">
      <c r="A1" s="2447" t="s">
        <v>2670</v>
      </c>
      <c r="B1" s="2448"/>
      <c r="C1" s="2448"/>
      <c r="D1" s="2448"/>
      <c r="E1" s="2448"/>
      <c r="F1" s="2448"/>
      <c r="G1" s="2448"/>
      <c r="H1" s="2448"/>
      <c r="I1" s="2448"/>
      <c r="L1" s="2441" t="s">
        <v>1110</v>
      </c>
      <c r="M1" s="2441"/>
    </row>
    <row r="2" spans="1:15" s="5" customFormat="1" ht="11.25" customHeight="1">
      <c r="B2" s="1052"/>
      <c r="C2" s="1052"/>
      <c r="D2" s="1052"/>
      <c r="E2" s="1052"/>
      <c r="F2" s="1052"/>
      <c r="G2" s="1021"/>
      <c r="H2" s="1610"/>
      <c r="I2" s="1610"/>
      <c r="L2" s="2442" t="s">
        <v>513</v>
      </c>
      <c r="M2" s="2442"/>
    </row>
    <row r="3" spans="1:15" s="385" customFormat="1" ht="60" customHeight="1">
      <c r="A3" s="1899" t="s">
        <v>578</v>
      </c>
      <c r="B3" s="1899"/>
      <c r="C3" s="1899"/>
      <c r="D3" s="1633" t="s">
        <v>1405</v>
      </c>
      <c r="E3" s="1633" t="s">
        <v>1343</v>
      </c>
      <c r="F3" s="1633" t="s">
        <v>96</v>
      </c>
      <c r="G3" s="1633" t="s">
        <v>1406</v>
      </c>
      <c r="H3" s="1633" t="s">
        <v>1407</v>
      </c>
      <c r="I3" s="1633" t="s">
        <v>1408</v>
      </c>
      <c r="J3" s="1633" t="s">
        <v>1409</v>
      </c>
      <c r="K3" s="1633" t="s">
        <v>1410</v>
      </c>
      <c r="L3" s="1633" t="s">
        <v>2160</v>
      </c>
      <c r="M3" s="1633" t="s">
        <v>2161</v>
      </c>
    </row>
    <row r="4" spans="1:15" s="1613" customFormat="1" ht="9.9499999999999993" customHeight="1">
      <c r="A4" s="158" t="s">
        <v>592</v>
      </c>
      <c r="B4" s="2446" t="s">
        <v>621</v>
      </c>
      <c r="C4" s="2446"/>
      <c r="D4" s="1185">
        <v>3.12</v>
      </c>
      <c r="E4" s="1185">
        <v>1.99</v>
      </c>
      <c r="F4" s="1172">
        <v>3</v>
      </c>
      <c r="G4" s="1173">
        <v>2</v>
      </c>
      <c r="H4" s="1185">
        <v>2.2000000000000002</v>
      </c>
      <c r="I4" s="1185">
        <v>5.0200000000000005</v>
      </c>
      <c r="J4" s="1185">
        <v>3.17</v>
      </c>
      <c r="K4" s="1172">
        <v>4.8499999999999996</v>
      </c>
      <c r="L4" s="1172">
        <v>2.94</v>
      </c>
      <c r="M4" s="1172">
        <v>3</v>
      </c>
      <c r="O4" s="1170"/>
    </row>
    <row r="5" spans="1:15" s="31" customFormat="1" ht="9.9499999999999993" customHeight="1">
      <c r="A5" s="1186" t="s">
        <v>593</v>
      </c>
      <c r="B5" s="2444" t="s">
        <v>622</v>
      </c>
      <c r="C5" s="2444"/>
      <c r="D5" s="835"/>
      <c r="E5" s="835"/>
      <c r="F5" s="1187"/>
      <c r="G5" s="1187"/>
      <c r="H5" s="835"/>
      <c r="I5" s="835"/>
      <c r="J5" s="835"/>
      <c r="K5" s="1187"/>
      <c r="L5" s="1187"/>
      <c r="M5" s="1187"/>
      <c r="N5" s="1632"/>
      <c r="O5" s="1170"/>
    </row>
    <row r="6" spans="1:15" s="31" customFormat="1" ht="9.9499999999999993" customHeight="1">
      <c r="A6" s="158"/>
      <c r="B6" s="243" t="s">
        <v>623</v>
      </c>
      <c r="C6" s="66" t="s">
        <v>624</v>
      </c>
      <c r="D6" s="1185">
        <v>7</v>
      </c>
      <c r="E6" s="1185">
        <v>6.49</v>
      </c>
      <c r="F6" s="1172">
        <v>9.5</v>
      </c>
      <c r="G6" s="1172">
        <v>5.6</v>
      </c>
      <c r="H6" s="1185">
        <v>4.79</v>
      </c>
      <c r="I6" s="1185">
        <v>6.69</v>
      </c>
      <c r="J6" s="1185">
        <v>4.82</v>
      </c>
      <c r="K6" s="1172">
        <v>6.25</v>
      </c>
      <c r="L6" s="1172">
        <v>6.54</v>
      </c>
      <c r="M6" s="1172">
        <v>9.25</v>
      </c>
      <c r="N6" s="1632"/>
      <c r="O6" s="1170"/>
    </row>
    <row r="7" spans="1:15" s="31" customFormat="1" ht="9.9499999999999993" customHeight="1">
      <c r="A7" s="1186"/>
      <c r="B7" s="1612" t="s">
        <v>625</v>
      </c>
      <c r="C7" s="1184" t="s">
        <v>626</v>
      </c>
      <c r="D7" s="835">
        <v>6.9</v>
      </c>
      <c r="E7" s="835">
        <v>6.37</v>
      </c>
      <c r="F7" s="1187">
        <v>9.25</v>
      </c>
      <c r="G7" s="1187">
        <v>5.6</v>
      </c>
      <c r="H7" s="835">
        <v>4.7</v>
      </c>
      <c r="I7" s="835">
        <v>6.59</v>
      </c>
      <c r="J7" s="835">
        <v>4.82</v>
      </c>
      <c r="K7" s="1187">
        <v>6.44</v>
      </c>
      <c r="L7" s="1187">
        <v>6.54</v>
      </c>
      <c r="M7" s="1187">
        <v>9.25</v>
      </c>
      <c r="N7" s="1632"/>
      <c r="O7" s="1170"/>
    </row>
    <row r="8" spans="1:15" s="31" customFormat="1" ht="9.9499999999999993" customHeight="1">
      <c r="A8" s="158"/>
      <c r="B8" s="243" t="s">
        <v>627</v>
      </c>
      <c r="C8" s="66" t="s">
        <v>79</v>
      </c>
      <c r="D8" s="1185">
        <v>6.85</v>
      </c>
      <c r="E8" s="1185">
        <v>6.43</v>
      </c>
      <c r="F8" s="1172">
        <v>9</v>
      </c>
      <c r="G8" s="1172">
        <v>5.6</v>
      </c>
      <c r="H8" s="1185">
        <v>4.5</v>
      </c>
      <c r="I8" s="1185">
        <v>7.1800000000000006</v>
      </c>
      <c r="J8" s="1185">
        <v>4.82</v>
      </c>
      <c r="K8" s="1172">
        <v>7.47</v>
      </c>
      <c r="L8" s="1172">
        <v>6.22</v>
      </c>
      <c r="M8" s="1172">
        <v>9.25</v>
      </c>
      <c r="N8" s="1632"/>
      <c r="O8" s="1170"/>
    </row>
    <row r="9" spans="1:15" s="31" customFormat="1" ht="9.9499999999999993" customHeight="1">
      <c r="A9" s="1186"/>
      <c r="B9" s="1612" t="s">
        <v>628</v>
      </c>
      <c r="C9" s="1184" t="s">
        <v>629</v>
      </c>
      <c r="D9" s="835">
        <v>6.8</v>
      </c>
      <c r="E9" s="835">
        <v>6.48</v>
      </c>
      <c r="F9" s="1187">
        <v>7.5</v>
      </c>
      <c r="G9" s="1187">
        <v>5.6</v>
      </c>
      <c r="H9" s="835">
        <v>4.41</v>
      </c>
      <c r="I9" s="835">
        <v>7.6300000000000008</v>
      </c>
      <c r="J9" s="835">
        <v>4.62</v>
      </c>
      <c r="K9" s="1187">
        <v>7.42</v>
      </c>
      <c r="L9" s="1187">
        <v>5.24</v>
      </c>
      <c r="M9" s="1187">
        <v>8.75</v>
      </c>
      <c r="N9" s="1632"/>
      <c r="O9" s="1170"/>
    </row>
    <row r="10" spans="1:15" s="31" customFormat="1" ht="9.9499999999999993" customHeight="1">
      <c r="A10" s="158"/>
      <c r="B10" s="243" t="s">
        <v>630</v>
      </c>
      <c r="C10" s="66" t="s">
        <v>631</v>
      </c>
      <c r="D10" s="1185">
        <v>6.75</v>
      </c>
      <c r="E10" s="1185">
        <v>5.84</v>
      </c>
      <c r="F10" s="1172">
        <v>7</v>
      </c>
      <c r="G10" s="1172">
        <v>5.6</v>
      </c>
      <c r="H10" s="1185">
        <v>4.03</v>
      </c>
      <c r="I10" s="1185">
        <v>7.88</v>
      </c>
      <c r="J10" s="1185">
        <v>4.42</v>
      </c>
      <c r="K10" s="1172">
        <v>6.89</v>
      </c>
      <c r="L10" s="1172">
        <v>4.91</v>
      </c>
      <c r="M10" s="1172">
        <v>8.75</v>
      </c>
      <c r="N10" s="1632"/>
      <c r="O10" s="1170"/>
    </row>
    <row r="11" spans="1:15" s="31" customFormat="1" ht="9.9499999999999993" customHeight="1">
      <c r="A11" s="1186"/>
      <c r="B11" s="1612" t="s">
        <v>305</v>
      </c>
      <c r="C11" s="1184" t="s">
        <v>78</v>
      </c>
      <c r="D11" s="835">
        <v>4.22</v>
      </c>
      <c r="E11" s="835">
        <v>3.5</v>
      </c>
      <c r="F11" s="1187">
        <v>4</v>
      </c>
      <c r="G11" s="1187">
        <v>5</v>
      </c>
      <c r="H11" s="835">
        <v>3.64</v>
      </c>
      <c r="I11" s="835">
        <v>8.18</v>
      </c>
      <c r="J11" s="835">
        <v>4.17</v>
      </c>
      <c r="K11" s="1187">
        <v>5.4</v>
      </c>
      <c r="L11" s="1187">
        <v>2.94</v>
      </c>
      <c r="M11" s="1187">
        <v>5.75</v>
      </c>
      <c r="N11" s="1632"/>
      <c r="O11" s="1170"/>
    </row>
    <row r="12" spans="1:15" s="159" customFormat="1" ht="10.5" customHeight="1">
      <c r="A12" s="158" t="s">
        <v>594</v>
      </c>
      <c r="B12" s="2446" t="s">
        <v>632</v>
      </c>
      <c r="C12" s="2446"/>
      <c r="D12" s="1615"/>
      <c r="E12" s="1171"/>
      <c r="F12" s="1172"/>
      <c r="G12" s="1172"/>
      <c r="H12" s="1171"/>
      <c r="I12" s="1171"/>
      <c r="J12" s="1171"/>
      <c r="K12" s="1172"/>
      <c r="L12" s="1172"/>
      <c r="M12" s="1173"/>
      <c r="N12" s="1632"/>
      <c r="O12" s="1170"/>
    </row>
    <row r="13" spans="1:15" s="31" customFormat="1" ht="9.9499999999999993" customHeight="1">
      <c r="A13" s="1188"/>
      <c r="B13" s="1612" t="s">
        <v>623</v>
      </c>
      <c r="C13" s="1612" t="s">
        <v>633</v>
      </c>
      <c r="D13" s="835" t="s">
        <v>295</v>
      </c>
      <c r="E13" s="835">
        <v>6.66</v>
      </c>
      <c r="F13" s="1187" t="s">
        <v>295</v>
      </c>
      <c r="G13" s="1187">
        <v>2</v>
      </c>
      <c r="H13" s="835" t="s">
        <v>295</v>
      </c>
      <c r="I13" s="835">
        <v>7.9699999999999989</v>
      </c>
      <c r="J13" s="1187" t="s">
        <v>295</v>
      </c>
      <c r="K13" s="1187" t="s">
        <v>295</v>
      </c>
      <c r="L13" s="1187">
        <v>3.01</v>
      </c>
      <c r="M13" s="1187" t="s">
        <v>295</v>
      </c>
      <c r="N13" s="1632"/>
      <c r="O13" s="1170"/>
    </row>
    <row r="14" spans="1:15" s="31" customFormat="1" ht="9.9499999999999993" customHeight="1">
      <c r="A14" s="1189"/>
      <c r="B14" s="243" t="s">
        <v>625</v>
      </c>
      <c r="C14" s="243" t="s">
        <v>634</v>
      </c>
      <c r="D14" s="1185" t="s">
        <v>295</v>
      </c>
      <c r="E14" s="1185">
        <v>6.66</v>
      </c>
      <c r="F14" s="1172" t="s">
        <v>295</v>
      </c>
      <c r="G14" s="1172">
        <v>2</v>
      </c>
      <c r="H14" s="1185" t="s">
        <v>295</v>
      </c>
      <c r="I14" s="1185" t="s">
        <v>295</v>
      </c>
      <c r="J14" s="1185" t="s">
        <v>295</v>
      </c>
      <c r="K14" s="1172" t="s">
        <v>295</v>
      </c>
      <c r="L14" s="1172">
        <v>3.6</v>
      </c>
      <c r="M14" s="1172" t="s">
        <v>295</v>
      </c>
      <c r="N14" s="1632"/>
      <c r="O14" s="1170"/>
    </row>
    <row r="15" spans="1:15" s="31" customFormat="1" ht="9.9499999999999993" customHeight="1">
      <c r="A15" s="1188"/>
      <c r="B15" s="1612" t="s">
        <v>627</v>
      </c>
      <c r="C15" s="1612" t="s">
        <v>240</v>
      </c>
      <c r="D15" s="835" t="s">
        <v>295</v>
      </c>
      <c r="E15" s="835">
        <v>6.66</v>
      </c>
      <c r="F15" s="1187"/>
      <c r="G15" s="1187">
        <v>2</v>
      </c>
      <c r="H15" s="835">
        <v>5.33</v>
      </c>
      <c r="I15" s="835" t="s">
        <v>295</v>
      </c>
      <c r="J15" s="1187" t="s">
        <v>295</v>
      </c>
      <c r="K15" s="1187">
        <v>6.11</v>
      </c>
      <c r="L15" s="1187">
        <v>5.24</v>
      </c>
      <c r="M15" s="1187" t="s">
        <v>295</v>
      </c>
      <c r="N15" s="1632"/>
      <c r="O15" s="1170"/>
    </row>
    <row r="16" spans="1:15" s="31" customFormat="1" ht="9.9499999999999993" customHeight="1">
      <c r="A16" s="351"/>
      <c r="B16" s="2388" t="s">
        <v>909</v>
      </c>
      <c r="C16" s="2388"/>
      <c r="D16" s="649"/>
      <c r="E16" s="1173"/>
      <c r="F16" s="1173"/>
      <c r="G16" s="1173"/>
      <c r="H16" s="649"/>
      <c r="I16" s="649"/>
      <c r="J16" s="1173"/>
      <c r="K16" s="1173"/>
      <c r="L16" s="1173"/>
      <c r="M16" s="1173"/>
      <c r="N16" s="1632"/>
      <c r="O16" s="1170"/>
    </row>
    <row r="17" spans="1:15" s="31" customFormat="1" ht="9.9499999999999993" customHeight="1">
      <c r="A17" s="1188"/>
      <c r="B17" s="325" t="s">
        <v>306</v>
      </c>
      <c r="C17" s="1612" t="s">
        <v>624</v>
      </c>
      <c r="D17" s="835" t="s">
        <v>295</v>
      </c>
      <c r="E17" s="835">
        <v>6.66</v>
      </c>
      <c r="F17" s="1187" t="s">
        <v>295</v>
      </c>
      <c r="G17" s="1187" t="s">
        <v>295</v>
      </c>
      <c r="H17" s="835" t="s">
        <v>295</v>
      </c>
      <c r="I17" s="835" t="s">
        <v>295</v>
      </c>
      <c r="J17" s="1187" t="s">
        <v>295</v>
      </c>
      <c r="K17" s="1187" t="s">
        <v>295</v>
      </c>
      <c r="L17" s="1187" t="s">
        <v>295</v>
      </c>
      <c r="M17" s="1187">
        <v>7.5</v>
      </c>
      <c r="N17" s="1632"/>
      <c r="O17" s="1170"/>
    </row>
    <row r="18" spans="1:15" s="31" customFormat="1" ht="9.9499999999999993" customHeight="1">
      <c r="A18" s="1189"/>
      <c r="B18" s="619" t="s">
        <v>477</v>
      </c>
      <c r="C18" s="243" t="s">
        <v>98</v>
      </c>
      <c r="D18" s="1185">
        <v>5.8</v>
      </c>
      <c r="E18" s="1185">
        <v>6.66</v>
      </c>
      <c r="F18" s="1172" t="s">
        <v>295</v>
      </c>
      <c r="G18" s="1172" t="s">
        <v>295</v>
      </c>
      <c r="H18" s="1185" t="s">
        <v>295</v>
      </c>
      <c r="I18" s="1185" t="s">
        <v>295</v>
      </c>
      <c r="J18" s="1173" t="s">
        <v>295</v>
      </c>
      <c r="K18" s="1172" t="s">
        <v>295</v>
      </c>
      <c r="L18" s="1172" t="s">
        <v>295</v>
      </c>
      <c r="M18" s="1172">
        <v>7.5</v>
      </c>
      <c r="N18" s="1632"/>
      <c r="O18" s="1170"/>
    </row>
    <row r="19" spans="1:15" s="31" customFormat="1" ht="9.9499999999999993" customHeight="1">
      <c r="A19" s="1188"/>
      <c r="B19" s="325" t="s">
        <v>298</v>
      </c>
      <c r="C19" s="1612" t="s">
        <v>99</v>
      </c>
      <c r="D19" s="835">
        <v>6.44</v>
      </c>
      <c r="E19" s="835">
        <v>6.66</v>
      </c>
      <c r="F19" s="1187"/>
      <c r="G19" s="1187" t="s">
        <v>295</v>
      </c>
      <c r="H19" s="835" t="s">
        <v>295</v>
      </c>
      <c r="I19" s="835" t="s">
        <v>295</v>
      </c>
      <c r="J19" s="1187" t="s">
        <v>295</v>
      </c>
      <c r="K19" s="1187" t="s">
        <v>295</v>
      </c>
      <c r="L19" s="1187" t="s">
        <v>295</v>
      </c>
      <c r="M19" s="1187" t="s">
        <v>295</v>
      </c>
      <c r="N19" s="1632"/>
      <c r="O19" s="1170"/>
    </row>
    <row r="20" spans="1:15" s="31" customFormat="1" ht="9.9499999999999993" customHeight="1">
      <c r="A20" s="1189"/>
      <c r="B20" s="66" t="s">
        <v>361</v>
      </c>
      <c r="C20" s="66" t="s">
        <v>362</v>
      </c>
      <c r="D20" s="1172"/>
      <c r="E20" s="1172"/>
      <c r="F20" s="1172"/>
      <c r="G20" s="1172"/>
      <c r="H20" s="1190"/>
      <c r="I20" s="1190"/>
      <c r="J20" s="1173"/>
      <c r="K20" s="1172"/>
      <c r="L20" s="1172"/>
      <c r="M20" s="1172"/>
      <c r="N20" s="1632"/>
      <c r="O20" s="1170"/>
    </row>
    <row r="21" spans="1:15" s="31" customFormat="1" ht="9.9499999999999993" customHeight="1">
      <c r="A21" s="1188"/>
      <c r="B21" s="325" t="s">
        <v>306</v>
      </c>
      <c r="C21" s="1612" t="s">
        <v>100</v>
      </c>
      <c r="D21" s="1187" t="s">
        <v>295</v>
      </c>
      <c r="E21" s="835">
        <v>6.66</v>
      </c>
      <c r="F21" s="1187">
        <v>12.25</v>
      </c>
      <c r="G21" s="1187">
        <v>5.6</v>
      </c>
      <c r="H21" s="835">
        <v>6.23</v>
      </c>
      <c r="I21" s="835">
        <v>9.94</v>
      </c>
      <c r="J21" s="835" t="s">
        <v>295</v>
      </c>
      <c r="K21" s="1187">
        <v>7.32</v>
      </c>
      <c r="L21" s="1187">
        <v>7.2</v>
      </c>
      <c r="M21" s="1187">
        <v>9.94</v>
      </c>
      <c r="N21" s="1632"/>
      <c r="O21" s="1170"/>
    </row>
    <row r="22" spans="1:15" s="31" customFormat="1" ht="9.9499999999999993" customHeight="1">
      <c r="A22" s="1189"/>
      <c r="B22" s="619" t="s">
        <v>477</v>
      </c>
      <c r="C22" s="243" t="s">
        <v>101</v>
      </c>
      <c r="D22" s="1172" t="s">
        <v>295</v>
      </c>
      <c r="E22" s="1185">
        <v>6.66</v>
      </c>
      <c r="F22" s="1172" t="s">
        <v>295</v>
      </c>
      <c r="G22" s="1172" t="s">
        <v>295</v>
      </c>
      <c r="H22" s="1185">
        <v>6.61</v>
      </c>
      <c r="I22" s="1185" t="s">
        <v>295</v>
      </c>
      <c r="J22" s="1185" t="s">
        <v>295</v>
      </c>
      <c r="K22" s="1172">
        <v>8.01</v>
      </c>
      <c r="L22" s="1172" t="s">
        <v>295</v>
      </c>
      <c r="M22" s="1172" t="s">
        <v>295</v>
      </c>
      <c r="N22" s="1632"/>
      <c r="O22" s="1170"/>
    </row>
    <row r="23" spans="1:15" s="31" customFormat="1" ht="9.9499999999999993" customHeight="1">
      <c r="A23" s="1188"/>
      <c r="B23" s="1612" t="s">
        <v>363</v>
      </c>
      <c r="C23" s="1184" t="s">
        <v>364</v>
      </c>
      <c r="D23" s="1187"/>
      <c r="E23" s="1187"/>
      <c r="F23" s="1187"/>
      <c r="G23" s="1187"/>
      <c r="H23" s="835"/>
      <c r="I23" s="835"/>
      <c r="J23" s="835"/>
      <c r="K23" s="1187"/>
      <c r="L23" s="1187"/>
      <c r="M23" s="1187"/>
      <c r="N23" s="1632"/>
      <c r="O23" s="1170"/>
    </row>
    <row r="24" spans="1:15" s="31" customFormat="1" ht="9.9499999999999993" customHeight="1">
      <c r="A24" s="1189"/>
      <c r="B24" s="619" t="s">
        <v>353</v>
      </c>
      <c r="C24" s="66" t="s">
        <v>352</v>
      </c>
      <c r="D24" s="1172" t="s">
        <v>295</v>
      </c>
      <c r="E24" s="1185">
        <v>6.66</v>
      </c>
      <c r="F24" s="1172" t="s">
        <v>295</v>
      </c>
      <c r="G24" s="1172" t="s">
        <v>295</v>
      </c>
      <c r="H24" s="1185">
        <v>6.8</v>
      </c>
      <c r="I24" s="1185">
        <v>8.73</v>
      </c>
      <c r="J24" s="1185">
        <v>6.73</v>
      </c>
      <c r="K24" s="1172">
        <v>7.37</v>
      </c>
      <c r="L24" s="1172">
        <v>6.54</v>
      </c>
      <c r="M24" s="1172" t="s">
        <v>295</v>
      </c>
      <c r="N24" s="1632"/>
      <c r="O24" s="1170"/>
    </row>
    <row r="25" spans="1:15" s="31" customFormat="1" ht="10.5" customHeight="1">
      <c r="A25" s="1188"/>
      <c r="B25" s="325" t="s">
        <v>354</v>
      </c>
      <c r="C25" s="1184" t="s">
        <v>355</v>
      </c>
      <c r="D25" s="1187" t="s">
        <v>295</v>
      </c>
      <c r="E25" s="835">
        <v>6.66</v>
      </c>
      <c r="F25" s="1187" t="s">
        <v>295</v>
      </c>
      <c r="G25" s="1187" t="s">
        <v>295</v>
      </c>
      <c r="H25" s="835">
        <v>6.9</v>
      </c>
      <c r="I25" s="835" t="s">
        <v>295</v>
      </c>
      <c r="J25" s="835">
        <v>6.78</v>
      </c>
      <c r="K25" s="1187" t="s">
        <v>295</v>
      </c>
      <c r="L25" s="1187">
        <v>6.54</v>
      </c>
      <c r="M25" s="1187">
        <v>7.5</v>
      </c>
      <c r="N25" s="1632"/>
      <c r="O25" s="1170"/>
    </row>
    <row r="26" spans="1:15" s="31" customFormat="1" ht="9.9499999999999993" customHeight="1">
      <c r="A26" s="1189"/>
      <c r="B26" s="619" t="s">
        <v>296</v>
      </c>
      <c r="C26" s="66" t="s">
        <v>356</v>
      </c>
      <c r="D26" s="1172" t="s">
        <v>295</v>
      </c>
      <c r="E26" s="1185">
        <v>6.66</v>
      </c>
      <c r="F26" s="1172" t="s">
        <v>295</v>
      </c>
      <c r="G26" s="1172" t="s">
        <v>295</v>
      </c>
      <c r="H26" s="1185">
        <v>7.48</v>
      </c>
      <c r="I26" s="1185" t="s">
        <v>295</v>
      </c>
      <c r="J26" s="1185" t="s">
        <v>295</v>
      </c>
      <c r="K26" s="1172" t="s">
        <v>295</v>
      </c>
      <c r="L26" s="1172" t="s">
        <v>295</v>
      </c>
      <c r="M26" s="1172" t="s">
        <v>295</v>
      </c>
      <c r="N26" s="1632"/>
      <c r="O26" s="1170"/>
    </row>
    <row r="27" spans="1:15" s="31" customFormat="1" ht="9.9499999999999993" customHeight="1">
      <c r="A27" s="1188"/>
      <c r="B27" s="325" t="s">
        <v>297</v>
      </c>
      <c r="C27" s="1184" t="s">
        <v>357</v>
      </c>
      <c r="D27" s="1187" t="s">
        <v>295</v>
      </c>
      <c r="E27" s="835"/>
      <c r="F27" s="1187" t="s">
        <v>295</v>
      </c>
      <c r="G27" s="1187" t="s">
        <v>295</v>
      </c>
      <c r="H27" s="835">
        <v>7.67</v>
      </c>
      <c r="I27" s="835" t="s">
        <v>295</v>
      </c>
      <c r="J27" s="835" t="s">
        <v>295</v>
      </c>
      <c r="K27" s="1187" t="s">
        <v>295</v>
      </c>
      <c r="L27" s="1187" t="s">
        <v>295</v>
      </c>
      <c r="M27" s="1187" t="s">
        <v>295</v>
      </c>
      <c r="N27" s="1632"/>
      <c r="O27" s="1170"/>
    </row>
    <row r="28" spans="1:15" s="31" customFormat="1" ht="10.5" customHeight="1">
      <c r="A28" s="1189"/>
      <c r="B28" s="243" t="s">
        <v>350</v>
      </c>
      <c r="C28" s="1191" t="s">
        <v>351</v>
      </c>
      <c r="D28" s="1172"/>
      <c r="E28" s="1172"/>
      <c r="F28" s="1173"/>
      <c r="G28" s="1172"/>
      <c r="H28" s="1185"/>
      <c r="I28" s="1185"/>
      <c r="J28" s="1185"/>
      <c r="K28" s="1172"/>
      <c r="L28" s="1172"/>
      <c r="M28" s="1172"/>
      <c r="N28" s="1632"/>
      <c r="O28" s="1170"/>
    </row>
    <row r="29" spans="1:15" s="31" customFormat="1" ht="9.9499999999999993" customHeight="1">
      <c r="A29" s="1188"/>
      <c r="B29" s="325" t="s">
        <v>306</v>
      </c>
      <c r="C29" s="906" t="s">
        <v>624</v>
      </c>
      <c r="D29" s="1187">
        <v>5.8</v>
      </c>
      <c r="E29" s="1187">
        <v>6.66</v>
      </c>
      <c r="F29" s="1187">
        <v>6.5</v>
      </c>
      <c r="G29" s="1187" t="s">
        <v>295</v>
      </c>
      <c r="H29" s="835" t="s">
        <v>295</v>
      </c>
      <c r="I29" s="835" t="s">
        <v>295</v>
      </c>
      <c r="J29" s="835">
        <v>6.48</v>
      </c>
      <c r="K29" s="1187" t="s">
        <v>295</v>
      </c>
      <c r="L29" s="1187">
        <v>6.87</v>
      </c>
      <c r="M29" s="1187">
        <v>10</v>
      </c>
      <c r="N29" s="1632"/>
      <c r="O29" s="1170"/>
    </row>
    <row r="30" spans="1:15" s="223" customFormat="1" ht="9.9499999999999993" customHeight="1">
      <c r="A30" s="351"/>
      <c r="B30" s="258" t="s">
        <v>354</v>
      </c>
      <c r="C30" s="257" t="s">
        <v>98</v>
      </c>
      <c r="D30" s="649">
        <v>6</v>
      </c>
      <c r="E30" s="649">
        <v>6.66</v>
      </c>
      <c r="F30" s="1173">
        <v>6.75</v>
      </c>
      <c r="G30" s="1173" t="s">
        <v>295</v>
      </c>
      <c r="H30" s="649" t="s">
        <v>295</v>
      </c>
      <c r="I30" s="649" t="s">
        <v>295</v>
      </c>
      <c r="J30" s="649">
        <v>6.58</v>
      </c>
      <c r="K30" s="1173" t="s">
        <v>295</v>
      </c>
      <c r="L30" s="1173">
        <v>6.87</v>
      </c>
      <c r="M30" s="1173">
        <v>10</v>
      </c>
      <c r="N30" s="1632"/>
      <c r="O30" s="1170"/>
    </row>
    <row r="31" spans="1:15" s="223" customFormat="1" ht="9.9499999999999993" customHeight="1">
      <c r="A31" s="1188"/>
      <c r="B31" s="325" t="s">
        <v>296</v>
      </c>
      <c r="C31" s="1184" t="s">
        <v>99</v>
      </c>
      <c r="D31" s="835">
        <v>6.44</v>
      </c>
      <c r="E31" s="835" t="s">
        <v>295</v>
      </c>
      <c r="F31" s="1187" t="s">
        <v>295</v>
      </c>
      <c r="G31" s="1187" t="s">
        <v>295</v>
      </c>
      <c r="H31" s="835" t="s">
        <v>295</v>
      </c>
      <c r="I31" s="835" t="s">
        <v>295</v>
      </c>
      <c r="J31" s="835">
        <v>6.43</v>
      </c>
      <c r="K31" s="1187" t="s">
        <v>295</v>
      </c>
      <c r="L31" s="1187">
        <v>6.87</v>
      </c>
      <c r="M31" s="1187">
        <v>10</v>
      </c>
      <c r="N31" s="1632"/>
      <c r="O31" s="1170"/>
    </row>
    <row r="32" spans="1:15" s="223" customFormat="1" ht="9.9499999999999993" customHeight="1">
      <c r="A32" s="351"/>
      <c r="B32" s="258" t="s">
        <v>297</v>
      </c>
      <c r="C32" s="257" t="s">
        <v>358</v>
      </c>
      <c r="D32" s="649" t="s">
        <v>295</v>
      </c>
      <c r="E32" s="649" t="s">
        <v>295</v>
      </c>
      <c r="F32" s="1173">
        <v>7</v>
      </c>
      <c r="G32" s="1173" t="s">
        <v>295</v>
      </c>
      <c r="H32" s="649" t="s">
        <v>295</v>
      </c>
      <c r="I32" s="649">
        <v>8.7900000000000009</v>
      </c>
      <c r="J32" s="649">
        <v>6.43</v>
      </c>
      <c r="K32" s="1173">
        <v>7.46</v>
      </c>
      <c r="L32" s="1173">
        <v>6.87</v>
      </c>
      <c r="M32" s="1173">
        <v>10</v>
      </c>
      <c r="N32" s="1632"/>
      <c r="O32" s="1170"/>
    </row>
    <row r="33" spans="1:16" s="223" customFormat="1" ht="9.9499999999999993" customHeight="1">
      <c r="A33" s="1188"/>
      <c r="B33" s="325" t="s">
        <v>2162</v>
      </c>
      <c r="C33" s="1184" t="s">
        <v>352</v>
      </c>
      <c r="D33" s="1187" t="s">
        <v>295</v>
      </c>
      <c r="E33" s="835" t="s">
        <v>295</v>
      </c>
      <c r="F33" s="1187" t="s">
        <v>295</v>
      </c>
      <c r="G33" s="1187" t="s">
        <v>295</v>
      </c>
      <c r="H33" s="835" t="s">
        <v>295</v>
      </c>
      <c r="I33" s="835" t="s">
        <v>295</v>
      </c>
      <c r="J33" s="835">
        <v>6.38</v>
      </c>
      <c r="K33" s="1187" t="s">
        <v>295</v>
      </c>
      <c r="L33" s="1187">
        <v>6.87</v>
      </c>
      <c r="M33" s="1187" t="s">
        <v>295</v>
      </c>
      <c r="N33" s="1632"/>
      <c r="O33" s="1170"/>
    </row>
    <row r="34" spans="1:16" s="223" customFormat="1" ht="9.9499999999999993" customHeight="1">
      <c r="A34" s="351"/>
      <c r="B34" s="1611" t="s">
        <v>360</v>
      </c>
      <c r="C34" s="257" t="s">
        <v>761</v>
      </c>
      <c r="D34" s="1173">
        <v>6.7</v>
      </c>
      <c r="E34" s="1173" t="s">
        <v>295</v>
      </c>
      <c r="F34" s="1173">
        <v>7.25</v>
      </c>
      <c r="G34" s="1173">
        <v>5.25</v>
      </c>
      <c r="H34" s="649">
        <v>6.99</v>
      </c>
      <c r="I34" s="649" t="s">
        <v>295</v>
      </c>
      <c r="J34" s="649">
        <v>5.73</v>
      </c>
      <c r="K34" s="1173">
        <v>7.46</v>
      </c>
      <c r="L34" s="1173">
        <v>3.27</v>
      </c>
      <c r="M34" s="1173" t="s">
        <v>295</v>
      </c>
      <c r="N34" s="1632"/>
      <c r="O34" s="1170"/>
    </row>
    <row r="35" spans="1:16" s="223" customFormat="1" ht="10.5" customHeight="1">
      <c r="A35" s="1188"/>
      <c r="B35" s="1612" t="s">
        <v>306</v>
      </c>
      <c r="C35" s="1612" t="s">
        <v>102</v>
      </c>
      <c r="D35" s="1187" t="s">
        <v>295</v>
      </c>
      <c r="E35" s="1187" t="s">
        <v>295</v>
      </c>
      <c r="F35" s="1187" t="s">
        <v>295</v>
      </c>
      <c r="G35" s="1187" t="s">
        <v>295</v>
      </c>
      <c r="H35" s="835" t="s">
        <v>295</v>
      </c>
      <c r="I35" s="835" t="s">
        <v>295</v>
      </c>
      <c r="J35" s="835" t="s">
        <v>295</v>
      </c>
      <c r="K35" s="1187" t="s">
        <v>295</v>
      </c>
      <c r="L35" s="1187" t="s">
        <v>295</v>
      </c>
      <c r="M35" s="1187" t="s">
        <v>295</v>
      </c>
      <c r="N35" s="1632"/>
      <c r="O35" s="1170"/>
    </row>
    <row r="36" spans="1:16" s="223" customFormat="1" ht="9.9499999999999993" customHeight="1">
      <c r="A36" s="351"/>
      <c r="B36" s="1611" t="s">
        <v>307</v>
      </c>
      <c r="C36" s="1611" t="s">
        <v>103</v>
      </c>
      <c r="D36" s="1173" t="s">
        <v>295</v>
      </c>
      <c r="E36" s="1173" t="s">
        <v>295</v>
      </c>
      <c r="F36" s="1173">
        <v>4</v>
      </c>
      <c r="G36" s="1173" t="s">
        <v>295</v>
      </c>
      <c r="H36" s="649" t="s">
        <v>295</v>
      </c>
      <c r="I36" s="649" t="s">
        <v>295</v>
      </c>
      <c r="J36" s="649">
        <v>6.18</v>
      </c>
      <c r="K36" s="1173" t="s">
        <v>295</v>
      </c>
      <c r="L36" s="1173">
        <v>6.54</v>
      </c>
      <c r="M36" s="1173" t="s">
        <v>295</v>
      </c>
      <c r="N36" s="1632"/>
      <c r="O36" s="1170"/>
    </row>
    <row r="37" spans="1:16" s="223" customFormat="1" ht="9.9499999999999993" customHeight="1">
      <c r="A37" s="1188"/>
      <c r="B37" s="1612" t="s">
        <v>308</v>
      </c>
      <c r="C37" s="1612" t="s">
        <v>104</v>
      </c>
      <c r="D37" s="1187" t="s">
        <v>295</v>
      </c>
      <c r="E37" s="1187" t="s">
        <v>295</v>
      </c>
      <c r="F37" s="1187" t="s">
        <v>295</v>
      </c>
      <c r="G37" s="1187" t="s">
        <v>295</v>
      </c>
      <c r="H37" s="835" t="s">
        <v>295</v>
      </c>
      <c r="I37" s="835" t="s">
        <v>295</v>
      </c>
      <c r="J37" s="835">
        <v>5.88</v>
      </c>
      <c r="K37" s="1187" t="s">
        <v>295</v>
      </c>
      <c r="L37" s="1187">
        <v>6.54</v>
      </c>
      <c r="M37" s="1187" t="s">
        <v>295</v>
      </c>
      <c r="N37" s="1632"/>
      <c r="O37" s="1170"/>
    </row>
    <row r="38" spans="1:16" s="223" customFormat="1" ht="9.9499999999999993" customHeight="1">
      <c r="A38" s="351"/>
      <c r="B38" s="1611" t="s">
        <v>309</v>
      </c>
      <c r="C38" s="1611" t="s">
        <v>105</v>
      </c>
      <c r="D38" s="1173" t="s">
        <v>295</v>
      </c>
      <c r="E38" s="1173" t="s">
        <v>295</v>
      </c>
      <c r="F38" s="1173" t="s">
        <v>295</v>
      </c>
      <c r="G38" s="1173" t="s">
        <v>295</v>
      </c>
      <c r="H38" s="649" t="s">
        <v>295</v>
      </c>
      <c r="I38" s="649" t="s">
        <v>295</v>
      </c>
      <c r="J38" s="649" t="s">
        <v>295</v>
      </c>
      <c r="K38" s="1173" t="s">
        <v>295</v>
      </c>
      <c r="L38" s="1173">
        <v>6.54</v>
      </c>
      <c r="M38" s="1173" t="s">
        <v>295</v>
      </c>
      <c r="N38" s="1632"/>
      <c r="O38" s="1170"/>
    </row>
    <row r="39" spans="1:16" s="223" customFormat="1" ht="9.9499999999999993" customHeight="1">
      <c r="A39" s="1188"/>
      <c r="B39" s="1612" t="s">
        <v>310</v>
      </c>
      <c r="C39" s="1612" t="s">
        <v>106</v>
      </c>
      <c r="D39" s="1187" t="s">
        <v>295</v>
      </c>
      <c r="E39" s="835">
        <v>6.66</v>
      </c>
      <c r="F39" s="1187" t="s">
        <v>295</v>
      </c>
      <c r="G39" s="1187" t="s">
        <v>295</v>
      </c>
      <c r="H39" s="835">
        <v>5.9</v>
      </c>
      <c r="I39" s="835">
        <v>8.43</v>
      </c>
      <c r="J39" s="835" t="s">
        <v>295</v>
      </c>
      <c r="K39" s="1187" t="s">
        <v>295</v>
      </c>
      <c r="L39" s="1187">
        <v>6.54</v>
      </c>
      <c r="M39" s="1187">
        <v>7.5</v>
      </c>
      <c r="N39" s="1632"/>
      <c r="O39" s="1170"/>
    </row>
    <row r="40" spans="1:16" s="223" customFormat="1" ht="9.9499999999999993" customHeight="1">
      <c r="A40" s="351"/>
      <c r="B40" s="1611" t="s">
        <v>311</v>
      </c>
      <c r="C40" s="1611" t="s">
        <v>107</v>
      </c>
      <c r="D40" s="1173" t="s">
        <v>295</v>
      </c>
      <c r="E40" s="1173" t="s">
        <v>295</v>
      </c>
      <c r="F40" s="1173" t="s">
        <v>295</v>
      </c>
      <c r="G40" s="1173" t="s">
        <v>295</v>
      </c>
      <c r="H40" s="649" t="s">
        <v>295</v>
      </c>
      <c r="I40" s="649" t="s">
        <v>295</v>
      </c>
      <c r="J40" s="649" t="s">
        <v>295</v>
      </c>
      <c r="K40" s="1173" t="s">
        <v>295</v>
      </c>
      <c r="L40" s="1173">
        <v>6.54</v>
      </c>
      <c r="M40" s="1173" t="s">
        <v>295</v>
      </c>
      <c r="N40" s="1632"/>
      <c r="O40" s="1170"/>
    </row>
    <row r="41" spans="1:16" s="223" customFormat="1" ht="9.9499999999999993" customHeight="1">
      <c r="A41" s="1188"/>
      <c r="B41" s="1612" t="s">
        <v>312</v>
      </c>
      <c r="C41" s="1612" t="s">
        <v>108</v>
      </c>
      <c r="D41" s="1187">
        <v>6.7</v>
      </c>
      <c r="E41" s="1187" t="s">
        <v>295</v>
      </c>
      <c r="F41" s="1187">
        <v>6.5</v>
      </c>
      <c r="G41" s="1187" t="s">
        <v>295</v>
      </c>
      <c r="H41" s="835">
        <v>6.9</v>
      </c>
      <c r="I41" s="835" t="s">
        <v>295</v>
      </c>
      <c r="J41" s="835">
        <v>6.73</v>
      </c>
      <c r="K41" s="1187" t="s">
        <v>295</v>
      </c>
      <c r="L41" s="1187" t="s">
        <v>295</v>
      </c>
      <c r="M41" s="1187" t="s">
        <v>295</v>
      </c>
      <c r="N41" s="1632"/>
      <c r="O41" s="1170"/>
      <c r="P41" s="281"/>
    </row>
    <row r="42" spans="1:16" s="223" customFormat="1" ht="9.9499999999999993" customHeight="1">
      <c r="A42" s="1611"/>
      <c r="B42" s="1611" t="s">
        <v>313</v>
      </c>
      <c r="C42" s="1611" t="s">
        <v>109</v>
      </c>
      <c r="D42" s="1173" t="s">
        <v>295</v>
      </c>
      <c r="E42" s="1173" t="s">
        <v>295</v>
      </c>
      <c r="F42" s="1173">
        <v>4</v>
      </c>
      <c r="G42" s="1173">
        <v>5.25</v>
      </c>
      <c r="H42" s="649" t="s">
        <v>295</v>
      </c>
      <c r="I42" s="649" t="s">
        <v>295</v>
      </c>
      <c r="J42" s="649" t="s">
        <v>295</v>
      </c>
      <c r="K42" s="1173" t="s">
        <v>295</v>
      </c>
      <c r="L42" s="1173">
        <v>3.27</v>
      </c>
      <c r="M42" s="1173" t="s">
        <v>295</v>
      </c>
      <c r="N42" s="1632"/>
      <c r="O42" s="1170"/>
    </row>
    <row r="43" spans="1:16" s="223" customFormat="1" ht="9.9499999999999993" customHeight="1">
      <c r="A43" s="1612"/>
      <c r="B43" s="1612" t="s">
        <v>464</v>
      </c>
      <c r="C43" s="1612" t="s">
        <v>465</v>
      </c>
      <c r="D43" s="835">
        <v>6.44</v>
      </c>
      <c r="E43" s="835">
        <v>6.66</v>
      </c>
      <c r="F43" s="1187">
        <v>6.5</v>
      </c>
      <c r="G43" s="1187" t="s">
        <v>295</v>
      </c>
      <c r="H43" s="835" t="s">
        <v>295</v>
      </c>
      <c r="I43" s="835">
        <v>8.9599999999999991</v>
      </c>
      <c r="J43" s="835">
        <v>6.43</v>
      </c>
      <c r="K43" s="1187" t="s">
        <v>295</v>
      </c>
      <c r="L43" s="1187" t="s">
        <v>295</v>
      </c>
      <c r="M43" s="1187">
        <v>10</v>
      </c>
      <c r="N43" s="1632"/>
      <c r="O43" s="1170"/>
    </row>
    <row r="44" spans="1:16" s="223" customFormat="1" ht="9.9499999999999993" customHeight="1">
      <c r="A44" s="1611"/>
      <c r="B44" s="1611" t="s">
        <v>466</v>
      </c>
      <c r="C44" s="1611" t="s">
        <v>468</v>
      </c>
      <c r="D44" s="649">
        <v>6</v>
      </c>
      <c r="E44" s="649">
        <v>6.66</v>
      </c>
      <c r="F44" s="1173">
        <v>6.25</v>
      </c>
      <c r="G44" s="1173" t="s">
        <v>295</v>
      </c>
      <c r="H44" s="649" t="s">
        <v>295</v>
      </c>
      <c r="I44" s="649">
        <v>7.3400000000000007</v>
      </c>
      <c r="J44" s="649">
        <v>6.58</v>
      </c>
      <c r="K44" s="1173" t="s">
        <v>295</v>
      </c>
      <c r="L44" s="1173" t="s">
        <v>295</v>
      </c>
      <c r="M44" s="1173">
        <v>10</v>
      </c>
      <c r="N44" s="1632"/>
      <c r="O44" s="1170"/>
    </row>
    <row r="45" spans="1:16" s="223" customFormat="1" ht="9.9499999999999993" customHeight="1">
      <c r="A45" s="1612"/>
      <c r="B45" s="1612" t="s">
        <v>469</v>
      </c>
      <c r="C45" s="1174" t="s">
        <v>1928</v>
      </c>
      <c r="D45" s="835" t="s">
        <v>295</v>
      </c>
      <c r="E45" s="835" t="s">
        <v>295</v>
      </c>
      <c r="F45" s="1187" t="s">
        <v>295</v>
      </c>
      <c r="G45" s="1187" t="s">
        <v>295</v>
      </c>
      <c r="H45" s="835" t="s">
        <v>295</v>
      </c>
      <c r="I45" s="835">
        <v>7.71</v>
      </c>
      <c r="J45" s="835" t="s">
        <v>295</v>
      </c>
      <c r="K45" s="1187">
        <v>7.59</v>
      </c>
      <c r="L45" s="1187">
        <v>6.22</v>
      </c>
      <c r="M45" s="1187" t="s">
        <v>295</v>
      </c>
      <c r="N45" s="1632"/>
      <c r="O45" s="1170"/>
    </row>
    <row r="46" spans="1:16" s="223" customFormat="1" ht="9.9499999999999993" customHeight="1">
      <c r="A46" s="1611"/>
      <c r="B46" s="1611" t="s">
        <v>470</v>
      </c>
      <c r="C46" s="352" t="s">
        <v>762</v>
      </c>
      <c r="D46" s="649">
        <v>6.8</v>
      </c>
      <c r="E46" s="649">
        <v>6.66</v>
      </c>
      <c r="F46" s="1173">
        <v>9</v>
      </c>
      <c r="G46" s="1173">
        <v>5.75</v>
      </c>
      <c r="H46" s="649" t="s">
        <v>295</v>
      </c>
      <c r="I46" s="649" t="s">
        <v>295</v>
      </c>
      <c r="J46" s="649">
        <v>5.78</v>
      </c>
      <c r="K46" s="1173">
        <v>6.96</v>
      </c>
      <c r="L46" s="1173">
        <v>6.22</v>
      </c>
      <c r="M46" s="1173" t="s">
        <v>295</v>
      </c>
      <c r="N46" s="1632"/>
      <c r="O46" s="1170"/>
    </row>
    <row r="47" spans="1:16" s="223" customFormat="1" ht="9.9499999999999993" customHeight="1">
      <c r="A47" s="1612"/>
      <c r="B47" s="1612" t="s">
        <v>279</v>
      </c>
      <c r="C47" s="1174" t="s">
        <v>763</v>
      </c>
      <c r="D47" s="835">
        <v>6.55</v>
      </c>
      <c r="E47" s="835">
        <v>6.66</v>
      </c>
      <c r="F47" s="715">
        <v>8.75</v>
      </c>
      <c r="G47" s="715">
        <v>5.75</v>
      </c>
      <c r="H47" s="835">
        <v>6.23</v>
      </c>
      <c r="I47" s="835" t="s">
        <v>295</v>
      </c>
      <c r="J47" s="835">
        <v>5.78</v>
      </c>
      <c r="K47" s="715">
        <v>6.96</v>
      </c>
      <c r="L47" s="715">
        <v>6.22</v>
      </c>
      <c r="M47" s="715">
        <v>9.6</v>
      </c>
      <c r="N47" s="1632"/>
      <c r="O47" s="1170"/>
    </row>
    <row r="48" spans="1:16" s="223" customFormat="1" ht="9.9499999999999993" customHeight="1">
      <c r="A48" s="1611"/>
      <c r="B48" s="1611" t="s">
        <v>304</v>
      </c>
      <c r="C48" s="1611" t="s">
        <v>280</v>
      </c>
      <c r="D48" s="1173" t="s">
        <v>295</v>
      </c>
      <c r="E48" s="649">
        <v>6.66</v>
      </c>
      <c r="F48" s="1173">
        <v>7.25</v>
      </c>
      <c r="G48" s="1173" t="s">
        <v>295</v>
      </c>
      <c r="H48" s="649">
        <v>7.11</v>
      </c>
      <c r="I48" s="649">
        <v>7.7200000000000006</v>
      </c>
      <c r="J48" s="649">
        <v>6.48</v>
      </c>
      <c r="K48" s="1173">
        <v>7.07</v>
      </c>
      <c r="L48" s="1173" t="s">
        <v>295</v>
      </c>
      <c r="M48" s="1173" t="s">
        <v>295</v>
      </c>
      <c r="N48" s="1632"/>
      <c r="O48" s="1170"/>
    </row>
    <row r="49" spans="1:16" s="223" customFormat="1" ht="9.9499999999999993" customHeight="1">
      <c r="A49" s="1612"/>
      <c r="B49" s="1612" t="s">
        <v>2163</v>
      </c>
      <c r="C49" s="1612" t="s">
        <v>2164</v>
      </c>
      <c r="D49" s="1187" t="s">
        <v>295</v>
      </c>
      <c r="E49" s="835" t="s">
        <v>295</v>
      </c>
      <c r="F49" s="1187">
        <v>4</v>
      </c>
      <c r="G49" s="1187">
        <v>2</v>
      </c>
      <c r="H49" s="835">
        <v>1.73</v>
      </c>
      <c r="I49" s="835" t="s">
        <v>295</v>
      </c>
      <c r="J49" s="835">
        <v>3.12</v>
      </c>
      <c r="K49" s="1187" t="s">
        <v>295</v>
      </c>
      <c r="L49" s="1187">
        <v>3.6</v>
      </c>
      <c r="M49" s="1187" t="s">
        <v>295</v>
      </c>
      <c r="N49" s="1632"/>
      <c r="O49" s="1170"/>
    </row>
    <row r="50" spans="1:16" s="262" customFormat="1" ht="9.9499999999999993" customHeight="1">
      <c r="A50" s="1192" t="s">
        <v>595</v>
      </c>
      <c r="B50" s="2443" t="s">
        <v>53</v>
      </c>
      <c r="C50" s="2443"/>
      <c r="D50" s="1173">
        <v>2.58</v>
      </c>
      <c r="E50" s="649">
        <v>2.23</v>
      </c>
      <c r="F50" s="1173" t="s">
        <v>295</v>
      </c>
      <c r="G50" s="1173" t="s">
        <v>295</v>
      </c>
      <c r="H50" s="649" t="s">
        <v>295</v>
      </c>
      <c r="I50" s="649">
        <v>5.45</v>
      </c>
      <c r="J50" s="649" t="s">
        <v>295</v>
      </c>
      <c r="K50" s="1173">
        <v>6.11</v>
      </c>
      <c r="L50" s="1173">
        <v>3.6</v>
      </c>
      <c r="M50" s="1173">
        <v>2.5</v>
      </c>
      <c r="N50" s="1632"/>
      <c r="O50" s="1170"/>
    </row>
    <row r="51" spans="1:16" s="223" customFormat="1" ht="9.9499999999999993" customHeight="1">
      <c r="A51" s="1186" t="s">
        <v>596</v>
      </c>
      <c r="B51" s="2444" t="s">
        <v>54</v>
      </c>
      <c r="C51" s="2444"/>
      <c r="D51" s="1187"/>
      <c r="E51" s="1187"/>
      <c r="F51" s="1187"/>
      <c r="G51" s="1187"/>
      <c r="H51" s="835"/>
      <c r="I51" s="835"/>
      <c r="J51" s="835"/>
      <c r="K51" s="1187"/>
      <c r="L51" s="1187"/>
      <c r="M51" s="1187"/>
      <c r="N51" s="1632"/>
      <c r="O51" s="1170"/>
    </row>
    <row r="52" spans="1:16" s="223" customFormat="1" ht="11.25" customHeight="1">
      <c r="A52" s="351"/>
      <c r="B52" s="1611" t="s">
        <v>623</v>
      </c>
      <c r="C52" s="1611" t="s">
        <v>241</v>
      </c>
      <c r="D52" s="1173"/>
      <c r="E52" s="1173"/>
      <c r="F52" s="1173"/>
      <c r="G52" s="1173"/>
      <c r="H52" s="649"/>
      <c r="I52" s="649"/>
      <c r="J52" s="649"/>
      <c r="K52" s="1173"/>
      <c r="L52" s="1173"/>
      <c r="M52" s="1173"/>
      <c r="N52" s="1632"/>
      <c r="O52" s="1170"/>
    </row>
    <row r="53" spans="1:16" s="223" customFormat="1" ht="9.9499999999999993" customHeight="1">
      <c r="A53" s="1188"/>
      <c r="B53" s="1612"/>
      <c r="C53" s="1612" t="s">
        <v>367</v>
      </c>
      <c r="D53" s="835">
        <v>6.44</v>
      </c>
      <c r="E53" s="835">
        <v>6.66</v>
      </c>
      <c r="F53" s="1187">
        <v>6.5</v>
      </c>
      <c r="G53" s="1187">
        <v>5</v>
      </c>
      <c r="H53" s="835">
        <v>6.89</v>
      </c>
      <c r="I53" s="835" t="s">
        <v>295</v>
      </c>
      <c r="J53" s="835" t="s">
        <v>295</v>
      </c>
      <c r="K53" s="1187">
        <v>8.91</v>
      </c>
      <c r="L53" s="1187">
        <v>6.54</v>
      </c>
      <c r="M53" s="1187" t="s">
        <v>295</v>
      </c>
      <c r="N53" s="1632"/>
      <c r="O53" s="1170"/>
      <c r="P53" s="1609"/>
    </row>
    <row r="54" spans="1:16" s="223" customFormat="1" ht="9.9499999999999993" customHeight="1">
      <c r="A54" s="351"/>
      <c r="B54" s="1611"/>
      <c r="C54" s="1611" t="s">
        <v>365</v>
      </c>
      <c r="D54" s="649">
        <v>6.7</v>
      </c>
      <c r="E54" s="649">
        <v>6.66</v>
      </c>
      <c r="F54" s="1173">
        <v>6.5</v>
      </c>
      <c r="G54" s="1173">
        <v>5.25</v>
      </c>
      <c r="H54" s="649" t="s">
        <v>295</v>
      </c>
      <c r="I54" s="649" t="s">
        <v>295</v>
      </c>
      <c r="J54" s="649" t="s">
        <v>295</v>
      </c>
      <c r="K54" s="1173" t="s">
        <v>295</v>
      </c>
      <c r="L54" s="1173">
        <v>6.54</v>
      </c>
      <c r="M54" s="1173" t="s">
        <v>295</v>
      </c>
      <c r="N54" s="1632"/>
      <c r="O54" s="1170"/>
    </row>
    <row r="55" spans="1:16" s="223" customFormat="1" ht="9.9499999999999993" customHeight="1">
      <c r="A55" s="1188"/>
      <c r="B55" s="1612"/>
      <c r="C55" s="1612" t="s">
        <v>366</v>
      </c>
      <c r="D55" s="1187" t="s">
        <v>295</v>
      </c>
      <c r="E55" s="835">
        <v>6.66</v>
      </c>
      <c r="F55" s="1187" t="s">
        <v>295</v>
      </c>
      <c r="G55" s="1187" t="s">
        <v>295</v>
      </c>
      <c r="H55" s="835" t="s">
        <v>295</v>
      </c>
      <c r="I55" s="835" t="s">
        <v>295</v>
      </c>
      <c r="J55" s="835" t="s">
        <v>295</v>
      </c>
      <c r="K55" s="1187" t="s">
        <v>295</v>
      </c>
      <c r="L55" s="1187" t="s">
        <v>295</v>
      </c>
      <c r="M55" s="1187" t="s">
        <v>295</v>
      </c>
      <c r="N55" s="1632"/>
      <c r="O55" s="1170"/>
    </row>
    <row r="56" spans="1:16" s="223" customFormat="1" ht="10.5" customHeight="1">
      <c r="A56" s="351"/>
      <c r="B56" s="1611" t="s">
        <v>625</v>
      </c>
      <c r="C56" s="1611" t="s">
        <v>368</v>
      </c>
      <c r="D56" s="1173" t="s">
        <v>295</v>
      </c>
      <c r="E56" s="649">
        <v>6.66</v>
      </c>
      <c r="F56" s="1173" t="s">
        <v>295</v>
      </c>
      <c r="G56" s="1173" t="s">
        <v>295</v>
      </c>
      <c r="H56" s="649" t="s">
        <v>295</v>
      </c>
      <c r="I56" s="649">
        <v>9.41</v>
      </c>
      <c r="J56" s="649">
        <v>5.53</v>
      </c>
      <c r="K56" s="1173" t="s">
        <v>295</v>
      </c>
      <c r="L56" s="1173">
        <v>6.54</v>
      </c>
      <c r="M56" s="1173">
        <v>7.5</v>
      </c>
      <c r="N56" s="1632"/>
      <c r="O56" s="1170"/>
    </row>
    <row r="57" spans="1:16" s="478" customFormat="1" ht="10.5" customHeight="1" thickBot="1">
      <c r="A57" s="976"/>
      <c r="B57" s="977" t="s">
        <v>627</v>
      </c>
      <c r="C57" s="977" t="s">
        <v>55</v>
      </c>
      <c r="D57" s="917">
        <v>6.95</v>
      </c>
      <c r="E57" s="917">
        <v>6.66</v>
      </c>
      <c r="F57" s="1160">
        <v>10</v>
      </c>
      <c r="G57" s="1160" t="s">
        <v>295</v>
      </c>
      <c r="H57" s="917">
        <v>7.76</v>
      </c>
      <c r="I57" s="917" t="s">
        <v>295</v>
      </c>
      <c r="J57" s="917">
        <v>5.98</v>
      </c>
      <c r="K57" s="1160" t="s">
        <v>295</v>
      </c>
      <c r="L57" s="1160" t="s">
        <v>295</v>
      </c>
      <c r="M57" s="1160">
        <v>3.5</v>
      </c>
      <c r="N57" s="1632"/>
      <c r="O57" s="1170"/>
    </row>
    <row r="58" spans="1:16" s="31" customFormat="1" ht="9.75" customHeight="1">
      <c r="A58" s="2260" t="s">
        <v>1266</v>
      </c>
      <c r="B58" s="2445"/>
      <c r="C58" s="2445"/>
      <c r="D58" s="2445"/>
      <c r="E58" s="106"/>
      <c r="F58" s="106"/>
      <c r="G58" s="877"/>
      <c r="H58" s="106"/>
      <c r="I58" s="106"/>
      <c r="J58" s="106"/>
    </row>
    <row r="59" spans="1:16" s="8" customFormat="1" ht="9" customHeight="1">
      <c r="A59" s="9"/>
      <c r="C59" s="53" t="s">
        <v>369</v>
      </c>
      <c r="D59" s="908"/>
      <c r="E59" s="908"/>
      <c r="F59" s="908"/>
      <c r="G59" s="219"/>
      <c r="H59" s="908"/>
      <c r="I59" s="908"/>
      <c r="J59" s="908"/>
    </row>
  </sheetData>
  <customSheetViews>
    <customSheetView guid="{A374FC54-96E3-45F0-9C12-8450400C12DF}" scale="150">
      <pane xSplit="3" ySplit="3" topLeftCell="D22" activePane="bottomRight" state="frozen"/>
      <selection pane="bottomRight" activeCell="O27" sqref="O27"/>
      <pageMargins left="0.47" right="0.314" top="0.52" bottom="0.157" header="0.18" footer="0.39300000000000002"/>
      <pageSetup paperSize="132" firstPageNumber="74" orientation="portrait" useFirstPageNumber="1" r:id="rId1"/>
      <headerFooter>
        <oddFooter>&amp;C&amp;"Times New Roman,Regular"&amp;8&amp;P</oddFooter>
      </headerFooter>
    </customSheetView>
  </customSheetViews>
  <mergeCells count="11">
    <mergeCell ref="L1:M1"/>
    <mergeCell ref="L2:M2"/>
    <mergeCell ref="B50:C50"/>
    <mergeCell ref="B51:C51"/>
    <mergeCell ref="A58:D58"/>
    <mergeCell ref="B16:C16"/>
    <mergeCell ref="B12:C12"/>
    <mergeCell ref="B5:C5"/>
    <mergeCell ref="A3:C3"/>
    <mergeCell ref="B4:C4"/>
    <mergeCell ref="A1:I1"/>
  </mergeCells>
  <pageMargins left="0.47" right="0.314" top="0.52" bottom="0.157" header="0.18" footer="0.39300000000000002"/>
  <pageSetup paperSize="448" firstPageNumber="78" orientation="portrait" useFirstPageNumber="1" r:id="rId2"/>
  <headerFooter>
    <oddFooter>&amp;C&amp;"Times New Roman,Regular"&amp;8&amp;P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CE110"/>
  <sheetViews>
    <sheetView topLeftCell="J1" zoomScale="150" zoomScaleNormal="150" workbookViewId="0">
      <pane ySplit="6" topLeftCell="A41" activePane="bottomLeft" state="frozen"/>
      <selection activeCell="H48" sqref="H48"/>
      <selection pane="bottomLeft" activeCell="J52" sqref="J52"/>
    </sheetView>
  </sheetViews>
  <sheetFormatPr defaultColWidth="9.140625" defaultRowHeight="11.25"/>
  <cols>
    <col min="1" max="7" width="8.85546875" style="8" customWidth="1"/>
    <col min="8" max="8" width="8.7109375" style="8" customWidth="1"/>
    <col min="9" max="9" width="9.28515625" style="8" customWidth="1"/>
    <col min="10" max="10" width="9" style="8" customWidth="1"/>
    <col min="11" max="11" width="9.5703125" style="8" customWidth="1"/>
    <col min="12" max="13" width="8.5703125" style="8" customWidth="1"/>
    <col min="14" max="14" width="8.85546875" style="8" customWidth="1"/>
    <col min="15" max="15" width="7.85546875" style="8" customWidth="1"/>
    <col min="16" max="16" width="8.42578125" style="8" customWidth="1"/>
    <col min="17" max="17" width="8" style="8" customWidth="1"/>
    <col min="18" max="19" width="9.42578125" style="8" customWidth="1"/>
    <col min="20" max="20" width="9" style="8" customWidth="1"/>
    <col min="21" max="22" width="9.140625" style="8" customWidth="1"/>
    <col min="23" max="23" width="9.7109375" style="8" customWidth="1"/>
    <col min="24" max="24" width="9.85546875" style="8" customWidth="1"/>
    <col min="25" max="25" width="9.140625" style="8"/>
    <col min="26" max="26" width="8.85546875" style="8" customWidth="1"/>
    <col min="27" max="27" width="6.85546875" style="8" customWidth="1"/>
    <col min="28" max="28" width="8.140625" style="8" customWidth="1"/>
    <col min="29" max="29" width="8.5703125" style="8" customWidth="1"/>
    <col min="30" max="30" width="10.28515625" style="8" customWidth="1"/>
    <col min="31" max="31" width="8.7109375" style="8" customWidth="1"/>
    <col min="32" max="32" width="8.5703125" style="8" customWidth="1"/>
    <col min="33" max="33" width="9" style="8" customWidth="1"/>
    <col min="34" max="34" width="9.85546875" style="8" customWidth="1"/>
    <col min="35" max="35" width="8.85546875" style="8" customWidth="1"/>
    <col min="36" max="36" width="9" style="8" customWidth="1"/>
    <col min="37" max="37" width="8.5703125" style="8" customWidth="1"/>
    <col min="38" max="38" width="11.42578125" style="8" customWidth="1"/>
    <col min="39" max="39" width="9.5703125" style="8" customWidth="1"/>
    <col min="40" max="40" width="9.28515625" style="8" customWidth="1"/>
    <col min="41" max="41" width="10.140625" style="8" customWidth="1"/>
    <col min="42" max="42" width="11" style="8" customWidth="1"/>
    <col min="43" max="43" width="9" style="8" customWidth="1"/>
    <col min="44" max="44" width="9.28515625" style="8" bestFit="1" customWidth="1"/>
    <col min="45" max="45" width="10.28515625" style="8" customWidth="1"/>
    <col min="46" max="46" width="9.28515625" style="8" customWidth="1"/>
    <col min="47" max="47" width="9.5703125" style="8" customWidth="1"/>
    <col min="48" max="48" width="10" style="8" customWidth="1"/>
    <col min="49" max="50" width="10.5703125" style="8" customWidth="1"/>
    <col min="51" max="51" width="8.28515625" style="8" customWidth="1"/>
    <col min="52" max="52" width="7.85546875" style="8" customWidth="1"/>
    <col min="53" max="53" width="7.28515625" style="8" customWidth="1"/>
    <col min="54" max="54" width="8.28515625" style="8" customWidth="1"/>
    <col min="55" max="55" width="7.42578125" style="8" customWidth="1"/>
    <col min="56" max="56" width="7.7109375" style="8" customWidth="1"/>
    <col min="57" max="57" width="7.42578125" style="8" customWidth="1"/>
    <col min="58" max="58" width="7.28515625" style="8" customWidth="1"/>
    <col min="59" max="59" width="8" style="8" customWidth="1"/>
    <col min="60" max="60" width="8.42578125" style="8" customWidth="1"/>
    <col min="61" max="61" width="8.7109375" style="8" customWidth="1"/>
    <col min="62" max="62" width="6.28515625" style="8" customWidth="1"/>
    <col min="63" max="64" width="6" style="8" customWidth="1"/>
    <col min="65" max="65" width="7.5703125" style="8" customWidth="1"/>
    <col min="66" max="66" width="5.85546875" style="8" customWidth="1"/>
    <col min="67" max="67" width="6.5703125" style="8" customWidth="1"/>
    <col min="68" max="69" width="6.140625" style="8" customWidth="1"/>
    <col min="70" max="70" width="5.85546875" style="8" customWidth="1"/>
    <col min="71" max="71" width="6.42578125" style="8" customWidth="1"/>
    <col min="72" max="72" width="7.7109375" style="8" customWidth="1"/>
    <col min="73" max="73" width="7.140625" style="8" customWidth="1"/>
    <col min="74" max="74" width="6.28515625" style="8" customWidth="1"/>
    <col min="75" max="75" width="6.5703125" style="8" customWidth="1"/>
    <col min="76" max="76" width="8" style="8" customWidth="1"/>
    <col min="77" max="77" width="5.140625" style="8" customWidth="1"/>
    <col min="78" max="78" width="6.5703125" style="8" customWidth="1"/>
    <col min="79" max="79" width="7.7109375" style="8" customWidth="1"/>
    <col min="80" max="80" width="6.5703125" style="8" customWidth="1"/>
    <col min="81" max="81" width="6.7109375" style="8" customWidth="1"/>
    <col min="82" max="82" width="7.42578125" style="8" customWidth="1"/>
    <col min="83" max="83" width="7.140625" style="8" customWidth="1"/>
    <col min="84" max="16384" width="9.140625" style="8"/>
  </cols>
  <sheetData>
    <row r="1" spans="1:83" s="33" customFormat="1" ht="13.5" customHeight="1">
      <c r="A1" s="33" t="s">
        <v>635</v>
      </c>
      <c r="I1" s="1896" t="s">
        <v>125</v>
      </c>
      <c r="J1" s="1896"/>
      <c r="K1" s="1896"/>
      <c r="L1" s="1896"/>
      <c r="M1" s="1896"/>
      <c r="N1" s="1896"/>
      <c r="O1" s="1896"/>
      <c r="P1" s="1896"/>
      <c r="Q1" s="1896"/>
      <c r="R1" s="212" t="s">
        <v>126</v>
      </c>
      <c r="W1" s="1907" t="s">
        <v>1615</v>
      </c>
      <c r="X1" s="1907"/>
      <c r="Y1" s="1907"/>
      <c r="Z1" s="1506"/>
      <c r="AE1" s="1927" t="s">
        <v>125</v>
      </c>
      <c r="AF1" s="1927"/>
      <c r="AG1" s="1927"/>
      <c r="AH1" s="1927"/>
      <c r="AI1" s="1905" t="s">
        <v>301</v>
      </c>
      <c r="AJ1" s="1881"/>
      <c r="AN1" s="1907" t="s">
        <v>302</v>
      </c>
      <c r="AO1" s="1907"/>
      <c r="AP1" s="1907"/>
      <c r="AQ1" s="213"/>
      <c r="AR1" s="214"/>
      <c r="AS1" s="214"/>
      <c r="AT1" s="214"/>
      <c r="AU1" s="214"/>
      <c r="AV1" s="1921" t="s">
        <v>125</v>
      </c>
      <c r="AW1" s="1921"/>
      <c r="AX1" s="1921"/>
      <c r="AY1" s="1920" t="s">
        <v>301</v>
      </c>
      <c r="AZ1" s="1920"/>
      <c r="BA1" s="1920"/>
      <c r="BB1" s="1920"/>
      <c r="BC1" s="1920"/>
      <c r="BD1" s="1920"/>
      <c r="BE1" s="1920"/>
      <c r="BF1" s="1907" t="s">
        <v>302</v>
      </c>
      <c r="BG1" s="1907"/>
      <c r="BH1" s="1907"/>
      <c r="BJ1" s="1506"/>
      <c r="BK1" s="1506"/>
      <c r="BL1" s="1506"/>
      <c r="BM1" s="1506"/>
      <c r="BN1" s="1506"/>
      <c r="BO1" s="1506"/>
      <c r="BP1" s="1921" t="s">
        <v>125</v>
      </c>
      <c r="BQ1" s="1921"/>
      <c r="BR1" s="1921"/>
      <c r="BS1" s="1921"/>
      <c r="BT1" s="1921"/>
      <c r="BU1" s="1920" t="s">
        <v>301</v>
      </c>
      <c r="BV1" s="1920"/>
      <c r="BW1" s="1920"/>
      <c r="BX1" s="1514"/>
      <c r="BY1" s="1514"/>
      <c r="CB1" s="1514"/>
      <c r="CC1" s="1929" t="s">
        <v>577</v>
      </c>
      <c r="CD1" s="1929"/>
      <c r="CE1" s="1929"/>
    </row>
    <row r="2" spans="1:83" s="39" customFormat="1" ht="11.25" customHeight="1">
      <c r="I2" s="215"/>
      <c r="J2" s="215"/>
      <c r="K2" s="215"/>
      <c r="L2" s="215"/>
      <c r="M2" s="215"/>
      <c r="N2" s="215"/>
      <c r="O2" s="215"/>
      <c r="P2" s="1908" t="s">
        <v>1316</v>
      </c>
      <c r="Q2" s="1908"/>
      <c r="R2" s="39" t="s">
        <v>300</v>
      </c>
      <c r="X2" s="1928" t="s">
        <v>1616</v>
      </c>
      <c r="Y2" s="1928"/>
      <c r="Z2" s="957"/>
      <c r="AF2" s="957"/>
      <c r="AG2" s="1906" t="s">
        <v>1316</v>
      </c>
      <c r="AH2" s="1906"/>
      <c r="AI2" s="39" t="s">
        <v>300</v>
      </c>
      <c r="AN2" s="957"/>
      <c r="AO2" s="1906" t="s">
        <v>24</v>
      </c>
      <c r="AP2" s="1922"/>
      <c r="AQ2" s="216"/>
      <c r="AR2" s="216"/>
      <c r="AS2" s="216"/>
      <c r="AT2" s="216"/>
      <c r="AU2" s="216"/>
      <c r="AV2" s="216"/>
      <c r="AW2" s="1908" t="s">
        <v>1317</v>
      </c>
      <c r="AX2" s="1908"/>
      <c r="AY2" s="1507" t="s">
        <v>300</v>
      </c>
      <c r="AZ2" s="957"/>
      <c r="BA2" s="957"/>
      <c r="BB2" s="957"/>
      <c r="BC2" s="957"/>
      <c r="BD2" s="957"/>
      <c r="BE2" s="957"/>
      <c r="BF2" s="957"/>
      <c r="BG2" s="1906" t="s">
        <v>24</v>
      </c>
      <c r="BH2" s="1922"/>
      <c r="BJ2" s="957"/>
      <c r="BK2" s="957"/>
      <c r="BL2" s="957"/>
      <c r="BM2" s="957"/>
      <c r="BN2" s="957"/>
      <c r="BO2" s="957"/>
      <c r="BP2" s="216"/>
      <c r="BQ2" s="216"/>
      <c r="BS2" s="1939" t="s">
        <v>1318</v>
      </c>
      <c r="BT2" s="1939"/>
      <c r="BU2" s="1931" t="s">
        <v>300</v>
      </c>
      <c r="BV2" s="1931"/>
      <c r="BW2" s="957"/>
      <c r="BX2" s="957"/>
      <c r="BY2" s="957"/>
      <c r="CB2" s="500"/>
      <c r="CC2" s="104"/>
      <c r="CD2" s="1930" t="s">
        <v>24</v>
      </c>
      <c r="CE2" s="1930"/>
    </row>
    <row r="3" spans="1:83" s="227" customFormat="1" ht="24.75" customHeight="1">
      <c r="I3" s="1909" t="s">
        <v>1388</v>
      </c>
      <c r="J3" s="1912" t="s">
        <v>120</v>
      </c>
      <c r="K3" s="1913"/>
      <c r="L3" s="1914"/>
      <c r="M3" s="1900" t="s">
        <v>175</v>
      </c>
      <c r="N3" s="1900" t="s">
        <v>2934</v>
      </c>
      <c r="O3" s="1947" t="s">
        <v>636</v>
      </c>
      <c r="P3" s="1948"/>
      <c r="Q3" s="1949"/>
      <c r="R3" s="1951" t="s">
        <v>176</v>
      </c>
      <c r="S3" s="1951"/>
      <c r="T3" s="1952"/>
      <c r="U3" s="1916" t="s">
        <v>384</v>
      </c>
      <c r="V3" s="1912" t="s">
        <v>124</v>
      </c>
      <c r="W3" s="1913"/>
      <c r="X3" s="1913"/>
      <c r="Y3" s="1914"/>
      <c r="Z3" s="1898" t="s">
        <v>2904</v>
      </c>
      <c r="AA3" s="1897" t="s">
        <v>385</v>
      </c>
      <c r="AB3" s="1897"/>
      <c r="AC3" s="1897"/>
      <c r="AD3" s="1897"/>
      <c r="AE3" s="1918" t="s">
        <v>1279</v>
      </c>
      <c r="AF3" s="1918"/>
      <c r="AG3" s="1918"/>
      <c r="AH3" s="1918"/>
      <c r="AI3" s="1897" t="s">
        <v>386</v>
      </c>
      <c r="AJ3" s="1897"/>
      <c r="AK3" s="1897"/>
      <c r="AL3" s="1897"/>
      <c r="AM3" s="1918" t="s">
        <v>988</v>
      </c>
      <c r="AN3" s="1918"/>
      <c r="AO3" s="1918"/>
      <c r="AP3" s="1918"/>
      <c r="AQ3" s="1924" t="s">
        <v>978</v>
      </c>
      <c r="AR3" s="1897" t="s">
        <v>22</v>
      </c>
      <c r="AS3" s="1897"/>
      <c r="AT3" s="1897"/>
      <c r="AU3" s="1897"/>
      <c r="AV3" s="1897" t="s">
        <v>151</v>
      </c>
      <c r="AW3" s="1897"/>
      <c r="AX3" s="1897"/>
      <c r="AY3" s="1897" t="s">
        <v>1354</v>
      </c>
      <c r="AZ3" s="1897"/>
      <c r="BA3" s="1897"/>
      <c r="BB3" s="1899" t="s">
        <v>281</v>
      </c>
      <c r="BC3" s="1899" t="s">
        <v>767</v>
      </c>
      <c r="BD3" s="1918" t="s">
        <v>658</v>
      </c>
      <c r="BE3" s="1918"/>
      <c r="BF3" s="1918"/>
      <c r="BG3" s="1918"/>
      <c r="BH3" s="1918"/>
      <c r="BI3" s="1909" t="s">
        <v>978</v>
      </c>
      <c r="BJ3" s="1918" t="s">
        <v>130</v>
      </c>
      <c r="BK3" s="1918"/>
      <c r="BL3" s="1918"/>
      <c r="BM3" s="1938"/>
      <c r="BN3" s="1918"/>
      <c r="BO3" s="1899" t="s">
        <v>131</v>
      </c>
      <c r="BP3" s="1943" t="s">
        <v>1995</v>
      </c>
      <c r="BQ3" s="1935"/>
      <c r="BR3" s="1935"/>
      <c r="BS3" s="1935"/>
      <c r="BT3" s="1936"/>
      <c r="BU3" s="1918" t="s">
        <v>188</v>
      </c>
      <c r="BV3" s="1918"/>
      <c r="BW3" s="1918"/>
      <c r="BX3" s="1918"/>
      <c r="BY3" s="1918"/>
      <c r="BZ3" s="1918"/>
      <c r="CA3" s="1918"/>
      <c r="CB3" s="1918"/>
      <c r="CC3" s="1918"/>
      <c r="CD3" s="1918"/>
      <c r="CE3" s="1918"/>
    </row>
    <row r="4" spans="1:83" s="227" customFormat="1" ht="27" customHeight="1">
      <c r="I4" s="1910"/>
      <c r="J4" s="1899" t="s">
        <v>1344</v>
      </c>
      <c r="K4" s="1899" t="s">
        <v>1255</v>
      </c>
      <c r="L4" s="1900" t="s">
        <v>957</v>
      </c>
      <c r="M4" s="1901"/>
      <c r="N4" s="1903"/>
      <c r="O4" s="1900" t="s">
        <v>2935</v>
      </c>
      <c r="P4" s="1900" t="s">
        <v>2936</v>
      </c>
      <c r="Q4" s="1511" t="s">
        <v>121</v>
      </c>
      <c r="R4" s="1953" t="s">
        <v>496</v>
      </c>
      <c r="S4" s="1954"/>
      <c r="T4" s="1915" t="s">
        <v>780</v>
      </c>
      <c r="U4" s="1917"/>
      <c r="V4" s="1900" t="s">
        <v>1871</v>
      </c>
      <c r="W4" s="1900" t="s">
        <v>2903</v>
      </c>
      <c r="X4" s="1900" t="s">
        <v>2902</v>
      </c>
      <c r="Y4" s="1900" t="s">
        <v>2901</v>
      </c>
      <c r="Z4" s="1898"/>
      <c r="AA4" s="1899" t="s">
        <v>187</v>
      </c>
      <c r="AB4" s="1899" t="s">
        <v>178</v>
      </c>
      <c r="AC4" s="1899" t="s">
        <v>177</v>
      </c>
      <c r="AD4" s="1899" t="s">
        <v>653</v>
      </c>
      <c r="AE4" s="1899" t="s">
        <v>980</v>
      </c>
      <c r="AF4" s="1899" t="s">
        <v>179</v>
      </c>
      <c r="AG4" s="1899" t="s">
        <v>981</v>
      </c>
      <c r="AH4" s="1899" t="s">
        <v>654</v>
      </c>
      <c r="AI4" s="1899" t="s">
        <v>982</v>
      </c>
      <c r="AJ4" s="1899" t="s">
        <v>983</v>
      </c>
      <c r="AK4" s="1899" t="s">
        <v>984</v>
      </c>
      <c r="AL4" s="1899" t="s">
        <v>655</v>
      </c>
      <c r="AM4" s="1899" t="s">
        <v>656</v>
      </c>
      <c r="AN4" s="1923" t="s">
        <v>1919</v>
      </c>
      <c r="AO4" s="1899" t="s">
        <v>985</v>
      </c>
      <c r="AP4" s="1899" t="s">
        <v>779</v>
      </c>
      <c r="AQ4" s="1925"/>
      <c r="AR4" s="1899" t="s">
        <v>986</v>
      </c>
      <c r="AS4" s="1899" t="s">
        <v>987</v>
      </c>
      <c r="AT4" s="1899" t="s">
        <v>989</v>
      </c>
      <c r="AU4" s="1899" t="s">
        <v>2937</v>
      </c>
      <c r="AV4" s="1899" t="s">
        <v>23</v>
      </c>
      <c r="AW4" s="1899" t="s">
        <v>1045</v>
      </c>
      <c r="AX4" s="1899" t="s">
        <v>657</v>
      </c>
      <c r="AY4" s="1899" t="s">
        <v>2269</v>
      </c>
      <c r="AZ4" s="1899" t="s">
        <v>1359</v>
      </c>
      <c r="BA4" s="1950" t="s">
        <v>483</v>
      </c>
      <c r="BB4" s="1899"/>
      <c r="BC4" s="1899"/>
      <c r="BD4" s="1950" t="s">
        <v>127</v>
      </c>
      <c r="BE4" s="1950"/>
      <c r="BF4" s="1950" t="s">
        <v>128</v>
      </c>
      <c r="BG4" s="1950"/>
      <c r="BH4" s="1899" t="s">
        <v>1357</v>
      </c>
      <c r="BI4" s="1910"/>
      <c r="BJ4" s="1899" t="s">
        <v>133</v>
      </c>
      <c r="BK4" s="1899" t="s">
        <v>134</v>
      </c>
      <c r="BL4" s="1942" t="s">
        <v>182</v>
      </c>
      <c r="BM4" s="1900" t="s">
        <v>139</v>
      </c>
      <c r="BN4" s="1900" t="s">
        <v>1371</v>
      </c>
      <c r="BO4" s="1899"/>
      <c r="BP4" s="1942" t="s">
        <v>1996</v>
      </c>
      <c r="BQ4" s="1944"/>
      <c r="BR4" s="1944"/>
      <c r="BS4" s="1945"/>
      <c r="BT4" s="1940" t="s">
        <v>2013</v>
      </c>
      <c r="BU4" s="1932" t="s">
        <v>801</v>
      </c>
      <c r="BV4" s="1932" t="s">
        <v>2011</v>
      </c>
      <c r="BW4" s="1932" t="s">
        <v>2012</v>
      </c>
      <c r="BX4" s="1937" t="s">
        <v>1016</v>
      </c>
      <c r="BY4" s="1902" t="s">
        <v>135</v>
      </c>
      <c r="BZ4" s="1934" t="s">
        <v>1918</v>
      </c>
      <c r="CA4" s="1935"/>
      <c r="CB4" s="1936"/>
      <c r="CC4" s="1934" t="s">
        <v>1235</v>
      </c>
      <c r="CD4" s="1935"/>
      <c r="CE4" s="1936"/>
    </row>
    <row r="5" spans="1:83" s="227" customFormat="1" ht="45.6" customHeight="1">
      <c r="H5" s="172"/>
      <c r="I5" s="1910"/>
      <c r="J5" s="1899"/>
      <c r="K5" s="1899"/>
      <c r="L5" s="1902"/>
      <c r="M5" s="1902"/>
      <c r="N5" s="1904"/>
      <c r="O5" s="1902"/>
      <c r="P5" s="1902"/>
      <c r="Q5" s="1772" t="s">
        <v>2906</v>
      </c>
      <c r="R5" s="1772" t="s">
        <v>2905</v>
      </c>
      <c r="S5" s="1504" t="s">
        <v>979</v>
      </c>
      <c r="T5" s="1899"/>
      <c r="U5" s="1917"/>
      <c r="V5" s="1902"/>
      <c r="W5" s="1902"/>
      <c r="X5" s="1902"/>
      <c r="Y5" s="1902"/>
      <c r="Z5" s="1898"/>
      <c r="AA5" s="1899"/>
      <c r="AB5" s="1899"/>
      <c r="AC5" s="1899"/>
      <c r="AD5" s="1899"/>
      <c r="AE5" s="1899"/>
      <c r="AF5" s="1899"/>
      <c r="AG5" s="1899"/>
      <c r="AH5" s="1899"/>
      <c r="AI5" s="1899"/>
      <c r="AJ5" s="1899"/>
      <c r="AK5" s="1899"/>
      <c r="AL5" s="1899"/>
      <c r="AM5" s="1899"/>
      <c r="AN5" s="1923"/>
      <c r="AO5" s="1899"/>
      <c r="AP5" s="1899"/>
      <c r="AQ5" s="1925"/>
      <c r="AR5" s="1899"/>
      <c r="AS5" s="1899"/>
      <c r="AT5" s="1899"/>
      <c r="AU5" s="1899"/>
      <c r="AV5" s="1899"/>
      <c r="AW5" s="1899"/>
      <c r="AX5" s="1899"/>
      <c r="AY5" s="1899"/>
      <c r="AZ5" s="1899"/>
      <c r="BA5" s="1950"/>
      <c r="BB5" s="1899"/>
      <c r="BC5" s="1899"/>
      <c r="BD5" s="1512" t="s">
        <v>1358</v>
      </c>
      <c r="BE5" s="1505" t="s">
        <v>181</v>
      </c>
      <c r="BF5" s="1512" t="s">
        <v>129</v>
      </c>
      <c r="BG5" s="1505" t="s">
        <v>181</v>
      </c>
      <c r="BH5" s="1899"/>
      <c r="BI5" s="1910"/>
      <c r="BJ5" s="1899"/>
      <c r="BK5" s="1899"/>
      <c r="BL5" s="1942"/>
      <c r="BM5" s="1902"/>
      <c r="BN5" s="1902"/>
      <c r="BO5" s="1899"/>
      <c r="BP5" s="1510" t="s">
        <v>1997</v>
      </c>
      <c r="BQ5" s="1044" t="s">
        <v>142</v>
      </c>
      <c r="BR5" s="1510" t="s">
        <v>143</v>
      </c>
      <c r="BS5" s="1510" t="s">
        <v>859</v>
      </c>
      <c r="BT5" s="1941"/>
      <c r="BU5" s="1933"/>
      <c r="BV5" s="1933"/>
      <c r="BW5" s="1933"/>
      <c r="BX5" s="1932"/>
      <c r="BY5" s="1899"/>
      <c r="BZ5" s="1508" t="s">
        <v>136</v>
      </c>
      <c r="CA5" s="1509" t="s">
        <v>137</v>
      </c>
      <c r="CB5" s="1509" t="s">
        <v>1998</v>
      </c>
      <c r="CC5" s="1509" t="s">
        <v>136</v>
      </c>
      <c r="CD5" s="1509" t="s">
        <v>137</v>
      </c>
      <c r="CE5" s="1509" t="s">
        <v>1999</v>
      </c>
    </row>
    <row r="6" spans="1:83" s="132" customFormat="1" ht="13.5" customHeight="1">
      <c r="I6" s="1911"/>
      <c r="J6" s="131">
        <v>1</v>
      </c>
      <c r="K6" s="131">
        <v>2</v>
      </c>
      <c r="L6" s="131">
        <v>3</v>
      </c>
      <c r="M6" s="131">
        <v>4</v>
      </c>
      <c r="N6" s="131">
        <v>5</v>
      </c>
      <c r="O6" s="131">
        <v>6</v>
      </c>
      <c r="P6" s="131">
        <v>7</v>
      </c>
      <c r="Q6" s="131">
        <v>8</v>
      </c>
      <c r="R6" s="131">
        <v>9</v>
      </c>
      <c r="S6" s="131">
        <v>10</v>
      </c>
      <c r="T6" s="131">
        <v>11</v>
      </c>
      <c r="U6" s="131">
        <v>12</v>
      </c>
      <c r="V6" s="131">
        <v>13</v>
      </c>
      <c r="W6" s="131">
        <v>14</v>
      </c>
      <c r="X6" s="131">
        <v>15</v>
      </c>
      <c r="Y6" s="131">
        <v>16</v>
      </c>
      <c r="Z6" s="1898"/>
      <c r="AA6" s="131">
        <v>17</v>
      </c>
      <c r="AB6" s="131">
        <v>18</v>
      </c>
      <c r="AC6" s="131">
        <v>19</v>
      </c>
      <c r="AD6" s="131">
        <v>20</v>
      </c>
      <c r="AE6" s="131">
        <v>21</v>
      </c>
      <c r="AF6" s="131">
        <v>22</v>
      </c>
      <c r="AG6" s="131">
        <v>23</v>
      </c>
      <c r="AH6" s="131">
        <v>24</v>
      </c>
      <c r="AI6" s="131">
        <v>25</v>
      </c>
      <c r="AJ6" s="131">
        <v>26</v>
      </c>
      <c r="AK6" s="131">
        <v>27</v>
      </c>
      <c r="AL6" s="131">
        <v>28</v>
      </c>
      <c r="AM6" s="131">
        <v>29</v>
      </c>
      <c r="AN6" s="131">
        <v>30</v>
      </c>
      <c r="AO6" s="131">
        <v>31</v>
      </c>
      <c r="AP6" s="131">
        <v>32</v>
      </c>
      <c r="AQ6" s="1926"/>
      <c r="AR6" s="131">
        <v>33</v>
      </c>
      <c r="AS6" s="131">
        <v>34</v>
      </c>
      <c r="AT6" s="131">
        <v>35</v>
      </c>
      <c r="AU6" s="131">
        <v>36</v>
      </c>
      <c r="AV6" s="131">
        <v>37</v>
      </c>
      <c r="AW6" s="131">
        <v>38</v>
      </c>
      <c r="AX6" s="131">
        <v>39</v>
      </c>
      <c r="AY6" s="131">
        <v>40</v>
      </c>
      <c r="AZ6" s="131">
        <v>41</v>
      </c>
      <c r="BA6" s="131">
        <v>42</v>
      </c>
      <c r="BB6" s="131">
        <v>43</v>
      </c>
      <c r="BC6" s="131">
        <v>44</v>
      </c>
      <c r="BD6" s="131">
        <v>45</v>
      </c>
      <c r="BE6" s="131">
        <v>46</v>
      </c>
      <c r="BF6" s="131">
        <v>47</v>
      </c>
      <c r="BG6" s="131">
        <v>48</v>
      </c>
      <c r="BH6" s="131">
        <v>49</v>
      </c>
      <c r="BI6" s="1911"/>
      <c r="BJ6" s="1515">
        <v>50</v>
      </c>
      <c r="BK6" s="1515">
        <v>51</v>
      </c>
      <c r="BL6" s="1515">
        <v>52</v>
      </c>
      <c r="BM6" s="1515">
        <v>53</v>
      </c>
      <c r="BN6" s="1515">
        <v>54</v>
      </c>
      <c r="BO6" s="1515">
        <v>55</v>
      </c>
      <c r="BP6" s="1515">
        <v>56</v>
      </c>
      <c r="BQ6" s="1515">
        <v>57</v>
      </c>
      <c r="BR6" s="1515">
        <v>58</v>
      </c>
      <c r="BS6" s="1515">
        <v>59</v>
      </c>
      <c r="BT6" s="1515">
        <v>60</v>
      </c>
      <c r="BU6" s="1515">
        <v>61</v>
      </c>
      <c r="BV6" s="1515">
        <v>62</v>
      </c>
      <c r="BW6" s="1515">
        <v>63</v>
      </c>
      <c r="BX6" s="1515">
        <v>64</v>
      </c>
      <c r="BY6" s="1515">
        <v>65</v>
      </c>
      <c r="BZ6" s="1515">
        <v>66</v>
      </c>
      <c r="CA6" s="1515">
        <v>67</v>
      </c>
      <c r="CB6" s="131">
        <v>68</v>
      </c>
      <c r="CC6" s="1515">
        <v>69</v>
      </c>
      <c r="CD6" s="131">
        <v>70</v>
      </c>
      <c r="CE6" s="1515">
        <v>71</v>
      </c>
    </row>
    <row r="7" spans="1:83" s="908" customFormat="1" ht="11.45" customHeight="1">
      <c r="I7" s="297" t="s">
        <v>190</v>
      </c>
      <c r="J7" s="293">
        <v>59915.5</v>
      </c>
      <c r="K7" s="293">
        <v>611.4</v>
      </c>
      <c r="L7" s="299">
        <v>60526.9</v>
      </c>
      <c r="M7" s="293">
        <v>5731.8</v>
      </c>
      <c r="N7" s="299">
        <v>54795.1</v>
      </c>
      <c r="O7" s="293">
        <v>9482</v>
      </c>
      <c r="P7" s="293">
        <v>24919.8</v>
      </c>
      <c r="Q7" s="293">
        <v>48106.2</v>
      </c>
      <c r="R7" s="293">
        <v>337418.9</v>
      </c>
      <c r="S7" s="298">
        <v>385525.10000000003</v>
      </c>
      <c r="T7" s="293">
        <v>410444.9</v>
      </c>
      <c r="U7" s="293">
        <v>199.8</v>
      </c>
      <c r="V7" s="293">
        <v>89734.400000000009</v>
      </c>
      <c r="W7" s="293">
        <v>103101.09999999999</v>
      </c>
      <c r="X7" s="293">
        <v>440520</v>
      </c>
      <c r="Y7" s="293">
        <v>510456.39999999997</v>
      </c>
      <c r="Z7" s="297" t="s">
        <v>190</v>
      </c>
      <c r="AA7" s="293">
        <v>0</v>
      </c>
      <c r="AB7" s="293">
        <v>13830.7</v>
      </c>
      <c r="AC7" s="293">
        <v>312803.5</v>
      </c>
      <c r="AD7" s="293">
        <v>326634.2</v>
      </c>
      <c r="AE7" s="293">
        <v>0</v>
      </c>
      <c r="AF7" s="293">
        <v>4371.8999999999996</v>
      </c>
      <c r="AG7" s="293">
        <v>16670.400000000001</v>
      </c>
      <c r="AH7" s="293">
        <v>21042.300000000003</v>
      </c>
      <c r="AI7" s="293">
        <v>3080.3</v>
      </c>
      <c r="AJ7" s="293">
        <v>66704</v>
      </c>
      <c r="AK7" s="293">
        <v>8095.2</v>
      </c>
      <c r="AL7" s="293">
        <v>74799.199999999997</v>
      </c>
      <c r="AM7" s="293">
        <v>3080.3</v>
      </c>
      <c r="AN7" s="293">
        <v>84906.6</v>
      </c>
      <c r="AO7" s="293">
        <v>337569.10000000003</v>
      </c>
      <c r="AP7" s="293">
        <v>422475.7</v>
      </c>
      <c r="AQ7" s="297" t="s">
        <v>190</v>
      </c>
      <c r="AR7" s="293">
        <v>1959.3</v>
      </c>
      <c r="AS7" s="293">
        <v>17833.400000000001</v>
      </c>
      <c r="AT7" s="293">
        <v>3960.3</v>
      </c>
      <c r="AU7" s="293">
        <v>2329.1999999999998</v>
      </c>
      <c r="AV7" s="293">
        <v>410470.7</v>
      </c>
      <c r="AW7" s="293">
        <v>5461.7</v>
      </c>
      <c r="AX7" s="293">
        <v>415932.4</v>
      </c>
      <c r="AY7" s="293">
        <v>24955.944</v>
      </c>
      <c r="AZ7" s="288">
        <v>4051.7560000000012</v>
      </c>
      <c r="BA7" s="299">
        <v>29007.7</v>
      </c>
      <c r="BB7" s="293">
        <v>1087850.3</v>
      </c>
      <c r="BC7" s="299">
        <v>89534.6</v>
      </c>
      <c r="BD7" s="293">
        <v>10732.9</v>
      </c>
      <c r="BE7" s="293">
        <v>20625.2</v>
      </c>
      <c r="BF7" s="293">
        <v>2591</v>
      </c>
      <c r="BG7" s="293">
        <v>63715.1</v>
      </c>
      <c r="BH7" s="293">
        <v>97664.2</v>
      </c>
      <c r="BI7" s="297" t="s">
        <v>190</v>
      </c>
      <c r="BJ7" s="300">
        <v>34.89</v>
      </c>
      <c r="BK7" s="300">
        <v>28.72</v>
      </c>
      <c r="BL7" s="300">
        <v>25.84</v>
      </c>
      <c r="BM7" s="300">
        <v>27.41</v>
      </c>
      <c r="BN7" s="300">
        <v>21.34</v>
      </c>
      <c r="BO7" s="300">
        <v>2.08</v>
      </c>
      <c r="BP7" s="301">
        <v>3414</v>
      </c>
      <c r="BQ7" s="298">
        <v>1388</v>
      </c>
      <c r="BR7" s="298">
        <v>2847</v>
      </c>
      <c r="BS7" s="301">
        <v>63</v>
      </c>
      <c r="BT7" s="301">
        <v>7712</v>
      </c>
      <c r="BU7" s="300">
        <v>102.92469109244581</v>
      </c>
      <c r="BV7" s="300">
        <v>53.224935165975104</v>
      </c>
      <c r="BW7" s="300">
        <v>54.781600103734441</v>
      </c>
      <c r="BX7" s="300">
        <v>8.4633324619759698</v>
      </c>
      <c r="BY7" s="300">
        <v>5</v>
      </c>
      <c r="BZ7" s="300">
        <v>7.27</v>
      </c>
      <c r="CA7" s="300">
        <v>12.42</v>
      </c>
      <c r="CB7" s="292">
        <f t="shared" ref="CB7:CB9" si="0">CA7-BZ7</f>
        <v>5.15</v>
      </c>
      <c r="CC7" s="288" t="s">
        <v>295</v>
      </c>
      <c r="CD7" s="498" t="s">
        <v>295</v>
      </c>
      <c r="CE7" s="499" t="s">
        <v>295</v>
      </c>
    </row>
    <row r="8" spans="1:83" s="27" customFormat="1" ht="11.45" customHeight="1">
      <c r="I8" s="508" t="s">
        <v>862</v>
      </c>
      <c r="J8" s="54">
        <v>64200.7</v>
      </c>
      <c r="K8" s="54">
        <v>695.8</v>
      </c>
      <c r="L8" s="235">
        <v>64896.5</v>
      </c>
      <c r="M8" s="54">
        <v>6479.4</v>
      </c>
      <c r="N8" s="235">
        <v>58417.1</v>
      </c>
      <c r="O8" s="54">
        <v>11992.2</v>
      </c>
      <c r="P8" s="54">
        <v>31574.2</v>
      </c>
      <c r="Q8" s="54">
        <v>51060.4</v>
      </c>
      <c r="R8" s="54">
        <v>407388.1</v>
      </c>
      <c r="S8" s="27">
        <v>458448.5</v>
      </c>
      <c r="T8" s="54">
        <v>490022.7</v>
      </c>
      <c r="U8" s="54">
        <v>243.9</v>
      </c>
      <c r="V8" s="54">
        <v>97802.7</v>
      </c>
      <c r="W8" s="54">
        <v>109721.4</v>
      </c>
      <c r="X8" s="54">
        <v>517109.5</v>
      </c>
      <c r="Y8" s="54">
        <v>589840.4</v>
      </c>
      <c r="Z8" s="508" t="s">
        <v>862</v>
      </c>
      <c r="AA8" s="54">
        <v>0</v>
      </c>
      <c r="AB8" s="54">
        <v>14190.3</v>
      </c>
      <c r="AC8" s="54">
        <v>373614.6</v>
      </c>
      <c r="AD8" s="54">
        <v>387804.89999999997</v>
      </c>
      <c r="AE8" s="54">
        <v>0</v>
      </c>
      <c r="AF8" s="54">
        <v>2534.6999999999998</v>
      </c>
      <c r="AG8" s="54">
        <v>21317.5</v>
      </c>
      <c r="AH8" s="54">
        <v>23852.2</v>
      </c>
      <c r="AI8" s="54">
        <v>5173</v>
      </c>
      <c r="AJ8" s="54">
        <v>86057.1</v>
      </c>
      <c r="AK8" s="54">
        <v>9370.7999999999993</v>
      </c>
      <c r="AL8" s="54">
        <v>95427.900000000009</v>
      </c>
      <c r="AM8" s="54">
        <v>5173</v>
      </c>
      <c r="AN8" s="54">
        <v>102782.1</v>
      </c>
      <c r="AO8" s="54">
        <v>404302.89999999997</v>
      </c>
      <c r="AP8" s="54">
        <v>507085</v>
      </c>
      <c r="AQ8" s="508" t="s">
        <v>862</v>
      </c>
      <c r="AR8" s="54">
        <v>2320</v>
      </c>
      <c r="AS8" s="54">
        <v>21671.599999999999</v>
      </c>
      <c r="AT8" s="54">
        <v>9197</v>
      </c>
      <c r="AU8" s="54">
        <v>3377.7</v>
      </c>
      <c r="AV8" s="54">
        <v>490038.80000000005</v>
      </c>
      <c r="AW8" s="54">
        <v>7141.5</v>
      </c>
      <c r="AX8" s="54">
        <v>497180.30000000005</v>
      </c>
      <c r="AY8" s="54">
        <v>29830.818000000003</v>
      </c>
      <c r="AZ8" s="229">
        <v>2831.4819999999963</v>
      </c>
      <c r="BA8" s="235">
        <v>32662.3</v>
      </c>
      <c r="BB8" s="54">
        <v>1296703.2</v>
      </c>
      <c r="BC8" s="235">
        <v>97558.8</v>
      </c>
      <c r="BD8" s="54">
        <v>9829.8000000000011</v>
      </c>
      <c r="BE8" s="54">
        <v>27482.100000000002</v>
      </c>
      <c r="BF8" s="54">
        <v>3379.1</v>
      </c>
      <c r="BG8" s="54">
        <v>82057.899999999994</v>
      </c>
      <c r="BH8" s="54">
        <v>122748.9</v>
      </c>
      <c r="BI8" s="508" t="s">
        <v>862</v>
      </c>
      <c r="BJ8" s="28">
        <v>25.15</v>
      </c>
      <c r="BK8" s="28">
        <v>-5.01</v>
      </c>
      <c r="BL8" s="28">
        <v>19.72</v>
      </c>
      <c r="BM8" s="28">
        <v>19.53</v>
      </c>
      <c r="BN8" s="28">
        <v>17.39</v>
      </c>
      <c r="BO8" s="28">
        <v>2.04</v>
      </c>
      <c r="BP8" s="141">
        <v>3449</v>
      </c>
      <c r="BQ8" s="27">
        <v>1417</v>
      </c>
      <c r="BR8" s="27">
        <v>3130</v>
      </c>
      <c r="BS8" s="141">
        <v>63</v>
      </c>
      <c r="BT8" s="141">
        <v>8059</v>
      </c>
      <c r="BU8" s="28">
        <v>103.47854088288517</v>
      </c>
      <c r="BV8" s="28">
        <v>60.806402779501184</v>
      </c>
      <c r="BW8" s="28">
        <v>62.921578359597966</v>
      </c>
      <c r="BX8" s="28">
        <v>7.9874695636345514</v>
      </c>
      <c r="BY8" s="28">
        <v>5</v>
      </c>
      <c r="BZ8" s="28">
        <v>8.15</v>
      </c>
      <c r="CA8" s="28">
        <v>13.75</v>
      </c>
      <c r="CB8" s="25">
        <f t="shared" si="0"/>
        <v>5.6</v>
      </c>
      <c r="CC8" s="229" t="s">
        <v>295</v>
      </c>
      <c r="CD8" s="509" t="s">
        <v>295</v>
      </c>
      <c r="CE8" s="227" t="s">
        <v>295</v>
      </c>
    </row>
    <row r="9" spans="1:83" s="27" customFormat="1" ht="11.45" customHeight="1">
      <c r="I9" s="297" t="s">
        <v>840</v>
      </c>
      <c r="J9" s="293">
        <v>74633.600000000006</v>
      </c>
      <c r="K9" s="293">
        <v>738.7</v>
      </c>
      <c r="L9" s="299">
        <v>75372.3</v>
      </c>
      <c r="M9" s="293">
        <v>7819.4</v>
      </c>
      <c r="N9" s="299">
        <v>67552.899999999994</v>
      </c>
      <c r="O9" s="293">
        <v>16749.2</v>
      </c>
      <c r="P9" s="293">
        <v>37251.699999999997</v>
      </c>
      <c r="Q9" s="293">
        <v>55736.5</v>
      </c>
      <c r="R9" s="293">
        <v>479902.3</v>
      </c>
      <c r="S9" s="298">
        <v>535638.80000000005</v>
      </c>
      <c r="T9" s="293">
        <v>572890.5</v>
      </c>
      <c r="U9" s="293">
        <v>313.7</v>
      </c>
      <c r="V9" s="293">
        <v>112489.39999999998</v>
      </c>
      <c r="W9" s="293">
        <v>123603.09999999999</v>
      </c>
      <c r="X9" s="293">
        <v>603505.4</v>
      </c>
      <c r="Y9" s="293">
        <v>680182.9</v>
      </c>
      <c r="Z9" s="297" t="s">
        <v>840</v>
      </c>
      <c r="AA9" s="293">
        <v>0</v>
      </c>
      <c r="AB9" s="293">
        <v>10424.6</v>
      </c>
      <c r="AC9" s="293">
        <v>417890.5</v>
      </c>
      <c r="AD9" s="293">
        <v>428315.1</v>
      </c>
      <c r="AE9" s="293">
        <v>0</v>
      </c>
      <c r="AF9" s="293">
        <v>939.6</v>
      </c>
      <c r="AG9" s="293">
        <v>18961.2</v>
      </c>
      <c r="AH9" s="293">
        <v>19900.8</v>
      </c>
      <c r="AI9" s="293">
        <v>6677.8</v>
      </c>
      <c r="AJ9" s="293">
        <v>123736.6</v>
      </c>
      <c r="AK9" s="293">
        <v>11125.2</v>
      </c>
      <c r="AL9" s="293">
        <v>134861.80000000002</v>
      </c>
      <c r="AM9" s="293">
        <v>6677.8</v>
      </c>
      <c r="AN9" s="293">
        <v>135100.80000000002</v>
      </c>
      <c r="AO9" s="293">
        <v>447976.9</v>
      </c>
      <c r="AP9" s="293">
        <v>583077.69999999995</v>
      </c>
      <c r="AQ9" s="297" t="s">
        <v>840</v>
      </c>
      <c r="AR9" s="293">
        <v>9784.5</v>
      </c>
      <c r="AS9" s="293">
        <v>9441.9</v>
      </c>
      <c r="AT9" s="293">
        <v>9640.7999999999993</v>
      </c>
      <c r="AU9" s="293">
        <v>147</v>
      </c>
      <c r="AV9" s="293">
        <v>572957.5</v>
      </c>
      <c r="AW9" s="293">
        <v>6509</v>
      </c>
      <c r="AX9" s="293">
        <v>579466.5</v>
      </c>
      <c r="AY9" s="293">
        <v>34767.99</v>
      </c>
      <c r="AZ9" s="288">
        <v>2035.4100000000035</v>
      </c>
      <c r="BA9" s="299">
        <v>36803.4</v>
      </c>
      <c r="BB9" s="293">
        <v>1462258.7</v>
      </c>
      <c r="BC9" s="299">
        <v>112175.70000000001</v>
      </c>
      <c r="BD9" s="293">
        <v>9204.5</v>
      </c>
      <c r="BE9" s="293">
        <v>21263.200000000001</v>
      </c>
      <c r="BF9" s="293">
        <v>3720.1000000000004</v>
      </c>
      <c r="BG9" s="293">
        <v>123280</v>
      </c>
      <c r="BH9" s="293">
        <v>157467.79999999999</v>
      </c>
      <c r="BI9" s="297" t="s">
        <v>840</v>
      </c>
      <c r="BJ9" s="300">
        <v>19.91</v>
      </c>
      <c r="BK9" s="300">
        <v>9.06</v>
      </c>
      <c r="BL9" s="300">
        <v>10.85</v>
      </c>
      <c r="BM9" s="300">
        <v>12.4</v>
      </c>
      <c r="BN9" s="300">
        <v>16.71</v>
      </c>
      <c r="BO9" s="300">
        <v>1.99</v>
      </c>
      <c r="BP9" s="301">
        <v>3499</v>
      </c>
      <c r="BQ9" s="298">
        <v>1476</v>
      </c>
      <c r="BR9" s="298">
        <v>3386</v>
      </c>
      <c r="BS9" s="301">
        <v>66</v>
      </c>
      <c r="BT9" s="301">
        <v>8427</v>
      </c>
      <c r="BU9" s="300">
        <v>101.76630901942988</v>
      </c>
      <c r="BV9" s="300">
        <v>67.990684703927855</v>
      </c>
      <c r="BW9" s="300">
        <v>69.191610300225463</v>
      </c>
      <c r="BX9" s="300">
        <v>7.7881518262698375</v>
      </c>
      <c r="BY9" s="300">
        <v>5</v>
      </c>
      <c r="BZ9" s="300">
        <v>8.5399999999999991</v>
      </c>
      <c r="CA9" s="300">
        <v>13.67</v>
      </c>
      <c r="CB9" s="292">
        <f t="shared" si="0"/>
        <v>5.1300000000000008</v>
      </c>
      <c r="CC9" s="290">
        <v>14.21</v>
      </c>
      <c r="CD9" s="292">
        <v>17.440000000000001</v>
      </c>
      <c r="CE9" s="292">
        <f>CD9-CC9</f>
        <v>3.2300000000000004</v>
      </c>
    </row>
    <row r="10" spans="1:83" s="255" customFormat="1" ht="11.45" customHeight="1">
      <c r="I10" s="228" t="s">
        <v>1019</v>
      </c>
      <c r="J10" s="230">
        <v>84714.1</v>
      </c>
      <c r="K10" s="230">
        <v>771.1</v>
      </c>
      <c r="L10" s="230">
        <v>85485.200000000012</v>
      </c>
      <c r="M10" s="230">
        <v>8576.7999999999993</v>
      </c>
      <c r="N10" s="230">
        <v>76908.400000000009</v>
      </c>
      <c r="O10" s="230">
        <v>14653.7</v>
      </c>
      <c r="P10" s="230">
        <v>39217.699999999997</v>
      </c>
      <c r="Q10" s="230">
        <v>64344.3</v>
      </c>
      <c r="R10" s="230">
        <v>558978.4</v>
      </c>
      <c r="S10" s="230">
        <v>623322.70000000007</v>
      </c>
      <c r="T10" s="230">
        <v>662540.4</v>
      </c>
      <c r="U10" s="230">
        <v>392.4</v>
      </c>
      <c r="V10" s="230">
        <v>129875.29999999999</v>
      </c>
      <c r="W10" s="230">
        <v>141645.1</v>
      </c>
      <c r="X10" s="230">
        <v>700623.5</v>
      </c>
      <c r="Y10" s="230">
        <v>792445.3</v>
      </c>
      <c r="Z10" s="228" t="s">
        <v>1019</v>
      </c>
      <c r="AA10" s="230">
        <v>0</v>
      </c>
      <c r="AB10" s="230">
        <v>12682.9</v>
      </c>
      <c r="AC10" s="230">
        <v>472716.79999999999</v>
      </c>
      <c r="AD10" s="230">
        <v>485399.7</v>
      </c>
      <c r="AE10" s="230">
        <v>0</v>
      </c>
      <c r="AF10" s="230">
        <v>1119.4000000000001</v>
      </c>
      <c r="AG10" s="230">
        <v>18229.8</v>
      </c>
      <c r="AH10" s="230">
        <v>19349.2</v>
      </c>
      <c r="AI10" s="230">
        <v>7694</v>
      </c>
      <c r="AJ10" s="230">
        <v>152996.79999999999</v>
      </c>
      <c r="AK10" s="230">
        <v>12420.6</v>
      </c>
      <c r="AL10" s="230">
        <v>165417.4</v>
      </c>
      <c r="AM10" s="230">
        <v>7694</v>
      </c>
      <c r="AN10" s="230">
        <v>166799.09999999998</v>
      </c>
      <c r="AO10" s="230">
        <v>503367.19999999995</v>
      </c>
      <c r="AP10" s="230">
        <v>670166.30000000005</v>
      </c>
      <c r="AQ10" s="228" t="s">
        <v>1019</v>
      </c>
      <c r="AR10" s="230">
        <v>5706.9</v>
      </c>
      <c r="AS10" s="230">
        <v>5526.6</v>
      </c>
      <c r="AT10" s="230">
        <v>9945.7000000000007</v>
      </c>
      <c r="AU10" s="230">
        <v>26.2</v>
      </c>
      <c r="AV10" s="230">
        <v>662559.30000000005</v>
      </c>
      <c r="AW10" s="230">
        <v>6612.1</v>
      </c>
      <c r="AX10" s="230">
        <v>669171.4</v>
      </c>
      <c r="AY10" s="230">
        <v>43496.141000000003</v>
      </c>
      <c r="AZ10" s="230">
        <v>501.55899999999383</v>
      </c>
      <c r="BA10" s="230">
        <v>43997.7</v>
      </c>
      <c r="BB10" s="230">
        <v>1689948.5</v>
      </c>
      <c r="BC10" s="230">
        <v>129482.90000000001</v>
      </c>
      <c r="BD10" s="230">
        <v>78.099999999999994</v>
      </c>
      <c r="BE10" s="230">
        <v>16886.2</v>
      </c>
      <c r="BF10" s="230">
        <v>2769.5</v>
      </c>
      <c r="BG10" s="230">
        <v>152495.40000000002</v>
      </c>
      <c r="BH10" s="230">
        <v>172229.2</v>
      </c>
      <c r="BI10" s="228" t="s">
        <v>1019</v>
      </c>
      <c r="BJ10" s="256">
        <v>6.72</v>
      </c>
      <c r="BK10" s="256">
        <v>34.71</v>
      </c>
      <c r="BL10" s="256">
        <v>12.27</v>
      </c>
      <c r="BM10" s="256">
        <v>11.57</v>
      </c>
      <c r="BN10" s="256">
        <v>15.46</v>
      </c>
      <c r="BO10" s="28">
        <v>1.92</v>
      </c>
      <c r="BP10" s="382">
        <v>3536</v>
      </c>
      <c r="BQ10" s="255">
        <v>1496</v>
      </c>
      <c r="BR10" s="255">
        <v>3692</v>
      </c>
      <c r="BS10" s="382">
        <v>70</v>
      </c>
      <c r="BT10" s="382">
        <v>8794</v>
      </c>
      <c r="BU10" s="256">
        <v>101.14812364719657</v>
      </c>
      <c r="BV10" s="256">
        <v>75.342199226745507</v>
      </c>
      <c r="BW10" s="256">
        <v>76.20722083238573</v>
      </c>
      <c r="BX10" s="256">
        <v>7.9350633218792641</v>
      </c>
      <c r="BY10" s="256">
        <v>5</v>
      </c>
      <c r="BZ10" s="256">
        <v>7.79</v>
      </c>
      <c r="CA10" s="256">
        <v>13.1</v>
      </c>
      <c r="CB10" s="256">
        <v>5.31</v>
      </c>
      <c r="CC10" s="256">
        <v>12.52</v>
      </c>
      <c r="CD10" s="256">
        <v>16.899999999999999</v>
      </c>
      <c r="CE10" s="256">
        <v>4.38</v>
      </c>
    </row>
    <row r="11" spans="1:83" s="255" customFormat="1" ht="11.45" customHeight="1">
      <c r="I11" s="287" t="s">
        <v>1070</v>
      </c>
      <c r="J11" s="463">
        <v>97361.5</v>
      </c>
      <c r="K11" s="463">
        <v>792.4</v>
      </c>
      <c r="L11" s="463">
        <v>98153.9</v>
      </c>
      <c r="M11" s="463">
        <v>10213.1</v>
      </c>
      <c r="N11" s="463">
        <v>87940.799999999988</v>
      </c>
      <c r="O11" s="463">
        <v>13317.8</v>
      </c>
      <c r="P11" s="463">
        <v>47116.6</v>
      </c>
      <c r="Q11" s="463">
        <v>72383.7</v>
      </c>
      <c r="R11" s="463">
        <v>626799.9</v>
      </c>
      <c r="S11" s="463">
        <v>699183.6</v>
      </c>
      <c r="T11" s="463">
        <v>746300.2</v>
      </c>
      <c r="U11" s="463">
        <v>489.7</v>
      </c>
      <c r="V11" s="463">
        <v>148482.50000000003</v>
      </c>
      <c r="W11" s="463">
        <v>160814.20000000001</v>
      </c>
      <c r="X11" s="463">
        <v>787614.10000000009</v>
      </c>
      <c r="Y11" s="463">
        <v>910049</v>
      </c>
      <c r="Z11" s="287" t="s">
        <v>1070</v>
      </c>
      <c r="AA11" s="289">
        <v>0</v>
      </c>
      <c r="AB11" s="289">
        <v>15343.1</v>
      </c>
      <c r="AC11" s="289">
        <v>537605.1</v>
      </c>
      <c r="AD11" s="289">
        <v>552948.19999999995</v>
      </c>
      <c r="AE11" s="289">
        <v>0</v>
      </c>
      <c r="AF11" s="289">
        <v>1250.4000000000001</v>
      </c>
      <c r="AG11" s="289">
        <v>18779.3</v>
      </c>
      <c r="AH11" s="289">
        <v>20029.7</v>
      </c>
      <c r="AI11" s="289">
        <v>7130.6</v>
      </c>
      <c r="AJ11" s="289">
        <v>157018.4</v>
      </c>
      <c r="AK11" s="289">
        <v>13569.3</v>
      </c>
      <c r="AL11" s="289">
        <v>170587.69999999998</v>
      </c>
      <c r="AM11" s="289">
        <v>7130.6</v>
      </c>
      <c r="AN11" s="289">
        <v>173611.9</v>
      </c>
      <c r="AO11" s="289">
        <v>569953.70000000007</v>
      </c>
      <c r="AP11" s="289">
        <v>743565.59999999986</v>
      </c>
      <c r="AQ11" s="287" t="s">
        <v>1070</v>
      </c>
      <c r="AR11" s="463">
        <v>5604.1</v>
      </c>
      <c r="AS11" s="463">
        <v>4823.6000000000004</v>
      </c>
      <c r="AT11" s="463">
        <v>7890.2</v>
      </c>
      <c r="AU11" s="463">
        <v>217.9</v>
      </c>
      <c r="AV11" s="463">
        <v>746329.9</v>
      </c>
      <c r="AW11" s="463">
        <v>6653.4</v>
      </c>
      <c r="AX11" s="463">
        <v>752983.3</v>
      </c>
      <c r="AY11" s="463">
        <v>48943.914500000006</v>
      </c>
      <c r="AZ11" s="463">
        <v>894.98549999999523</v>
      </c>
      <c r="BA11" s="463">
        <v>49838.9</v>
      </c>
      <c r="BB11" s="463">
        <v>1962638.4</v>
      </c>
      <c r="BC11" s="463">
        <v>147992.79999999999</v>
      </c>
      <c r="BD11" s="463">
        <v>2435.4</v>
      </c>
      <c r="BE11" s="463">
        <v>8796.4</v>
      </c>
      <c r="BF11" s="463">
        <v>3334.2</v>
      </c>
      <c r="BG11" s="463">
        <v>155768.70000000001</v>
      </c>
      <c r="BH11" s="463">
        <v>170334.7</v>
      </c>
      <c r="BI11" s="287" t="s">
        <v>1070</v>
      </c>
      <c r="BJ11" s="295">
        <v>-6.19</v>
      </c>
      <c r="BK11" s="295">
        <v>34.71</v>
      </c>
      <c r="BL11" s="295">
        <v>12.27</v>
      </c>
      <c r="BM11" s="295">
        <v>11.57</v>
      </c>
      <c r="BN11" s="295">
        <v>16.09</v>
      </c>
      <c r="BO11" s="300">
        <v>1.92</v>
      </c>
      <c r="BP11" s="296">
        <v>3669</v>
      </c>
      <c r="BQ11" s="294">
        <v>1405</v>
      </c>
      <c r="BR11" s="294">
        <v>3982</v>
      </c>
      <c r="BS11" s="296">
        <v>75</v>
      </c>
      <c r="BT11" s="296">
        <v>9131</v>
      </c>
      <c r="BU11" s="295">
        <v>99.629614196081363</v>
      </c>
      <c r="BV11" s="295">
        <v>81.735833972182675</v>
      </c>
      <c r="BW11" s="295">
        <v>81.43309604643521</v>
      </c>
      <c r="BX11" s="295">
        <v>8.0463076717146134</v>
      </c>
      <c r="BY11" s="295">
        <v>5</v>
      </c>
      <c r="BZ11" s="295">
        <v>6.8</v>
      </c>
      <c r="CA11" s="295">
        <v>11.67</v>
      </c>
      <c r="CB11" s="295">
        <v>4.87</v>
      </c>
      <c r="CC11" s="295">
        <v>10.61</v>
      </c>
      <c r="CD11" s="295">
        <v>15.12</v>
      </c>
      <c r="CE11" s="295">
        <v>4.51</v>
      </c>
    </row>
    <row r="12" spans="1:83" s="255" customFormat="1" ht="11.45" customHeight="1">
      <c r="C12" s="1919" t="s">
        <v>1493</v>
      </c>
      <c r="D12" s="1919"/>
      <c r="E12" s="1919"/>
      <c r="F12" s="1919"/>
      <c r="G12" s="1919"/>
      <c r="I12" s="228" t="s">
        <v>1193</v>
      </c>
      <c r="J12" s="468">
        <v>130728.7</v>
      </c>
      <c r="K12" s="468">
        <v>1576.5</v>
      </c>
      <c r="L12" s="468">
        <v>132305.20000000001</v>
      </c>
      <c r="M12" s="468">
        <v>10230.700000000001</v>
      </c>
      <c r="N12" s="468">
        <v>122074.50000000001</v>
      </c>
      <c r="O12" s="468">
        <v>17126.2</v>
      </c>
      <c r="P12" s="468">
        <v>55874.7</v>
      </c>
      <c r="Q12" s="468">
        <v>89759.1</v>
      </c>
      <c r="R12" s="468">
        <v>703947.2</v>
      </c>
      <c r="S12" s="468">
        <v>793706.29999999993</v>
      </c>
      <c r="T12" s="468">
        <v>849580.99999999988</v>
      </c>
      <c r="U12" s="468">
        <v>597.1</v>
      </c>
      <c r="V12" s="468">
        <v>193201.30000000002</v>
      </c>
      <c r="W12" s="468">
        <v>212430.70000000004</v>
      </c>
      <c r="X12" s="468">
        <v>916377.9</v>
      </c>
      <c r="Y12" s="470">
        <v>1076743.2</v>
      </c>
      <c r="Z12" s="228" t="s">
        <v>1193</v>
      </c>
      <c r="AA12" s="468">
        <v>0</v>
      </c>
      <c r="AB12" s="468">
        <v>14977.5</v>
      </c>
      <c r="AC12" s="468">
        <v>627918.19999999995</v>
      </c>
      <c r="AD12" s="468">
        <v>642895.69999999995</v>
      </c>
      <c r="AE12" s="468">
        <v>0</v>
      </c>
      <c r="AF12" s="468">
        <v>1589</v>
      </c>
      <c r="AG12" s="468">
        <v>22461</v>
      </c>
      <c r="AH12" s="468">
        <v>24050</v>
      </c>
      <c r="AI12" s="468">
        <v>8613</v>
      </c>
      <c r="AJ12" s="468">
        <v>157964.29999999999</v>
      </c>
      <c r="AK12" s="468">
        <v>15663.2</v>
      </c>
      <c r="AL12" s="468">
        <v>173627.5</v>
      </c>
      <c r="AM12" s="468">
        <v>8613</v>
      </c>
      <c r="AN12" s="468">
        <v>174530.8</v>
      </c>
      <c r="AO12" s="468">
        <v>666042.39999999991</v>
      </c>
      <c r="AP12" s="468">
        <v>840573.2</v>
      </c>
      <c r="AQ12" s="228" t="s">
        <v>1193</v>
      </c>
      <c r="AR12" s="468">
        <v>5436.7</v>
      </c>
      <c r="AS12" s="468">
        <v>18388.400000000001</v>
      </c>
      <c r="AT12" s="468">
        <v>12975.5</v>
      </c>
      <c r="AU12" s="468">
        <v>50.7</v>
      </c>
      <c r="AV12" s="468">
        <v>849617.20000000007</v>
      </c>
      <c r="AW12" s="468">
        <v>6908.3</v>
      </c>
      <c r="AX12" s="468">
        <v>856525.50000000012</v>
      </c>
      <c r="AY12" s="468">
        <v>55674.157500000001</v>
      </c>
      <c r="AZ12" s="468">
        <v>4624.8424999999916</v>
      </c>
      <c r="BA12" s="468">
        <v>60299</v>
      </c>
      <c r="BB12" s="468">
        <v>2370730.1</v>
      </c>
      <c r="BC12" s="468">
        <v>192604.2</v>
      </c>
      <c r="BD12" s="468">
        <v>4000</v>
      </c>
      <c r="BE12" s="468">
        <v>15984.8</v>
      </c>
      <c r="BF12" s="468">
        <v>3911.6</v>
      </c>
      <c r="BG12" s="468">
        <v>156583.5</v>
      </c>
      <c r="BH12" s="468">
        <v>180479.9</v>
      </c>
      <c r="BI12" s="228" t="s">
        <v>1193</v>
      </c>
      <c r="BJ12" s="558">
        <v>3.59</v>
      </c>
      <c r="BK12" s="558">
        <v>-3.71</v>
      </c>
      <c r="BL12" s="558">
        <v>16.78</v>
      </c>
      <c r="BM12" s="558">
        <v>14.22</v>
      </c>
      <c r="BN12" s="558">
        <v>16.350000000000001</v>
      </c>
      <c r="BO12" s="256">
        <v>2.2652458407438507</v>
      </c>
      <c r="BP12" s="382">
        <v>3700</v>
      </c>
      <c r="BQ12" s="255">
        <v>1407</v>
      </c>
      <c r="BR12" s="255">
        <v>4271</v>
      </c>
      <c r="BS12" s="790">
        <v>75</v>
      </c>
      <c r="BT12" s="790">
        <v>9453</v>
      </c>
      <c r="BU12" s="558">
        <v>98.935520608575231</v>
      </c>
      <c r="BV12" s="558">
        <v>89.878049296519634</v>
      </c>
      <c r="BW12" s="558">
        <v>88.921315984343593</v>
      </c>
      <c r="BX12" s="558">
        <v>8.3013503022302277</v>
      </c>
      <c r="BY12" s="558">
        <v>5</v>
      </c>
      <c r="BZ12" s="558">
        <v>5.54</v>
      </c>
      <c r="CA12" s="558">
        <v>10.39</v>
      </c>
      <c r="CB12" s="558">
        <v>4.8500000000000005</v>
      </c>
      <c r="CC12" s="558">
        <v>8.9499999999999993</v>
      </c>
      <c r="CD12" s="558">
        <v>13.07</v>
      </c>
      <c r="CE12" s="558">
        <v>4.120000000000001</v>
      </c>
    </row>
    <row r="13" spans="1:83" s="255" customFormat="1" ht="11.45" customHeight="1">
      <c r="C13" s="1919"/>
      <c r="D13" s="1919"/>
      <c r="E13" s="1919"/>
      <c r="F13" s="1919"/>
      <c r="G13" s="1919"/>
      <c r="I13" s="287" t="s">
        <v>1225</v>
      </c>
      <c r="J13" s="463">
        <v>149724.70000000001</v>
      </c>
      <c r="K13" s="463">
        <v>1540.5</v>
      </c>
      <c r="L13" s="463">
        <v>151265.20000000001</v>
      </c>
      <c r="M13" s="463">
        <v>13733.4</v>
      </c>
      <c r="N13" s="463">
        <v>137531.80000000002</v>
      </c>
      <c r="O13" s="463">
        <v>22096.9</v>
      </c>
      <c r="P13" s="463">
        <v>64651.3</v>
      </c>
      <c r="Q13" s="463">
        <v>101885.2</v>
      </c>
      <c r="R13" s="463">
        <v>775997.6</v>
      </c>
      <c r="S13" s="463">
        <v>877882.79999999993</v>
      </c>
      <c r="T13" s="463">
        <v>942534.1</v>
      </c>
      <c r="U13" s="463">
        <v>661.5</v>
      </c>
      <c r="V13" s="463">
        <v>224659.39999999997</v>
      </c>
      <c r="W13" s="463">
        <v>240078.5</v>
      </c>
      <c r="X13" s="463">
        <v>1016076.1</v>
      </c>
      <c r="Y13" s="444">
        <v>1233465.5</v>
      </c>
      <c r="Z13" s="287" t="s">
        <v>1225</v>
      </c>
      <c r="AA13" s="463">
        <v>0</v>
      </c>
      <c r="AB13" s="463">
        <v>15533.2</v>
      </c>
      <c r="AC13" s="463">
        <v>728117</v>
      </c>
      <c r="AD13" s="463">
        <v>743650.2</v>
      </c>
      <c r="AE13" s="463">
        <v>0</v>
      </c>
      <c r="AF13" s="463">
        <v>1726.2</v>
      </c>
      <c r="AG13" s="463">
        <v>27218.5</v>
      </c>
      <c r="AH13" s="463">
        <v>28944.7</v>
      </c>
      <c r="AI13" s="463">
        <v>14073.4</v>
      </c>
      <c r="AJ13" s="463">
        <v>152329.70000000001</v>
      </c>
      <c r="AK13" s="463">
        <v>15744.2</v>
      </c>
      <c r="AL13" s="463">
        <v>168073.90000000002</v>
      </c>
      <c r="AM13" s="463">
        <v>14073.4</v>
      </c>
      <c r="AN13" s="463">
        <v>169589.1</v>
      </c>
      <c r="AO13" s="463">
        <v>771079.7</v>
      </c>
      <c r="AP13" s="463">
        <v>940668.79999999993</v>
      </c>
      <c r="AQ13" s="287" t="s">
        <v>1225</v>
      </c>
      <c r="AR13" s="463">
        <v>7470.4</v>
      </c>
      <c r="AS13" s="463">
        <v>24394.1</v>
      </c>
      <c r="AT13" s="463">
        <v>20759.3</v>
      </c>
      <c r="AU13" s="463">
        <v>62.9</v>
      </c>
      <c r="AV13" s="463">
        <v>942558.51</v>
      </c>
      <c r="AW13" s="463">
        <v>5784.1</v>
      </c>
      <c r="AX13" s="463">
        <v>948342.61</v>
      </c>
      <c r="AY13" s="463">
        <v>61642.269650000002</v>
      </c>
      <c r="AZ13" s="463">
        <v>11090.430349999995</v>
      </c>
      <c r="BA13" s="463">
        <v>72732.7</v>
      </c>
      <c r="BB13" s="463">
        <v>2223734.2999999998</v>
      </c>
      <c r="BC13" s="463">
        <v>223997.90000000002</v>
      </c>
      <c r="BD13" s="463">
        <v>3015.6</v>
      </c>
      <c r="BE13" s="463">
        <v>10964.5</v>
      </c>
      <c r="BF13" s="463">
        <v>3364.4</v>
      </c>
      <c r="BG13" s="463">
        <v>151102.29999999999</v>
      </c>
      <c r="BH13" s="463">
        <v>168446.8</v>
      </c>
      <c r="BI13" s="287" t="s">
        <v>1225</v>
      </c>
      <c r="BJ13" s="447">
        <v>-14.78</v>
      </c>
      <c r="BK13" s="447">
        <v>7.66</v>
      </c>
      <c r="BL13" s="447">
        <v>15.66</v>
      </c>
      <c r="BM13" s="447">
        <v>11.16</v>
      </c>
      <c r="BN13" s="447">
        <v>10.88</v>
      </c>
      <c r="BO13" s="295">
        <v>2.2875324003782787</v>
      </c>
      <c r="BP13" s="296">
        <v>3713</v>
      </c>
      <c r="BQ13" s="294">
        <v>1407</v>
      </c>
      <c r="BR13" s="294">
        <v>4529</v>
      </c>
      <c r="BS13" s="874">
        <v>71</v>
      </c>
      <c r="BT13" s="874">
        <v>9720</v>
      </c>
      <c r="BU13" s="447">
        <v>99.799512711417776</v>
      </c>
      <c r="BV13" s="447">
        <v>96.971040123456788</v>
      </c>
      <c r="BW13" s="447">
        <v>96.776625514403278</v>
      </c>
      <c r="BX13" s="447">
        <v>9.1735525256676098</v>
      </c>
      <c r="BY13" s="447">
        <v>5</v>
      </c>
      <c r="BZ13" s="447">
        <v>4.84</v>
      </c>
      <c r="CA13" s="447">
        <v>9.56</v>
      </c>
      <c r="CB13" s="447">
        <v>4.7200000000000006</v>
      </c>
      <c r="CC13" s="447">
        <v>8.3699999999999992</v>
      </c>
      <c r="CD13" s="447">
        <v>11.69</v>
      </c>
      <c r="CE13" s="447">
        <v>3.3200000000000003</v>
      </c>
    </row>
    <row r="14" spans="1:83" s="255" customFormat="1" ht="11.1" customHeight="1">
      <c r="H14" s="162"/>
      <c r="I14" s="1010" t="s">
        <v>1350</v>
      </c>
      <c r="J14" s="468">
        <v>153411.20000000001</v>
      </c>
      <c r="K14" s="468">
        <v>1529.3</v>
      </c>
      <c r="L14" s="468">
        <v>154940.5</v>
      </c>
      <c r="M14" s="468">
        <v>14023</v>
      </c>
      <c r="N14" s="468">
        <v>140917.5</v>
      </c>
      <c r="O14" s="468">
        <v>33411</v>
      </c>
      <c r="P14" s="468">
        <v>75790.3</v>
      </c>
      <c r="Q14" s="468">
        <v>113217.1</v>
      </c>
      <c r="R14" s="468">
        <v>855087.3</v>
      </c>
      <c r="S14" s="468">
        <v>968304.4</v>
      </c>
      <c r="T14" s="468">
        <v>1044094.7000000001</v>
      </c>
      <c r="U14" s="468">
        <v>759.1</v>
      </c>
      <c r="V14" s="468">
        <v>233743</v>
      </c>
      <c r="W14" s="468">
        <v>254893.7</v>
      </c>
      <c r="X14" s="468">
        <v>1109981</v>
      </c>
      <c r="Y14" s="470">
        <v>1373748.5</v>
      </c>
      <c r="Z14" s="1010" t="s">
        <v>1350</v>
      </c>
      <c r="AA14" s="468">
        <v>0</v>
      </c>
      <c r="AB14" s="468">
        <v>18543.400000000001</v>
      </c>
      <c r="AC14" s="468">
        <v>859131.1</v>
      </c>
      <c r="AD14" s="468">
        <v>877674.5</v>
      </c>
      <c r="AE14" s="468">
        <v>0</v>
      </c>
      <c r="AF14" s="468">
        <v>1666.1</v>
      </c>
      <c r="AG14" s="468">
        <v>26533.1</v>
      </c>
      <c r="AH14" s="468">
        <v>28199.199999999997</v>
      </c>
      <c r="AI14" s="468">
        <v>17367.400000000001</v>
      </c>
      <c r="AJ14" s="468">
        <v>152836.79999999999</v>
      </c>
      <c r="AK14" s="468">
        <v>16721.3</v>
      </c>
      <c r="AL14" s="468">
        <v>169558.09999999998</v>
      </c>
      <c r="AM14" s="468">
        <v>17367.400000000001</v>
      </c>
      <c r="AN14" s="468">
        <v>173046.3</v>
      </c>
      <c r="AO14" s="468">
        <v>902385.5</v>
      </c>
      <c r="AP14" s="468">
        <v>1075431.7999999998</v>
      </c>
      <c r="AQ14" s="1010" t="s">
        <v>1350</v>
      </c>
      <c r="AR14" s="468">
        <v>9988.7999999999993</v>
      </c>
      <c r="AS14" s="468">
        <v>32329.9</v>
      </c>
      <c r="AT14" s="468">
        <v>25777.8</v>
      </c>
      <c r="AU14" s="468">
        <v>59.2</v>
      </c>
      <c r="AV14" s="468">
        <v>1044113.46</v>
      </c>
      <c r="AW14" s="468">
        <v>7577.6</v>
      </c>
      <c r="AX14" s="468">
        <v>1051691.06</v>
      </c>
      <c r="AY14" s="468">
        <v>57843.010499999997</v>
      </c>
      <c r="AZ14" s="468">
        <v>22320.841650000002</v>
      </c>
      <c r="BA14" s="468">
        <v>78041.89</v>
      </c>
      <c r="BB14" s="468">
        <v>2680520.5</v>
      </c>
      <c r="BC14" s="468">
        <v>232982.39</v>
      </c>
      <c r="BD14" s="468">
        <v>4000</v>
      </c>
      <c r="BE14" s="468">
        <v>17878.900000000001</v>
      </c>
      <c r="BF14" s="468">
        <v>4818</v>
      </c>
      <c r="BG14" s="468">
        <v>151396</v>
      </c>
      <c r="BH14" s="468">
        <v>178092.9</v>
      </c>
      <c r="BI14" s="1010" t="s">
        <v>1350</v>
      </c>
      <c r="BJ14" s="558">
        <v>-2.5099999999999998</v>
      </c>
      <c r="BK14" s="558">
        <v>11.11</v>
      </c>
      <c r="BL14" s="558">
        <v>16.940000000000001</v>
      </c>
      <c r="BM14" s="558">
        <v>14.71</v>
      </c>
      <c r="BN14" s="558">
        <v>9.24</v>
      </c>
      <c r="BO14" s="256">
        <v>2.3777416009823593</v>
      </c>
      <c r="BP14" s="382">
        <v>3741</v>
      </c>
      <c r="BQ14" s="27">
        <v>1411</v>
      </c>
      <c r="BR14" s="27">
        <v>4888</v>
      </c>
      <c r="BS14" s="790">
        <v>74</v>
      </c>
      <c r="BT14" s="790">
        <v>10114</v>
      </c>
      <c r="BU14" s="558">
        <v>102.99951501439315</v>
      </c>
      <c r="BV14" s="558">
        <v>103.23447300771208</v>
      </c>
      <c r="BW14" s="558">
        <v>106.33100652560805</v>
      </c>
      <c r="BX14" s="558">
        <v>8.8175177820234207</v>
      </c>
      <c r="BY14" s="558">
        <v>5</v>
      </c>
      <c r="BZ14" s="558">
        <v>5.5</v>
      </c>
      <c r="CA14" s="558">
        <v>9.9499999999999993</v>
      </c>
      <c r="CB14" s="558">
        <v>4.4499999999999993</v>
      </c>
      <c r="CC14" s="558">
        <v>10.14</v>
      </c>
      <c r="CD14" s="558">
        <v>12.67</v>
      </c>
      <c r="CE14" s="558">
        <v>2.5299999999999994</v>
      </c>
    </row>
    <row r="15" spans="1:83" s="450" customFormat="1" ht="11.1" customHeight="1">
      <c r="I15" s="304" t="s">
        <v>1466</v>
      </c>
      <c r="J15" s="463">
        <v>168858.3</v>
      </c>
      <c r="K15" s="463">
        <v>1528.8</v>
      </c>
      <c r="L15" s="463">
        <v>170387.09999999998</v>
      </c>
      <c r="M15" s="463">
        <v>16100.1</v>
      </c>
      <c r="N15" s="463">
        <v>154286.99999999997</v>
      </c>
      <c r="O15" s="463">
        <v>39425.5</v>
      </c>
      <c r="P15" s="463">
        <v>82779.3</v>
      </c>
      <c r="Q15" s="463">
        <v>118217.9</v>
      </c>
      <c r="R15" s="463">
        <v>946318.1</v>
      </c>
      <c r="S15" s="463">
        <v>1064536</v>
      </c>
      <c r="T15" s="463">
        <v>1147315.3</v>
      </c>
      <c r="U15" s="463">
        <v>788.5</v>
      </c>
      <c r="V15" s="463">
        <v>246187.7</v>
      </c>
      <c r="W15" s="463">
        <v>273293.39999999997</v>
      </c>
      <c r="X15" s="463">
        <v>1219611.5</v>
      </c>
      <c r="Y15" s="463">
        <v>1534026.9</v>
      </c>
      <c r="Z15" s="304" t="s">
        <v>1466</v>
      </c>
      <c r="AA15" s="463">
        <v>0</v>
      </c>
      <c r="AB15" s="463">
        <v>20919.7</v>
      </c>
      <c r="AC15" s="463">
        <v>959297.9</v>
      </c>
      <c r="AD15" s="463">
        <v>980217.6</v>
      </c>
      <c r="AE15" s="463">
        <v>0</v>
      </c>
      <c r="AF15" s="463">
        <v>1846.4</v>
      </c>
      <c r="AG15" s="463">
        <v>28721.3</v>
      </c>
      <c r="AH15" s="463">
        <v>30567.7</v>
      </c>
      <c r="AI15" s="463">
        <v>26155.9</v>
      </c>
      <c r="AJ15" s="463">
        <v>171543.8</v>
      </c>
      <c r="AK15" s="463">
        <v>17447.099999999999</v>
      </c>
      <c r="AL15" s="463">
        <v>188990.9</v>
      </c>
      <c r="AM15" s="463">
        <v>26155.9</v>
      </c>
      <c r="AN15" s="463">
        <v>194309.9</v>
      </c>
      <c r="AO15" s="463">
        <v>1005466.3</v>
      </c>
      <c r="AP15" s="463">
        <v>1199776.2</v>
      </c>
      <c r="AQ15" s="304" t="s">
        <v>1466</v>
      </c>
      <c r="AR15" s="463">
        <v>10348.200000000001</v>
      </c>
      <c r="AS15" s="463">
        <v>35369.800000000003</v>
      </c>
      <c r="AT15" s="463">
        <v>35152.699999999997</v>
      </c>
      <c r="AU15" s="463">
        <v>146.6</v>
      </c>
      <c r="AV15" s="463">
        <v>1147338.68</v>
      </c>
      <c r="AW15" s="463">
        <v>7705.6</v>
      </c>
      <c r="AX15" s="463">
        <v>1155044.28</v>
      </c>
      <c r="AY15" s="463">
        <v>63527.436500000003</v>
      </c>
      <c r="AZ15" s="463">
        <v>13942.628850000008</v>
      </c>
      <c r="BA15" s="463">
        <v>74935.791300000012</v>
      </c>
      <c r="BB15" s="463">
        <v>3029188.4</v>
      </c>
      <c r="BC15" s="463">
        <v>245322.89129999999</v>
      </c>
      <c r="BD15" s="463">
        <v>1422.9</v>
      </c>
      <c r="BE15" s="463">
        <v>30233</v>
      </c>
      <c r="BF15" s="463">
        <v>4900.8</v>
      </c>
      <c r="BG15" s="463">
        <v>168433.9</v>
      </c>
      <c r="BH15" s="463">
        <v>204990.59999999998</v>
      </c>
      <c r="BI15" s="304" t="s">
        <v>1466</v>
      </c>
      <c r="BJ15" s="447">
        <v>19.37</v>
      </c>
      <c r="BK15" s="447">
        <v>21.64</v>
      </c>
      <c r="BL15" s="447">
        <v>11.32</v>
      </c>
      <c r="BM15" s="447">
        <v>12.26</v>
      </c>
      <c r="BN15" s="447">
        <v>9.8800000000000008</v>
      </c>
      <c r="BO15" s="295">
        <v>2.4199747214584315</v>
      </c>
      <c r="BP15" s="296">
        <v>3759</v>
      </c>
      <c r="BQ15" s="874">
        <v>1483</v>
      </c>
      <c r="BR15" s="874">
        <v>5094</v>
      </c>
      <c r="BS15" s="874">
        <v>68</v>
      </c>
      <c r="BT15" s="874">
        <v>10396</v>
      </c>
      <c r="BU15" s="447">
        <v>104.57036103759702</v>
      </c>
      <c r="BV15" s="447">
        <v>110.36347441323585</v>
      </c>
      <c r="BW15" s="447">
        <v>115.40748364755675</v>
      </c>
      <c r="BX15" s="447">
        <v>7.9345264730375886</v>
      </c>
      <c r="BY15" s="447">
        <v>5</v>
      </c>
      <c r="BZ15" s="447">
        <v>5.43</v>
      </c>
      <c r="CA15" s="447">
        <v>9.58</v>
      </c>
      <c r="CB15" s="447">
        <v>4.1500000000000004</v>
      </c>
      <c r="CC15" s="447">
        <v>10.56</v>
      </c>
      <c r="CD15" s="447">
        <v>13</v>
      </c>
      <c r="CE15" s="447">
        <v>2.4399999999999995</v>
      </c>
    </row>
    <row r="16" spans="1:83" s="164" customFormat="1" ht="11.1" customHeight="1">
      <c r="A16" s="162"/>
      <c r="B16" s="162"/>
      <c r="C16" s="162"/>
      <c r="D16" s="162"/>
      <c r="E16" s="162"/>
      <c r="F16" s="162"/>
      <c r="G16" s="162"/>
      <c r="H16" s="162"/>
      <c r="I16" s="162" t="s">
        <v>1550</v>
      </c>
      <c r="J16" s="468">
        <v>206552.2</v>
      </c>
      <c r="K16" s="468">
        <v>1541.9</v>
      </c>
      <c r="L16" s="468">
        <v>208094.1</v>
      </c>
      <c r="M16" s="468">
        <v>15979.6</v>
      </c>
      <c r="N16" s="468">
        <v>192114.5</v>
      </c>
      <c r="O16" s="468">
        <v>30355.7</v>
      </c>
      <c r="P16" s="468">
        <v>88099.4</v>
      </c>
      <c r="Q16" s="468">
        <v>135528.4</v>
      </c>
      <c r="R16" s="468">
        <v>1045471.1</v>
      </c>
      <c r="S16" s="468">
        <v>1180999.5</v>
      </c>
      <c r="T16" s="468">
        <v>1269098.8999999999</v>
      </c>
      <c r="U16" s="468">
        <v>621</v>
      </c>
      <c r="V16" s="468">
        <v>284483.40000000002</v>
      </c>
      <c r="W16" s="468">
        <v>328263.90000000002</v>
      </c>
      <c r="X16" s="468">
        <v>1373735</v>
      </c>
      <c r="Y16" s="468">
        <v>1703937.4</v>
      </c>
      <c r="Z16" s="162" t="s">
        <v>1550</v>
      </c>
      <c r="AA16" s="468">
        <v>0</v>
      </c>
      <c r="AB16" s="468">
        <v>25708.3</v>
      </c>
      <c r="AC16" s="468">
        <v>1050976</v>
      </c>
      <c r="AD16" s="468">
        <v>1076684.3</v>
      </c>
      <c r="AE16" s="468">
        <v>0</v>
      </c>
      <c r="AF16" s="468">
        <v>1921.3</v>
      </c>
      <c r="AG16" s="468">
        <v>22033.3</v>
      </c>
      <c r="AH16" s="468">
        <v>23954.6</v>
      </c>
      <c r="AI16" s="468">
        <v>25407.3</v>
      </c>
      <c r="AJ16" s="468">
        <v>232935.5</v>
      </c>
      <c r="AK16" s="468">
        <v>18916</v>
      </c>
      <c r="AL16" s="468">
        <v>251851.5</v>
      </c>
      <c r="AM16" s="468">
        <v>25407.3</v>
      </c>
      <c r="AN16" s="468">
        <v>260565.1</v>
      </c>
      <c r="AO16" s="468">
        <v>1091925.3</v>
      </c>
      <c r="AP16" s="468">
        <v>1352490.4000000001</v>
      </c>
      <c r="AQ16" s="162" t="s">
        <v>1550</v>
      </c>
      <c r="AR16" s="468">
        <v>13614.7</v>
      </c>
      <c r="AS16" s="468">
        <v>50299.7</v>
      </c>
      <c r="AT16" s="468">
        <v>35190.199999999997</v>
      </c>
      <c r="AU16" s="468">
        <v>58.5</v>
      </c>
      <c r="AV16" s="468">
        <v>1269113.6399999999</v>
      </c>
      <c r="AW16" s="468">
        <v>10934.2</v>
      </c>
      <c r="AX16" s="468">
        <v>1280047.8399999999</v>
      </c>
      <c r="AY16" s="468">
        <v>51201.911999999997</v>
      </c>
      <c r="AZ16" s="468">
        <v>26071.655700000003</v>
      </c>
      <c r="BA16" s="468">
        <v>75764.965700000001</v>
      </c>
      <c r="BB16" s="468">
        <v>3332696.5</v>
      </c>
      <c r="BC16" s="468">
        <v>283859.06570000004</v>
      </c>
      <c r="BD16" s="468">
        <v>10631</v>
      </c>
      <c r="BE16" s="468">
        <v>36086.9</v>
      </c>
      <c r="BF16" s="468">
        <v>4710.3</v>
      </c>
      <c r="BG16" s="468">
        <v>229191.6</v>
      </c>
      <c r="BH16" s="468">
        <v>280619.8</v>
      </c>
      <c r="BI16" s="162" t="s">
        <v>1550</v>
      </c>
      <c r="BJ16" s="558">
        <v>55.51</v>
      </c>
      <c r="BK16" s="558">
        <v>25.09</v>
      </c>
      <c r="BL16" s="558">
        <v>8.61</v>
      </c>
      <c r="BM16" s="558">
        <v>13.58</v>
      </c>
      <c r="BN16" s="558">
        <v>12.64</v>
      </c>
      <c r="BO16" s="256">
        <v>2.3079189217716665</v>
      </c>
      <c r="BP16" s="790">
        <v>3775</v>
      </c>
      <c r="BQ16" s="790">
        <v>1483</v>
      </c>
      <c r="BR16" s="790">
        <v>5265</v>
      </c>
      <c r="BS16" s="790">
        <v>65</v>
      </c>
      <c r="BT16" s="790">
        <v>10588</v>
      </c>
      <c r="BU16" s="558">
        <v>106.56968433496627</v>
      </c>
      <c r="BV16" s="558">
        <v>119.86339629769549</v>
      </c>
      <c r="BW16" s="558">
        <v>127.73804306762374</v>
      </c>
      <c r="BX16" s="558">
        <v>7.2290268427025977</v>
      </c>
      <c r="BY16" s="558">
        <v>5</v>
      </c>
      <c r="BZ16" s="558">
        <v>5.0599999999999996</v>
      </c>
      <c r="CA16" s="558">
        <v>7.95</v>
      </c>
      <c r="CB16" s="558">
        <v>2.8900000000000006</v>
      </c>
      <c r="CC16" s="558">
        <v>9.7200000000000006</v>
      </c>
      <c r="CD16" s="558">
        <v>12.93</v>
      </c>
      <c r="CE16" s="558">
        <v>3.2099999999999991</v>
      </c>
    </row>
    <row r="17" spans="1:83" s="164" customFormat="1" ht="11.1" customHeight="1">
      <c r="A17" s="162"/>
      <c r="B17" s="162"/>
      <c r="C17" s="162"/>
      <c r="D17" s="162"/>
      <c r="E17" s="162"/>
      <c r="F17" s="162"/>
      <c r="G17" s="860"/>
      <c r="H17" s="860"/>
      <c r="I17" s="304" t="s">
        <v>1606</v>
      </c>
      <c r="J17" s="463">
        <v>225322.2</v>
      </c>
      <c r="K17" s="463">
        <v>1566.1</v>
      </c>
      <c r="L17" s="463">
        <v>226888.30000000002</v>
      </c>
      <c r="M17" s="463">
        <v>17370.599999999999</v>
      </c>
      <c r="N17" s="463">
        <v>209517.7</v>
      </c>
      <c r="O17" s="463">
        <v>40048.199999999997</v>
      </c>
      <c r="P17" s="463">
        <v>96176.5</v>
      </c>
      <c r="Q17" s="463">
        <v>165724.5</v>
      </c>
      <c r="R17" s="463">
        <v>1185066.6000000001</v>
      </c>
      <c r="S17" s="463">
        <v>1350791.1</v>
      </c>
      <c r="T17" s="463">
        <v>1446967.6</v>
      </c>
      <c r="U17" s="463">
        <v>586.5</v>
      </c>
      <c r="V17" s="463">
        <v>348071.80000000005</v>
      </c>
      <c r="W17" s="463">
        <v>375828.7</v>
      </c>
      <c r="X17" s="463">
        <v>1560895.3</v>
      </c>
      <c r="Y17" s="463">
        <v>1929045.3</v>
      </c>
      <c r="Z17" s="304" t="s">
        <v>1606</v>
      </c>
      <c r="AA17" s="463">
        <v>0</v>
      </c>
      <c r="AB17" s="463">
        <v>26917.4</v>
      </c>
      <c r="AC17" s="463">
        <v>1139574.1000000001</v>
      </c>
      <c r="AD17" s="463">
        <v>1166491.5</v>
      </c>
      <c r="AE17" s="463">
        <v>0</v>
      </c>
      <c r="AF17" s="463">
        <v>1788.7</v>
      </c>
      <c r="AG17" s="463">
        <v>22235.9</v>
      </c>
      <c r="AH17" s="463">
        <v>24024.600000000002</v>
      </c>
      <c r="AI17" s="463">
        <v>29531.4</v>
      </c>
      <c r="AJ17" s="463">
        <v>299276.3</v>
      </c>
      <c r="AK17" s="463">
        <v>21206.9</v>
      </c>
      <c r="AL17" s="463">
        <v>320483.20000000001</v>
      </c>
      <c r="AM17" s="463">
        <v>29531.4</v>
      </c>
      <c r="AN17" s="463">
        <v>327982.39999999997</v>
      </c>
      <c r="AO17" s="463">
        <v>1183016.8999999999</v>
      </c>
      <c r="AP17" s="463">
        <v>1510999.3</v>
      </c>
      <c r="AQ17" s="304" t="s">
        <v>1606</v>
      </c>
      <c r="AR17" s="463">
        <v>7539</v>
      </c>
      <c r="AS17" s="463">
        <v>73626.100000000006</v>
      </c>
      <c r="AT17" s="463">
        <v>37421.1</v>
      </c>
      <c r="AU17" s="463">
        <v>75.3</v>
      </c>
      <c r="AV17" s="463">
        <v>1446984.11</v>
      </c>
      <c r="AW17" s="463">
        <v>9967.1</v>
      </c>
      <c r="AX17" s="463">
        <v>1456951.2100000002</v>
      </c>
      <c r="AY17" s="463">
        <v>58278.048400000007</v>
      </c>
      <c r="AZ17" s="463">
        <v>62314.271199999996</v>
      </c>
      <c r="BA17" s="463">
        <v>120592.3196</v>
      </c>
      <c r="BB17" s="463">
        <v>3842083.7</v>
      </c>
      <c r="BC17" s="463">
        <v>347480.61960000003</v>
      </c>
      <c r="BD17" s="463">
        <v>4126.8</v>
      </c>
      <c r="BE17" s="463">
        <v>29712.3</v>
      </c>
      <c r="BF17" s="463">
        <v>5780.6</v>
      </c>
      <c r="BG17" s="463">
        <v>295402.2</v>
      </c>
      <c r="BH17" s="463">
        <v>335021.89999999997</v>
      </c>
      <c r="BI17" s="304" t="s">
        <v>1606</v>
      </c>
      <c r="BJ17" s="447">
        <v>22.01</v>
      </c>
      <c r="BK17" s="447">
        <v>2.75</v>
      </c>
      <c r="BL17" s="447">
        <v>8.35</v>
      </c>
      <c r="BM17" s="447">
        <v>10.11</v>
      </c>
      <c r="BN17" s="447">
        <v>13.62</v>
      </c>
      <c r="BO17" s="295">
        <v>2.2616411235269913</v>
      </c>
      <c r="BP17" s="874">
        <v>3801</v>
      </c>
      <c r="BQ17" s="874">
        <v>1504</v>
      </c>
      <c r="BR17" s="874">
        <v>5421</v>
      </c>
      <c r="BS17" s="874">
        <v>67</v>
      </c>
      <c r="BT17" s="874">
        <v>10793</v>
      </c>
      <c r="BU17" s="447">
        <v>104.42404236215144</v>
      </c>
      <c r="BV17" s="447">
        <v>134.06690540164922</v>
      </c>
      <c r="BW17" s="447">
        <v>139.99808209024368</v>
      </c>
      <c r="BX17" s="447">
        <v>9.5345151786082845</v>
      </c>
      <c r="BY17" s="447">
        <v>4</v>
      </c>
      <c r="BZ17" s="447">
        <v>4.13</v>
      </c>
      <c r="CA17" s="447">
        <v>7.33</v>
      </c>
      <c r="CB17" s="447">
        <v>3.2</v>
      </c>
      <c r="CC17" s="447">
        <v>7.82</v>
      </c>
      <c r="CD17" s="447">
        <v>11.19</v>
      </c>
      <c r="CE17" s="447">
        <v>3.3699999999999992</v>
      </c>
    </row>
    <row r="18" spans="1:83" s="164" customFormat="1" ht="11.1" customHeight="1">
      <c r="A18" s="162"/>
      <c r="B18" s="162"/>
      <c r="C18" s="162"/>
      <c r="D18" s="162"/>
      <c r="E18" s="162"/>
      <c r="F18" s="162"/>
      <c r="G18" s="162"/>
      <c r="H18" s="162"/>
      <c r="I18" s="1440" t="s">
        <v>1927</v>
      </c>
      <c r="J18" s="553">
        <v>254519.5</v>
      </c>
      <c r="K18" s="553">
        <v>1663.3</v>
      </c>
      <c r="L18" s="553">
        <v>256182.8</v>
      </c>
      <c r="M18" s="553">
        <v>19733.8</v>
      </c>
      <c r="N18" s="553">
        <v>236449</v>
      </c>
      <c r="O18" s="553">
        <v>36254.9</v>
      </c>
      <c r="P18" s="553">
        <v>108918.7</v>
      </c>
      <c r="Q18" s="553">
        <v>188859.4</v>
      </c>
      <c r="R18" s="553">
        <v>1282217.5</v>
      </c>
      <c r="S18" s="553">
        <v>1471076.9</v>
      </c>
      <c r="T18" s="553">
        <v>1579995.5999999999</v>
      </c>
      <c r="U18" s="553">
        <v>596.4</v>
      </c>
      <c r="V18" s="553">
        <v>347162</v>
      </c>
      <c r="W18" s="553">
        <v>425904.80000000005</v>
      </c>
      <c r="X18" s="553">
        <v>1708122.3</v>
      </c>
      <c r="Y18" s="553">
        <v>2097973.2999999998</v>
      </c>
      <c r="Z18" s="190" t="s">
        <v>1927</v>
      </c>
      <c r="AA18" s="553">
        <v>0</v>
      </c>
      <c r="AB18" s="553">
        <v>38512.6</v>
      </c>
      <c r="AC18" s="553">
        <v>1286429.5</v>
      </c>
      <c r="AD18" s="553">
        <v>1324942.1000000001</v>
      </c>
      <c r="AE18" s="553">
        <v>0</v>
      </c>
      <c r="AF18" s="553">
        <v>1884.6</v>
      </c>
      <c r="AG18" s="553">
        <v>32287.9</v>
      </c>
      <c r="AH18" s="553">
        <v>34172.5</v>
      </c>
      <c r="AI18" s="553">
        <v>30832</v>
      </c>
      <c r="AJ18" s="553">
        <v>334009.8</v>
      </c>
      <c r="AK18" s="553">
        <v>26582.3</v>
      </c>
      <c r="AL18" s="553">
        <v>360592.1</v>
      </c>
      <c r="AM18" s="553">
        <v>30832</v>
      </c>
      <c r="AN18" s="553">
        <v>374407</v>
      </c>
      <c r="AO18" s="553">
        <v>1345299.7</v>
      </c>
      <c r="AP18" s="553">
        <v>1719706.7000000002</v>
      </c>
      <c r="AQ18" s="190" t="s">
        <v>1927</v>
      </c>
      <c r="AR18" s="553">
        <v>7702.1</v>
      </c>
      <c r="AS18" s="553">
        <v>91659.8</v>
      </c>
      <c r="AT18" s="553">
        <v>42893.9</v>
      </c>
      <c r="AU18" s="553">
        <v>634.4</v>
      </c>
      <c r="AV18" s="553">
        <v>1580021.02</v>
      </c>
      <c r="AW18" s="553">
        <v>14605</v>
      </c>
      <c r="AX18" s="553">
        <v>1594626.02</v>
      </c>
      <c r="AY18" s="553">
        <v>63785.040800000002</v>
      </c>
      <c r="AZ18" s="553">
        <v>26589.661199999988</v>
      </c>
      <c r="BA18" s="553">
        <v>90374.70199999999</v>
      </c>
      <c r="BB18" s="553">
        <v>4276170.7</v>
      </c>
      <c r="BC18" s="553">
        <v>346557.50199999998</v>
      </c>
      <c r="BD18" s="553">
        <v>4853.7</v>
      </c>
      <c r="BE18" s="553">
        <v>53503</v>
      </c>
      <c r="BF18" s="553">
        <v>11175.3</v>
      </c>
      <c r="BG18" s="553">
        <v>329468.59999999998</v>
      </c>
      <c r="BH18" s="553">
        <v>399000.6</v>
      </c>
      <c r="BI18" s="190" t="s">
        <v>1927</v>
      </c>
      <c r="BJ18" s="552">
        <v>28.18</v>
      </c>
      <c r="BK18" s="552">
        <v>23.92</v>
      </c>
      <c r="BL18" s="552">
        <v>13.66</v>
      </c>
      <c r="BM18" s="552">
        <v>16.100000000000001</v>
      </c>
      <c r="BN18" s="552">
        <v>9.43</v>
      </c>
      <c r="BO18" s="345">
        <v>2.3279727878953862</v>
      </c>
      <c r="BP18" s="624">
        <v>3812</v>
      </c>
      <c r="BQ18" s="624">
        <v>1519</v>
      </c>
      <c r="BR18" s="624">
        <v>5567</v>
      </c>
      <c r="BS18" s="624">
        <v>65</v>
      </c>
      <c r="BT18" s="624">
        <v>10963</v>
      </c>
      <c r="BU18" s="552">
        <v>108.8407482072612</v>
      </c>
      <c r="BV18" s="552">
        <v>144.1230520842835</v>
      </c>
      <c r="BW18" s="552">
        <v>156.86460822767492</v>
      </c>
      <c r="BX18" s="552">
        <v>6.9687998201441639</v>
      </c>
      <c r="BY18" s="552">
        <v>4</v>
      </c>
      <c r="BZ18" s="552">
        <v>3.97</v>
      </c>
      <c r="CA18" s="552">
        <v>7.09</v>
      </c>
      <c r="CB18" s="552">
        <v>3.1199999999999997</v>
      </c>
      <c r="CC18" s="552">
        <v>7.49</v>
      </c>
      <c r="CD18" s="552">
        <v>9.85</v>
      </c>
      <c r="CE18" s="552">
        <v>2.3599999999999994</v>
      </c>
    </row>
    <row r="19" spans="1:83" s="164" customFormat="1" ht="11.1" customHeight="1">
      <c r="A19" s="162"/>
      <c r="B19" s="162"/>
      <c r="C19" s="162"/>
      <c r="D19" s="162"/>
      <c r="E19" s="162"/>
      <c r="F19" s="162"/>
      <c r="G19" s="162"/>
      <c r="H19" s="162"/>
      <c r="I19" s="1640" t="s">
        <v>2183</v>
      </c>
      <c r="J19" s="555">
        <f>J31</f>
        <v>310153.40000000002</v>
      </c>
      <c r="K19" s="555">
        <f>K31</f>
        <v>1794.4</v>
      </c>
      <c r="L19" s="555">
        <f t="shared" ref="L19:BW19" si="1">L31</f>
        <v>311947.80000000005</v>
      </c>
      <c r="M19" s="555">
        <f t="shared" si="1"/>
        <v>20034.3</v>
      </c>
      <c r="N19" s="555">
        <f t="shared" si="1"/>
        <v>291913.50000000006</v>
      </c>
      <c r="O19" s="555">
        <f t="shared" si="1"/>
        <v>33759.4</v>
      </c>
      <c r="P19" s="555">
        <f t="shared" si="1"/>
        <v>103350.9</v>
      </c>
      <c r="Q19" s="555">
        <f t="shared" si="1"/>
        <v>199304.3</v>
      </c>
      <c r="R19" s="555">
        <f t="shared" si="1"/>
        <v>1395280.2</v>
      </c>
      <c r="S19" s="555">
        <f t="shared" si="1"/>
        <v>1594584.5</v>
      </c>
      <c r="T19" s="555">
        <f t="shared" si="1"/>
        <v>1697935.4</v>
      </c>
      <c r="U19" s="555">
        <f t="shared" si="1"/>
        <v>670.1</v>
      </c>
      <c r="V19" s="555">
        <f t="shared" si="1"/>
        <v>383585.19999999995</v>
      </c>
      <c r="W19" s="555">
        <f t="shared" si="1"/>
        <v>491887.9</v>
      </c>
      <c r="X19" s="555">
        <f t="shared" si="1"/>
        <v>1887168.1</v>
      </c>
      <c r="Y19" s="555">
        <f t="shared" si="1"/>
        <v>2273892.4900000002</v>
      </c>
      <c r="Z19" s="1640" t="s">
        <v>2183</v>
      </c>
      <c r="AA19" s="555">
        <f t="shared" si="1"/>
        <v>0</v>
      </c>
      <c r="AB19" s="555">
        <f t="shared" si="1"/>
        <v>51470.2</v>
      </c>
      <c r="AC19" s="555">
        <f t="shared" si="1"/>
        <v>1421339.2</v>
      </c>
      <c r="AD19" s="555">
        <f t="shared" si="1"/>
        <v>1472809.4</v>
      </c>
      <c r="AE19" s="555">
        <f t="shared" si="1"/>
        <v>0</v>
      </c>
      <c r="AF19" s="555">
        <f t="shared" si="1"/>
        <v>807.9</v>
      </c>
      <c r="AG19" s="555">
        <f t="shared" si="1"/>
        <v>38453</v>
      </c>
      <c r="AH19" s="555">
        <f t="shared" si="1"/>
        <v>39260.9</v>
      </c>
      <c r="AI19" s="555">
        <f t="shared" si="1"/>
        <v>30458.2</v>
      </c>
      <c r="AJ19" s="555">
        <f t="shared" si="1"/>
        <v>329477.8</v>
      </c>
      <c r="AK19" s="555">
        <f t="shared" si="1"/>
        <v>27112.7</v>
      </c>
      <c r="AL19" s="555">
        <f t="shared" si="1"/>
        <v>356590.5</v>
      </c>
      <c r="AM19" s="555">
        <f t="shared" si="1"/>
        <v>30458.2</v>
      </c>
      <c r="AN19" s="555">
        <f t="shared" si="1"/>
        <v>381755.89999999997</v>
      </c>
      <c r="AO19" s="555">
        <f t="shared" si="1"/>
        <v>1486904.9</v>
      </c>
      <c r="AP19" s="555">
        <f t="shared" si="1"/>
        <v>1868660.7999999998</v>
      </c>
      <c r="AQ19" s="1640" t="s">
        <v>2183</v>
      </c>
      <c r="AR19" s="555">
        <f t="shared" si="1"/>
        <v>9730.7999999999993</v>
      </c>
      <c r="AS19" s="555">
        <f t="shared" si="1"/>
        <v>105117.8</v>
      </c>
      <c r="AT19" s="555">
        <f t="shared" si="1"/>
        <v>44627.199999999997</v>
      </c>
      <c r="AU19" s="555">
        <f t="shared" si="1"/>
        <v>115.4</v>
      </c>
      <c r="AV19" s="555">
        <f t="shared" si="1"/>
        <v>1697975.9100000001</v>
      </c>
      <c r="AW19" s="555">
        <f t="shared" si="1"/>
        <v>17873.2</v>
      </c>
      <c r="AX19" s="555">
        <f t="shared" si="1"/>
        <v>1715849.11</v>
      </c>
      <c r="AY19" s="555">
        <f t="shared" si="1"/>
        <v>68633.964400000012</v>
      </c>
      <c r="AZ19" s="555">
        <f t="shared" si="1"/>
        <v>2330.6837999999843</v>
      </c>
      <c r="BA19" s="555">
        <f t="shared" si="1"/>
        <v>70964.648199999996</v>
      </c>
      <c r="BB19" s="555">
        <f t="shared" si="1"/>
        <v>4601082.2</v>
      </c>
      <c r="BC19" s="555">
        <f t="shared" si="1"/>
        <v>382912.44820000004</v>
      </c>
      <c r="BD19" s="555">
        <f t="shared" si="1"/>
        <v>24318</v>
      </c>
      <c r="BE19" s="555">
        <f t="shared" si="1"/>
        <v>132269.79999999999</v>
      </c>
      <c r="BF19" s="555">
        <f t="shared" si="1"/>
        <v>15486</v>
      </c>
      <c r="BG19" s="555">
        <f t="shared" si="1"/>
        <v>324998.7</v>
      </c>
      <c r="BH19" s="555">
        <f t="shared" si="1"/>
        <v>497072.5</v>
      </c>
      <c r="BI19" s="1640" t="s">
        <v>2183</v>
      </c>
      <c r="BJ19" s="622">
        <f t="shared" si="1"/>
        <v>36.65</v>
      </c>
      <c r="BK19" s="622">
        <f t="shared" si="1"/>
        <v>22.29</v>
      </c>
      <c r="BL19" s="622">
        <f t="shared" si="1"/>
        <v>10.57</v>
      </c>
      <c r="BM19" s="622">
        <f t="shared" si="1"/>
        <v>15.25</v>
      </c>
      <c r="BN19" s="622">
        <f t="shared" si="1"/>
        <v>10.48</v>
      </c>
      <c r="BO19" s="622">
        <v>2.37967248386617</v>
      </c>
      <c r="BP19" s="1749">
        <f t="shared" si="1"/>
        <v>3823</v>
      </c>
      <c r="BQ19" s="1749">
        <f t="shared" si="1"/>
        <v>1523</v>
      </c>
      <c r="BR19" s="1749">
        <f t="shared" si="1"/>
        <v>5768</v>
      </c>
      <c r="BS19" s="1749">
        <f t="shared" si="1"/>
        <v>63</v>
      </c>
      <c r="BT19" s="1749">
        <f t="shared" si="1"/>
        <v>11177</v>
      </c>
      <c r="BU19" s="622">
        <f t="shared" si="1"/>
        <v>110.05225627729899</v>
      </c>
      <c r="BV19" s="622">
        <f t="shared" si="1"/>
        <v>151.916964301691</v>
      </c>
      <c r="BW19" s="622">
        <f t="shared" si="1"/>
        <v>167.18804688198978</v>
      </c>
      <c r="BX19" s="622">
        <f t="shared" ref="BX19:CE19" si="2">BX31</f>
        <v>5.3592602618255043</v>
      </c>
      <c r="BY19" s="622">
        <f t="shared" si="2"/>
        <v>4</v>
      </c>
      <c r="BZ19" s="622">
        <f t="shared" si="2"/>
        <v>4.38</v>
      </c>
      <c r="CA19" s="622">
        <f t="shared" si="2"/>
        <v>7.31</v>
      </c>
      <c r="CB19" s="622">
        <f t="shared" si="2"/>
        <v>2.9299999999999997</v>
      </c>
      <c r="CC19" s="622">
        <f t="shared" si="2"/>
        <v>7.93</v>
      </c>
      <c r="CD19" s="622">
        <f t="shared" si="2"/>
        <v>8.1999999999999993</v>
      </c>
      <c r="CE19" s="622">
        <f t="shared" si="2"/>
        <v>0.26999999999999957</v>
      </c>
    </row>
    <row r="20" spans="1:83" s="164" customFormat="1" ht="11.1" customHeight="1">
      <c r="A20" s="162"/>
      <c r="B20" s="162"/>
      <c r="C20" s="162"/>
      <c r="D20" s="162"/>
      <c r="E20" s="162"/>
      <c r="F20" s="162"/>
      <c r="G20" s="162"/>
      <c r="H20" s="162"/>
      <c r="I20" s="253" t="s">
        <v>565</v>
      </c>
      <c r="J20" s="468">
        <v>262931.09999999998</v>
      </c>
      <c r="K20" s="468">
        <v>1672.4</v>
      </c>
      <c r="L20" s="468">
        <f t="shared" ref="L20:L30" si="3">J20+K20</f>
        <v>264603.5</v>
      </c>
      <c r="M20" s="468">
        <v>22577.3</v>
      </c>
      <c r="N20" s="468">
        <f t="shared" ref="N20:N30" si="4">L20-M20</f>
        <v>242026.2</v>
      </c>
      <c r="O20" s="468">
        <v>37554.300000000003</v>
      </c>
      <c r="P20" s="468">
        <v>105683.4</v>
      </c>
      <c r="Q20" s="468">
        <v>179828.3</v>
      </c>
      <c r="R20" s="468">
        <v>1285440.5</v>
      </c>
      <c r="S20" s="468">
        <f t="shared" ref="S20:S30" si="5">Q20+R20</f>
        <v>1465268.8</v>
      </c>
      <c r="T20" s="468">
        <f t="shared" ref="T20:T31" si="6">P20+S20</f>
        <v>1570952.2</v>
      </c>
      <c r="U20" s="468">
        <v>635.4</v>
      </c>
      <c r="V20" s="468">
        <v>344931</v>
      </c>
      <c r="W20" s="468">
        <f t="shared" ref="W20:W31" si="7">N20+Q20+U20</f>
        <v>422489.9</v>
      </c>
      <c r="X20" s="468">
        <f t="shared" ref="X20:X31" si="8">R20+W20</f>
        <v>1707930.4</v>
      </c>
      <c r="Y20" s="468">
        <v>2098983.5999999996</v>
      </c>
      <c r="Z20" s="253" t="s">
        <v>565</v>
      </c>
      <c r="AA20" s="230">
        <v>0</v>
      </c>
      <c r="AB20" s="468">
        <v>39456.800000000003</v>
      </c>
      <c r="AC20" s="468">
        <v>1286995.8</v>
      </c>
      <c r="AD20" s="468">
        <f t="shared" ref="AD20:AD52" si="9">AB20+AC20</f>
        <v>1326452.6000000001</v>
      </c>
      <c r="AE20" s="230">
        <v>0</v>
      </c>
      <c r="AF20" s="468">
        <v>1831.4</v>
      </c>
      <c r="AG20" s="468">
        <v>33092</v>
      </c>
      <c r="AH20" s="468">
        <f t="shared" ref="AH20:AH30" si="10">AF20+AG20</f>
        <v>34923.4</v>
      </c>
      <c r="AI20" s="479">
        <v>31031</v>
      </c>
      <c r="AJ20" s="479">
        <v>330136.59999999998</v>
      </c>
      <c r="AK20" s="479">
        <v>26541</v>
      </c>
      <c r="AL20" s="479">
        <f t="shared" ref="AL20:AL31" si="11">AJ20+AK20</f>
        <v>356677.6</v>
      </c>
      <c r="AM20" s="479">
        <f t="shared" ref="AM20:AP31" si="12">AA20+AE20+AI20</f>
        <v>31031</v>
      </c>
      <c r="AN20" s="479">
        <f t="shared" si="12"/>
        <v>371424.8</v>
      </c>
      <c r="AO20" s="479">
        <f t="shared" si="12"/>
        <v>1346628.8</v>
      </c>
      <c r="AP20" s="479">
        <f t="shared" si="12"/>
        <v>1718053.6</v>
      </c>
      <c r="AQ20" s="253" t="s">
        <v>565</v>
      </c>
      <c r="AR20" s="468">
        <v>6122.8</v>
      </c>
      <c r="AS20" s="468">
        <v>99775.9</v>
      </c>
      <c r="AT20" s="468">
        <v>39866.1</v>
      </c>
      <c r="AU20" s="468">
        <v>584.29999999999995</v>
      </c>
      <c r="AV20" s="468">
        <f>1571009.4-29.24</f>
        <v>1570980.16</v>
      </c>
      <c r="AW20" s="468">
        <v>15707.8</v>
      </c>
      <c r="AX20" s="468">
        <f t="shared" ref="AX20:AX31" si="13">AV20+AW20</f>
        <v>1586687.96</v>
      </c>
      <c r="AY20" s="468">
        <f t="shared" ref="AY20:AY31" si="14">0.04*AX20</f>
        <v>63467.518400000001</v>
      </c>
      <c r="AZ20" s="468">
        <f t="shared" ref="AZ20:AZ31" si="15">BA20-AY20</f>
        <v>16218.959700000007</v>
      </c>
      <c r="BA20" s="468">
        <f>79692.1-5.6219</f>
        <v>79686.478100000008</v>
      </c>
      <c r="BB20" s="468">
        <v>4308514.4000000004</v>
      </c>
      <c r="BC20" s="468">
        <f t="shared" ref="BC20:BC52" si="16">L20+BA20</f>
        <v>344289.97810000001</v>
      </c>
      <c r="BD20" s="233">
        <v>4126.8</v>
      </c>
      <c r="BE20" s="468">
        <v>62925.2</v>
      </c>
      <c r="BF20" s="468">
        <v>11119.8</v>
      </c>
      <c r="BG20" s="468">
        <v>325596.90000000002</v>
      </c>
      <c r="BH20" s="468">
        <f t="shared" ref="BH20:BH52" si="17">BG20+BF20+BE20+BD20</f>
        <v>403768.7</v>
      </c>
      <c r="BI20" s="253" t="s">
        <v>565</v>
      </c>
      <c r="BJ20" s="256">
        <v>-0.55000000000000004</v>
      </c>
      <c r="BK20" s="256">
        <v>2.52</v>
      </c>
      <c r="BL20" s="256">
        <v>0.1</v>
      </c>
      <c r="BM20" s="256">
        <v>0.04</v>
      </c>
      <c r="BN20" s="256">
        <v>-0.01</v>
      </c>
      <c r="BO20" s="256" t="s">
        <v>295</v>
      </c>
      <c r="BP20" s="382">
        <v>3812</v>
      </c>
      <c r="BQ20" s="382">
        <v>1519</v>
      </c>
      <c r="BR20" s="382">
        <v>5569</v>
      </c>
      <c r="BS20" s="382">
        <v>63</v>
      </c>
      <c r="BT20" s="382">
        <f t="shared" ref="BT20:BT52" si="18">SUM(BP20:BS20)</f>
        <v>10963</v>
      </c>
      <c r="BU20" s="256">
        <f t="shared" ref="BU20:BU31" si="19">AP20/AV20*100</f>
        <v>109.36189035003474</v>
      </c>
      <c r="BV20" s="256">
        <f t="shared" ref="BV20:BV31" si="20">AV20/BT20</f>
        <v>143.29838182979111</v>
      </c>
      <c r="BW20" s="256">
        <f t="shared" ref="BW20:BW31" si="21">AP20/BT20</f>
        <v>156.71381921007026</v>
      </c>
      <c r="BX20" s="256">
        <f t="shared" ref="BX20:BX31" si="22">(M20+BA20)/AV20*100</f>
        <v>6.5095524885559346</v>
      </c>
      <c r="BY20" s="256">
        <v>4</v>
      </c>
      <c r="BZ20" s="256">
        <v>4.04</v>
      </c>
      <c r="CA20" s="256">
        <v>7.09</v>
      </c>
      <c r="CB20" s="256">
        <f t="shared" ref="CB20:CB48" si="23">CA20-BZ20</f>
        <v>3.05</v>
      </c>
      <c r="CC20" s="256">
        <v>7.46</v>
      </c>
      <c r="CD20" s="256">
        <v>9.2899999999999991</v>
      </c>
      <c r="CE20" s="256">
        <f t="shared" ref="CE20:CE43" si="24">CD20-CC20</f>
        <v>1.8299999999999992</v>
      </c>
    </row>
    <row r="21" spans="1:83" s="164" customFormat="1" ht="11.1" customHeight="1">
      <c r="A21" s="162"/>
      <c r="B21" s="162"/>
      <c r="C21" s="162"/>
      <c r="D21" s="162"/>
      <c r="E21" s="162"/>
      <c r="F21" s="162"/>
      <c r="G21" s="162"/>
      <c r="H21" s="162"/>
      <c r="I21" s="326" t="s">
        <v>566</v>
      </c>
      <c r="J21" s="463">
        <v>261231</v>
      </c>
      <c r="K21" s="463">
        <v>1682</v>
      </c>
      <c r="L21" s="463">
        <f t="shared" si="3"/>
        <v>262913</v>
      </c>
      <c r="M21" s="463">
        <v>21036.7</v>
      </c>
      <c r="N21" s="463">
        <f t="shared" si="4"/>
        <v>241876.3</v>
      </c>
      <c r="O21" s="463">
        <v>35074.6</v>
      </c>
      <c r="P21" s="463">
        <v>102612.6</v>
      </c>
      <c r="Q21" s="463">
        <v>175888.8</v>
      </c>
      <c r="R21" s="463">
        <v>1292405.5</v>
      </c>
      <c r="S21" s="463">
        <f t="shared" si="5"/>
        <v>1468294.3</v>
      </c>
      <c r="T21" s="463">
        <f t="shared" si="6"/>
        <v>1570906.9000000001</v>
      </c>
      <c r="U21" s="463">
        <v>643.5</v>
      </c>
      <c r="V21" s="463">
        <v>341336.5</v>
      </c>
      <c r="W21" s="463">
        <f t="shared" si="7"/>
        <v>418408.6</v>
      </c>
      <c r="X21" s="463">
        <f t="shared" si="8"/>
        <v>1710814.1</v>
      </c>
      <c r="Y21" s="463">
        <v>2102773</v>
      </c>
      <c r="Z21" s="326" t="s">
        <v>566</v>
      </c>
      <c r="AA21" s="289">
        <v>0</v>
      </c>
      <c r="AB21" s="463">
        <v>42550.3</v>
      </c>
      <c r="AC21" s="463">
        <v>1298346</v>
      </c>
      <c r="AD21" s="463">
        <f t="shared" si="9"/>
        <v>1340896.3</v>
      </c>
      <c r="AE21" s="289">
        <v>0</v>
      </c>
      <c r="AF21" s="463">
        <v>1723.3</v>
      </c>
      <c r="AG21" s="463">
        <v>31292</v>
      </c>
      <c r="AH21" s="463">
        <f t="shared" si="10"/>
        <v>33015.300000000003</v>
      </c>
      <c r="AI21" s="466">
        <v>30666.1</v>
      </c>
      <c r="AJ21" s="466">
        <v>322740.5</v>
      </c>
      <c r="AK21" s="466">
        <v>26850.9</v>
      </c>
      <c r="AL21" s="466">
        <f t="shared" si="11"/>
        <v>349591.4</v>
      </c>
      <c r="AM21" s="466">
        <f t="shared" si="12"/>
        <v>30666.1</v>
      </c>
      <c r="AN21" s="466">
        <f t="shared" si="12"/>
        <v>367014.1</v>
      </c>
      <c r="AO21" s="466">
        <f t="shared" si="12"/>
        <v>1356488.9</v>
      </c>
      <c r="AP21" s="466">
        <f t="shared" si="12"/>
        <v>1723503</v>
      </c>
      <c r="AQ21" s="326" t="s">
        <v>566</v>
      </c>
      <c r="AR21" s="463">
        <v>6507.5</v>
      </c>
      <c r="AS21" s="463">
        <v>100956.6</v>
      </c>
      <c r="AT21" s="463">
        <v>40025.4</v>
      </c>
      <c r="AU21" s="463">
        <v>729.2</v>
      </c>
      <c r="AV21" s="463">
        <f>1570966.1-9.84</f>
        <v>1570956.26</v>
      </c>
      <c r="AW21" s="463">
        <v>15024.5</v>
      </c>
      <c r="AX21" s="463">
        <f>AV21+AW21</f>
        <v>1585980.76</v>
      </c>
      <c r="AY21" s="463">
        <f t="shared" si="14"/>
        <v>63439.2304</v>
      </c>
      <c r="AZ21" s="463">
        <f t="shared" si="15"/>
        <v>14330.464900000006</v>
      </c>
      <c r="BA21" s="463">
        <f>77780-10.3047</f>
        <v>77769.695300000007</v>
      </c>
      <c r="BB21" s="463">
        <v>4347458.0999999996</v>
      </c>
      <c r="BC21" s="463">
        <f t="shared" si="16"/>
        <v>340682.69530000002</v>
      </c>
      <c r="BD21" s="857">
        <v>4126.8</v>
      </c>
      <c r="BE21" s="463">
        <v>65225.5</v>
      </c>
      <c r="BF21" s="463">
        <v>13529.3</v>
      </c>
      <c r="BG21" s="463">
        <v>318294.40000000002</v>
      </c>
      <c r="BH21" s="463">
        <f t="shared" si="17"/>
        <v>401176</v>
      </c>
      <c r="BI21" s="326" t="s">
        <v>566</v>
      </c>
      <c r="BJ21" s="447">
        <v>1.8</v>
      </c>
      <c r="BK21" s="295">
        <v>3.81</v>
      </c>
      <c r="BL21" s="295">
        <v>0.83</v>
      </c>
      <c r="BM21" s="295">
        <v>1.06</v>
      </c>
      <c r="BN21" s="295">
        <v>0.16</v>
      </c>
      <c r="BO21" s="295" t="s">
        <v>295</v>
      </c>
      <c r="BP21" s="296">
        <v>3812</v>
      </c>
      <c r="BQ21" s="296">
        <v>1519</v>
      </c>
      <c r="BR21" s="296">
        <v>5572</v>
      </c>
      <c r="BS21" s="296">
        <v>63</v>
      </c>
      <c r="BT21" s="296">
        <f t="shared" si="18"/>
        <v>10966</v>
      </c>
      <c r="BU21" s="295">
        <f t="shared" si="19"/>
        <v>109.71043840520423</v>
      </c>
      <c r="BV21" s="295">
        <f t="shared" si="20"/>
        <v>143.25699981761809</v>
      </c>
      <c r="BW21" s="295">
        <f t="shared" si="21"/>
        <v>157.16788254605143</v>
      </c>
      <c r="BX21" s="295">
        <f t="shared" si="22"/>
        <v>6.289570105535593</v>
      </c>
      <c r="BY21" s="295">
        <v>4</v>
      </c>
      <c r="BZ21" s="295">
        <v>4.07</v>
      </c>
      <c r="CA21" s="295">
        <v>7.11</v>
      </c>
      <c r="CB21" s="295">
        <f t="shared" si="23"/>
        <v>3.04</v>
      </c>
      <c r="CC21" s="295">
        <v>7.44</v>
      </c>
      <c r="CD21" s="295">
        <v>9.1999999999999993</v>
      </c>
      <c r="CE21" s="295">
        <f t="shared" si="24"/>
        <v>1.7599999999999989</v>
      </c>
    </row>
    <row r="22" spans="1:83" s="164" customFormat="1" ht="11.1" customHeight="1">
      <c r="A22" s="162"/>
      <c r="B22" s="162"/>
      <c r="C22" s="162"/>
      <c r="D22" s="162"/>
      <c r="E22" s="162"/>
      <c r="F22" s="162"/>
      <c r="G22" s="162"/>
      <c r="H22" s="162"/>
      <c r="I22" s="253" t="s">
        <v>560</v>
      </c>
      <c r="J22" s="468">
        <v>259946.1</v>
      </c>
      <c r="K22" s="468">
        <v>1690.6</v>
      </c>
      <c r="L22" s="468">
        <f t="shared" si="3"/>
        <v>261636.7</v>
      </c>
      <c r="M22" s="468">
        <v>21638.5</v>
      </c>
      <c r="N22" s="468">
        <f t="shared" si="4"/>
        <v>239998.2</v>
      </c>
      <c r="O22" s="468">
        <v>34713.9</v>
      </c>
      <c r="P22" s="468">
        <v>102039.5</v>
      </c>
      <c r="Q22" s="468">
        <v>177798.3</v>
      </c>
      <c r="R22" s="468">
        <v>1304378.7</v>
      </c>
      <c r="S22" s="468">
        <f t="shared" si="5"/>
        <v>1482177</v>
      </c>
      <c r="T22" s="468">
        <f t="shared" si="6"/>
        <v>1584216.5</v>
      </c>
      <c r="U22" s="468">
        <v>652.30000000000007</v>
      </c>
      <c r="V22" s="468">
        <v>340080.39999999997</v>
      </c>
      <c r="W22" s="468">
        <f t="shared" si="7"/>
        <v>418448.8</v>
      </c>
      <c r="X22" s="468">
        <f t="shared" si="8"/>
        <v>1722827.5</v>
      </c>
      <c r="Y22" s="468">
        <v>2114833.2000000002</v>
      </c>
      <c r="Z22" s="253" t="s">
        <v>560</v>
      </c>
      <c r="AA22" s="230">
        <v>0</v>
      </c>
      <c r="AB22" s="468">
        <v>40984.400000000001</v>
      </c>
      <c r="AC22" s="468">
        <v>1315814.3999999999</v>
      </c>
      <c r="AD22" s="468">
        <f t="shared" si="9"/>
        <v>1356798.7999999998</v>
      </c>
      <c r="AE22" s="230">
        <v>0</v>
      </c>
      <c r="AF22" s="468">
        <v>1599</v>
      </c>
      <c r="AG22" s="468">
        <v>30782</v>
      </c>
      <c r="AH22" s="468">
        <f t="shared" si="10"/>
        <v>32381</v>
      </c>
      <c r="AI22" s="479">
        <v>31087.4</v>
      </c>
      <c r="AJ22" s="479">
        <v>318335.3</v>
      </c>
      <c r="AK22" s="479">
        <v>26797.9</v>
      </c>
      <c r="AL22" s="479">
        <f t="shared" si="11"/>
        <v>345133.2</v>
      </c>
      <c r="AM22" s="479">
        <f t="shared" si="12"/>
        <v>31087.4</v>
      </c>
      <c r="AN22" s="479">
        <f t="shared" si="12"/>
        <v>360918.7</v>
      </c>
      <c r="AO22" s="479">
        <f t="shared" si="12"/>
        <v>1373394.2999999998</v>
      </c>
      <c r="AP22" s="479">
        <f t="shared" si="12"/>
        <v>1734312.9999999998</v>
      </c>
      <c r="AQ22" s="253" t="s">
        <v>560</v>
      </c>
      <c r="AR22" s="468">
        <v>7316.3</v>
      </c>
      <c r="AS22" s="468">
        <v>99274.6</v>
      </c>
      <c r="AT22" s="468">
        <v>41852.5</v>
      </c>
      <c r="AU22" s="468">
        <v>765.1</v>
      </c>
      <c r="AV22" s="468">
        <f>1584272.1-9.77</f>
        <v>1584262.33</v>
      </c>
      <c r="AW22" s="468">
        <v>15315.6</v>
      </c>
      <c r="AX22" s="468">
        <f t="shared" si="13"/>
        <v>1599577.9300000002</v>
      </c>
      <c r="AY22" s="468">
        <f t="shared" si="14"/>
        <v>63983.117200000008</v>
      </c>
      <c r="AZ22" s="468">
        <f t="shared" si="15"/>
        <v>13802.04339999998</v>
      </c>
      <c r="BA22" s="468">
        <f>77791.4-6.2394</f>
        <v>77785.160599999988</v>
      </c>
      <c r="BB22" s="468">
        <v>4399584.0999999996</v>
      </c>
      <c r="BC22" s="468">
        <f t="shared" si="16"/>
        <v>339421.86060000001</v>
      </c>
      <c r="BD22" s="233">
        <v>4787.5</v>
      </c>
      <c r="BE22" s="468">
        <v>70650.399999999994</v>
      </c>
      <c r="BF22" s="468">
        <v>12590.9</v>
      </c>
      <c r="BG22" s="468">
        <v>313793.09999999998</v>
      </c>
      <c r="BH22" s="468">
        <f t="shared" si="17"/>
        <v>401821.9</v>
      </c>
      <c r="BI22" s="253" t="s">
        <v>560</v>
      </c>
      <c r="BJ22" s="558">
        <v>3.24</v>
      </c>
      <c r="BK22" s="256">
        <v>2.6</v>
      </c>
      <c r="BL22" s="256">
        <v>2.09</v>
      </c>
      <c r="BM22" s="256">
        <v>2.29</v>
      </c>
      <c r="BN22" s="256">
        <v>0.86</v>
      </c>
      <c r="BO22" s="256" t="s">
        <v>295</v>
      </c>
      <c r="BP22" s="382">
        <v>3812</v>
      </c>
      <c r="BQ22" s="382">
        <v>1519</v>
      </c>
      <c r="BR22" s="382">
        <v>5580</v>
      </c>
      <c r="BS22" s="382">
        <v>63</v>
      </c>
      <c r="BT22" s="382">
        <f t="shared" si="18"/>
        <v>10974</v>
      </c>
      <c r="BU22" s="256">
        <f t="shared" si="19"/>
        <v>109.47132726434263</v>
      </c>
      <c r="BV22" s="256">
        <f t="shared" si="20"/>
        <v>144.36507472207035</v>
      </c>
      <c r="BW22" s="256">
        <f t="shared" si="21"/>
        <v>158.0383634044104</v>
      </c>
      <c r="BX22" s="256">
        <f t="shared" si="22"/>
        <v>6.2757069152808791</v>
      </c>
      <c r="BY22" s="256">
        <v>4</v>
      </c>
      <c r="BZ22" s="256">
        <v>4.09</v>
      </c>
      <c r="CA22" s="256">
        <v>7.12</v>
      </c>
      <c r="CB22" s="256">
        <f t="shared" si="23"/>
        <v>3.0300000000000002</v>
      </c>
      <c r="CC22" s="256">
        <v>7.48</v>
      </c>
      <c r="CD22" s="256">
        <v>9.11</v>
      </c>
      <c r="CE22" s="256">
        <f t="shared" si="24"/>
        <v>1.629999999999999</v>
      </c>
    </row>
    <row r="23" spans="1:83" s="164" customFormat="1" ht="11.1" customHeight="1">
      <c r="A23" s="162"/>
      <c r="B23" s="162"/>
      <c r="C23" s="162"/>
      <c r="D23" s="162"/>
      <c r="E23" s="162"/>
      <c r="F23" s="162"/>
      <c r="G23" s="162"/>
      <c r="H23" s="162"/>
      <c r="I23" s="326" t="s">
        <v>567</v>
      </c>
      <c r="J23" s="463">
        <v>256374.7</v>
      </c>
      <c r="K23" s="463">
        <v>1698.5</v>
      </c>
      <c r="L23" s="463">
        <f t="shared" si="3"/>
        <v>258073.2</v>
      </c>
      <c r="M23" s="463">
        <v>21959</v>
      </c>
      <c r="N23" s="463">
        <f t="shared" si="4"/>
        <v>236114.2</v>
      </c>
      <c r="O23" s="463">
        <v>34367.4</v>
      </c>
      <c r="P23" s="463">
        <v>101890.5</v>
      </c>
      <c r="Q23" s="463">
        <v>178312.1</v>
      </c>
      <c r="R23" s="463">
        <v>1311731.2</v>
      </c>
      <c r="S23" s="463">
        <f t="shared" si="5"/>
        <v>1490043.3</v>
      </c>
      <c r="T23" s="463">
        <f t="shared" si="6"/>
        <v>1591933.8</v>
      </c>
      <c r="U23" s="463">
        <v>611.70000000000005</v>
      </c>
      <c r="V23" s="463">
        <v>335476.60000000003</v>
      </c>
      <c r="W23" s="463">
        <f t="shared" si="7"/>
        <v>415038.00000000006</v>
      </c>
      <c r="X23" s="463">
        <f t="shared" si="8"/>
        <v>1726769.2</v>
      </c>
      <c r="Y23" s="463">
        <v>2114814.7000000002</v>
      </c>
      <c r="Z23" s="326" t="s">
        <v>567</v>
      </c>
      <c r="AA23" s="289">
        <v>0</v>
      </c>
      <c r="AB23" s="463">
        <v>42682.5</v>
      </c>
      <c r="AC23" s="463">
        <v>1324983.7</v>
      </c>
      <c r="AD23" s="463">
        <f t="shared" si="9"/>
        <v>1367666.2</v>
      </c>
      <c r="AE23" s="289">
        <v>0</v>
      </c>
      <c r="AF23" s="463">
        <v>1514.1</v>
      </c>
      <c r="AG23" s="463">
        <v>31165.1</v>
      </c>
      <c r="AH23" s="463">
        <f t="shared" si="10"/>
        <v>32679.199999999997</v>
      </c>
      <c r="AI23" s="466">
        <v>30824.5</v>
      </c>
      <c r="AJ23" s="466">
        <v>318336.8</v>
      </c>
      <c r="AK23" s="466">
        <v>26851.8</v>
      </c>
      <c r="AL23" s="466">
        <f t="shared" si="11"/>
        <v>345188.6</v>
      </c>
      <c r="AM23" s="466">
        <f t="shared" si="12"/>
        <v>30824.5</v>
      </c>
      <c r="AN23" s="466">
        <f t="shared" si="12"/>
        <v>362533.39999999997</v>
      </c>
      <c r="AO23" s="466">
        <f t="shared" si="12"/>
        <v>1383000.6</v>
      </c>
      <c r="AP23" s="466">
        <f t="shared" si="12"/>
        <v>1745534</v>
      </c>
      <c r="AQ23" s="326" t="s">
        <v>567</v>
      </c>
      <c r="AR23" s="463">
        <v>7453.9</v>
      </c>
      <c r="AS23" s="463">
        <v>99403</v>
      </c>
      <c r="AT23" s="463">
        <v>41086.699999999997</v>
      </c>
      <c r="AU23" s="463">
        <v>771.3</v>
      </c>
      <c r="AV23" s="463">
        <f>1591989.8-9.9</f>
        <v>1591979.9000000001</v>
      </c>
      <c r="AW23" s="463">
        <v>15989.6</v>
      </c>
      <c r="AX23" s="463">
        <f t="shared" si="13"/>
        <v>1607969.5000000002</v>
      </c>
      <c r="AY23" s="463">
        <f t="shared" si="14"/>
        <v>64318.780000000013</v>
      </c>
      <c r="AZ23" s="463">
        <f t="shared" si="15"/>
        <v>12464.832899999979</v>
      </c>
      <c r="BA23" s="463">
        <f>76791.7-8.0871</f>
        <v>76783.612899999993</v>
      </c>
      <c r="BB23" s="463">
        <v>4440076.2</v>
      </c>
      <c r="BC23" s="463">
        <f t="shared" si="16"/>
        <v>334856.81290000002</v>
      </c>
      <c r="BD23" s="857">
        <v>10126.799999999999</v>
      </c>
      <c r="BE23" s="463">
        <v>75928.399999999994</v>
      </c>
      <c r="BF23" s="463">
        <v>13571.7</v>
      </c>
      <c r="BG23" s="463">
        <v>313801.2</v>
      </c>
      <c r="BH23" s="463">
        <f t="shared" si="17"/>
        <v>413428.10000000003</v>
      </c>
      <c r="BI23" s="326" t="s">
        <v>567</v>
      </c>
      <c r="BJ23" s="447">
        <v>7.71</v>
      </c>
      <c r="BK23" s="295">
        <v>4.28</v>
      </c>
      <c r="BL23" s="295">
        <v>2.81</v>
      </c>
      <c r="BM23" s="295">
        <v>3.67</v>
      </c>
      <c r="BN23" s="295">
        <v>1.0900000000000001</v>
      </c>
      <c r="BO23" s="295" t="s">
        <v>295</v>
      </c>
      <c r="BP23" s="296">
        <v>3812</v>
      </c>
      <c r="BQ23" s="296">
        <v>1519</v>
      </c>
      <c r="BR23" s="296">
        <v>5603</v>
      </c>
      <c r="BS23" s="296">
        <v>63</v>
      </c>
      <c r="BT23" s="296">
        <f t="shared" si="18"/>
        <v>10997</v>
      </c>
      <c r="BU23" s="295">
        <f t="shared" si="19"/>
        <v>109.64547982044243</v>
      </c>
      <c r="BV23" s="295">
        <f t="shared" si="20"/>
        <v>144.76492679821772</v>
      </c>
      <c r="BW23" s="295">
        <f t="shared" si="21"/>
        <v>158.72819859961808</v>
      </c>
      <c r="BX23" s="295">
        <f t="shared" si="22"/>
        <v>6.2025037439228967</v>
      </c>
      <c r="BY23" s="295">
        <v>4</v>
      </c>
      <c r="BZ23" s="295">
        <v>4.13</v>
      </c>
      <c r="CA23" s="295">
        <v>7.15</v>
      </c>
      <c r="CB23" s="295">
        <f t="shared" si="23"/>
        <v>3.0200000000000005</v>
      </c>
      <c r="CC23" s="295">
        <v>7.49</v>
      </c>
      <c r="CD23" s="295">
        <v>9.08</v>
      </c>
      <c r="CE23" s="295">
        <f t="shared" si="24"/>
        <v>1.5899999999999999</v>
      </c>
    </row>
    <row r="24" spans="1:83" s="164" customFormat="1" ht="11.1" customHeight="1">
      <c r="A24" s="162"/>
      <c r="B24" s="162"/>
      <c r="C24" s="162"/>
      <c r="D24" s="162"/>
      <c r="E24" s="162"/>
      <c r="F24" s="162"/>
      <c r="G24" s="162"/>
      <c r="H24" s="162"/>
      <c r="I24" s="253" t="s">
        <v>568</v>
      </c>
      <c r="J24" s="468">
        <v>272891.59999999998</v>
      </c>
      <c r="K24" s="468">
        <v>1707.9</v>
      </c>
      <c r="L24" s="468">
        <f t="shared" si="3"/>
        <v>274599.5</v>
      </c>
      <c r="M24" s="468">
        <v>21617.5</v>
      </c>
      <c r="N24" s="468">
        <f t="shared" si="4"/>
        <v>252982</v>
      </c>
      <c r="O24" s="468">
        <v>32525.1</v>
      </c>
      <c r="P24" s="468">
        <v>103586</v>
      </c>
      <c r="Q24" s="468">
        <v>179578</v>
      </c>
      <c r="R24" s="468">
        <v>1307310.1000000001</v>
      </c>
      <c r="S24" s="468">
        <f t="shared" si="5"/>
        <v>1486888.1</v>
      </c>
      <c r="T24" s="468">
        <f t="shared" si="6"/>
        <v>1590474.1</v>
      </c>
      <c r="U24" s="468">
        <v>602.29999999999995</v>
      </c>
      <c r="V24" s="468">
        <v>346365.80000000005</v>
      </c>
      <c r="W24" s="468">
        <f t="shared" si="7"/>
        <v>433162.3</v>
      </c>
      <c r="X24" s="468">
        <f t="shared" si="8"/>
        <v>1740472.4000000001</v>
      </c>
      <c r="Y24" s="468">
        <v>2127916.1</v>
      </c>
      <c r="Z24" s="253" t="s">
        <v>568</v>
      </c>
      <c r="AA24" s="230">
        <v>0</v>
      </c>
      <c r="AB24" s="468">
        <v>43316.6</v>
      </c>
      <c r="AC24" s="468">
        <v>1342392.8</v>
      </c>
      <c r="AD24" s="468">
        <f t="shared" si="9"/>
        <v>1385709.4000000001</v>
      </c>
      <c r="AE24" s="230">
        <v>0</v>
      </c>
      <c r="AF24" s="468">
        <v>1458.7</v>
      </c>
      <c r="AG24" s="468">
        <v>31098.6</v>
      </c>
      <c r="AH24" s="468">
        <f t="shared" si="10"/>
        <v>32557.3</v>
      </c>
      <c r="AI24" s="479">
        <v>31305.7</v>
      </c>
      <c r="AJ24" s="479">
        <v>309011.09999999998</v>
      </c>
      <c r="AK24" s="479">
        <v>26945.9</v>
      </c>
      <c r="AL24" s="479">
        <f t="shared" si="11"/>
        <v>335957</v>
      </c>
      <c r="AM24" s="479">
        <f t="shared" si="12"/>
        <v>31305.7</v>
      </c>
      <c r="AN24" s="479">
        <f t="shared" si="12"/>
        <v>353786.39999999997</v>
      </c>
      <c r="AO24" s="479">
        <f t="shared" si="12"/>
        <v>1400437.3</v>
      </c>
      <c r="AP24" s="479">
        <f t="shared" si="12"/>
        <v>1754223.7000000002</v>
      </c>
      <c r="AQ24" s="253" t="s">
        <v>568</v>
      </c>
      <c r="AR24" s="468">
        <v>10373</v>
      </c>
      <c r="AS24" s="468">
        <v>100332</v>
      </c>
      <c r="AT24" s="468">
        <v>39698.6</v>
      </c>
      <c r="AU24" s="468">
        <v>961</v>
      </c>
      <c r="AV24" s="468">
        <f>1590530.9-10.14</f>
        <v>1590520.76</v>
      </c>
      <c r="AW24" s="468">
        <v>15986.7</v>
      </c>
      <c r="AX24" s="468">
        <f t="shared" si="13"/>
        <v>1606507.46</v>
      </c>
      <c r="AY24" s="468">
        <f t="shared" si="14"/>
        <v>64260.2984</v>
      </c>
      <c r="AZ24" s="468">
        <f t="shared" si="15"/>
        <v>6899.2599000000046</v>
      </c>
      <c r="BA24" s="468">
        <f>71164-4.4417</f>
        <v>71159.558300000004</v>
      </c>
      <c r="BB24" s="468">
        <v>4464599.5999999996</v>
      </c>
      <c r="BC24" s="468">
        <f t="shared" si="16"/>
        <v>345759.05830000003</v>
      </c>
      <c r="BD24" s="233">
        <v>10126.799999999999</v>
      </c>
      <c r="BE24" s="468">
        <v>80564.800000000003</v>
      </c>
      <c r="BF24" s="468">
        <v>13510.5</v>
      </c>
      <c r="BG24" s="468">
        <v>304487.8</v>
      </c>
      <c r="BH24" s="468">
        <f t="shared" si="17"/>
        <v>408689.89999999997</v>
      </c>
      <c r="BI24" s="253" t="s">
        <v>568</v>
      </c>
      <c r="BJ24" s="558">
        <v>5.62</v>
      </c>
      <c r="BK24" s="256">
        <v>5.99</v>
      </c>
      <c r="BL24" s="256">
        <v>4.1100000000000003</v>
      </c>
      <c r="BM24" s="256">
        <v>4.4000000000000004</v>
      </c>
      <c r="BN24" s="256">
        <v>1.89</v>
      </c>
      <c r="BO24" s="256" t="s">
        <v>295</v>
      </c>
      <c r="BP24" s="382">
        <v>3812</v>
      </c>
      <c r="BQ24" s="382">
        <v>1519</v>
      </c>
      <c r="BR24" s="382">
        <v>5631</v>
      </c>
      <c r="BS24" s="382">
        <v>63</v>
      </c>
      <c r="BT24" s="382">
        <f t="shared" si="18"/>
        <v>11025</v>
      </c>
      <c r="BU24" s="256">
        <f t="shared" si="19"/>
        <v>110.29241139864155</v>
      </c>
      <c r="BV24" s="256">
        <f t="shared" si="20"/>
        <v>144.26492154195012</v>
      </c>
      <c r="BW24" s="256">
        <f t="shared" si="21"/>
        <v>159.11326077097507</v>
      </c>
      <c r="BX24" s="256">
        <f t="shared" si="22"/>
        <v>5.8331246364869829</v>
      </c>
      <c r="BY24" s="256">
        <v>4</v>
      </c>
      <c r="BZ24" s="256">
        <v>4.22</v>
      </c>
      <c r="CA24" s="256">
        <v>7.18</v>
      </c>
      <c r="CB24" s="256">
        <f t="shared" si="23"/>
        <v>2.96</v>
      </c>
      <c r="CC24" s="256">
        <v>7.49</v>
      </c>
      <c r="CD24" s="256">
        <v>9.11</v>
      </c>
      <c r="CE24" s="256">
        <f t="shared" si="24"/>
        <v>1.6199999999999992</v>
      </c>
    </row>
    <row r="25" spans="1:83" s="164" customFormat="1" ht="11.1" customHeight="1">
      <c r="A25" s="162"/>
      <c r="B25" s="162"/>
      <c r="C25" s="162"/>
      <c r="D25" s="162"/>
      <c r="E25" s="162"/>
      <c r="F25" s="162"/>
      <c r="G25" s="162"/>
      <c r="H25" s="162"/>
      <c r="I25" s="326" t="s">
        <v>561</v>
      </c>
      <c r="J25" s="463">
        <v>290646.3</v>
      </c>
      <c r="K25" s="463">
        <v>1717.2</v>
      </c>
      <c r="L25" s="463">
        <f t="shared" si="3"/>
        <v>292363.5</v>
      </c>
      <c r="M25" s="463">
        <v>24182</v>
      </c>
      <c r="N25" s="463">
        <f t="shared" si="4"/>
        <v>268181.5</v>
      </c>
      <c r="O25" s="463">
        <v>32675.3</v>
      </c>
      <c r="P25" s="463">
        <v>104113.5</v>
      </c>
      <c r="Q25" s="463">
        <v>183741.4</v>
      </c>
      <c r="R25" s="463">
        <v>1305427.7</v>
      </c>
      <c r="S25" s="463">
        <f t="shared" si="5"/>
        <v>1489169.0999999999</v>
      </c>
      <c r="T25" s="463">
        <f t="shared" si="6"/>
        <v>1593282.5999999999</v>
      </c>
      <c r="U25" s="463">
        <v>618</v>
      </c>
      <c r="V25" s="463">
        <v>380011.69999999995</v>
      </c>
      <c r="W25" s="463">
        <f t="shared" si="7"/>
        <v>452540.9</v>
      </c>
      <c r="X25" s="463">
        <f t="shared" si="8"/>
        <v>1757968.6</v>
      </c>
      <c r="Y25" s="463">
        <v>2144175.1</v>
      </c>
      <c r="Z25" s="326" t="s">
        <v>561</v>
      </c>
      <c r="AA25" s="289">
        <v>0</v>
      </c>
      <c r="AB25" s="463">
        <v>46764</v>
      </c>
      <c r="AC25" s="463">
        <v>1364888</v>
      </c>
      <c r="AD25" s="463">
        <f t="shared" si="9"/>
        <v>1411652</v>
      </c>
      <c r="AE25" s="289">
        <v>0</v>
      </c>
      <c r="AF25" s="463">
        <v>1390.9</v>
      </c>
      <c r="AG25" s="463">
        <v>28153.599999999999</v>
      </c>
      <c r="AH25" s="463">
        <f t="shared" si="10"/>
        <v>29544.5</v>
      </c>
      <c r="AI25" s="466">
        <v>31581.9</v>
      </c>
      <c r="AJ25" s="466">
        <v>290263.7</v>
      </c>
      <c r="AK25" s="466">
        <v>26834.2</v>
      </c>
      <c r="AL25" s="466">
        <f t="shared" si="11"/>
        <v>317097.90000000002</v>
      </c>
      <c r="AM25" s="466">
        <f t="shared" si="12"/>
        <v>31581.9</v>
      </c>
      <c r="AN25" s="466">
        <f t="shared" si="12"/>
        <v>338418.60000000003</v>
      </c>
      <c r="AO25" s="466">
        <f t="shared" si="12"/>
        <v>1419875.8</v>
      </c>
      <c r="AP25" s="466">
        <f t="shared" si="12"/>
        <v>1758294.4</v>
      </c>
      <c r="AQ25" s="326" t="s">
        <v>561</v>
      </c>
      <c r="AR25" s="463">
        <v>10866.3</v>
      </c>
      <c r="AS25" s="463">
        <v>120447.6</v>
      </c>
      <c r="AT25" s="463">
        <v>38939.699999999997</v>
      </c>
      <c r="AU25" s="463">
        <v>1157.2</v>
      </c>
      <c r="AV25" s="463">
        <f>1593338.9-11.04</f>
        <v>1593327.8599999999</v>
      </c>
      <c r="AW25" s="463">
        <v>16505.099999999999</v>
      </c>
      <c r="AX25" s="463">
        <f t="shared" si="13"/>
        <v>1609832.96</v>
      </c>
      <c r="AY25" s="463">
        <f t="shared" si="14"/>
        <v>64393.318399999996</v>
      </c>
      <c r="AZ25" s="463">
        <f>BA25-AY25</f>
        <v>22632.507000000005</v>
      </c>
      <c r="BA25" s="463">
        <f>87030.2-4.3746</f>
        <v>87025.825400000002</v>
      </c>
      <c r="BB25" s="463">
        <v>4219408.8</v>
      </c>
      <c r="BC25" s="463">
        <f t="shared" si="16"/>
        <v>379389.32539999997</v>
      </c>
      <c r="BD25" s="857">
        <v>9659.7000000000007</v>
      </c>
      <c r="BE25" s="463">
        <v>94469.5</v>
      </c>
      <c r="BF25" s="463">
        <v>14314.4</v>
      </c>
      <c r="BG25" s="463">
        <v>285740.3</v>
      </c>
      <c r="BH25" s="463">
        <f t="shared" si="17"/>
        <v>404183.9</v>
      </c>
      <c r="BI25" s="326" t="s">
        <v>561</v>
      </c>
      <c r="BJ25" s="447">
        <v>3.64</v>
      </c>
      <c r="BK25" s="295">
        <v>12.93</v>
      </c>
      <c r="BL25" s="295">
        <v>5.54</v>
      </c>
      <c r="BM25" s="295">
        <v>5.38</v>
      </c>
      <c r="BN25" s="295">
        <v>2.92</v>
      </c>
      <c r="BO25" s="295" t="s">
        <v>295</v>
      </c>
      <c r="BP25" s="296">
        <v>3823</v>
      </c>
      <c r="BQ25" s="296">
        <v>1523</v>
      </c>
      <c r="BR25" s="296">
        <v>5744</v>
      </c>
      <c r="BS25" s="296">
        <v>63</v>
      </c>
      <c r="BT25" s="296">
        <f t="shared" si="18"/>
        <v>11153</v>
      </c>
      <c r="BU25" s="295">
        <f t="shared" si="19"/>
        <v>110.35358410164247</v>
      </c>
      <c r="BV25" s="295">
        <f t="shared" si="20"/>
        <v>142.86092172509638</v>
      </c>
      <c r="BW25" s="295">
        <f t="shared" si="21"/>
        <v>157.65214740428584</v>
      </c>
      <c r="BX25" s="295">
        <f t="shared" si="22"/>
        <v>6.9795946077287576</v>
      </c>
      <c r="BY25" s="295">
        <v>4</v>
      </c>
      <c r="BZ25" s="295">
        <v>4.2300000000000004</v>
      </c>
      <c r="CA25" s="295">
        <v>7.22</v>
      </c>
      <c r="CB25" s="295">
        <f t="shared" si="23"/>
        <v>2.9899999999999993</v>
      </c>
      <c r="CC25" s="295">
        <v>7.74</v>
      </c>
      <c r="CD25" s="295">
        <v>8.89</v>
      </c>
      <c r="CE25" s="295">
        <f t="shared" si="24"/>
        <v>1.1500000000000004</v>
      </c>
    </row>
    <row r="26" spans="1:83" s="164" customFormat="1" ht="11.1" customHeight="1">
      <c r="A26" s="162"/>
      <c r="B26" s="162"/>
      <c r="C26" s="162"/>
      <c r="D26" s="162"/>
      <c r="E26" s="162"/>
      <c r="F26" s="162"/>
      <c r="G26" s="162"/>
      <c r="H26" s="162"/>
      <c r="I26" s="253" t="s">
        <v>569</v>
      </c>
      <c r="J26" s="468">
        <v>285416.2</v>
      </c>
      <c r="K26" s="468">
        <v>1727.1</v>
      </c>
      <c r="L26" s="468">
        <f t="shared" si="3"/>
        <v>287143.3</v>
      </c>
      <c r="M26" s="468">
        <v>24150.5</v>
      </c>
      <c r="N26" s="468">
        <f t="shared" si="4"/>
        <v>262992.8</v>
      </c>
      <c r="O26" s="468">
        <v>32026.6</v>
      </c>
      <c r="P26" s="468">
        <v>102759.9</v>
      </c>
      <c r="Q26" s="468">
        <v>179483</v>
      </c>
      <c r="R26" s="468">
        <v>1308288.3</v>
      </c>
      <c r="S26" s="468">
        <f t="shared" si="5"/>
        <v>1487771.3</v>
      </c>
      <c r="T26" s="468">
        <f t="shared" si="6"/>
        <v>1590531.2</v>
      </c>
      <c r="U26" s="468">
        <v>676.5</v>
      </c>
      <c r="V26" s="468">
        <v>352790.30000000005</v>
      </c>
      <c r="W26" s="468">
        <f t="shared" si="7"/>
        <v>443152.3</v>
      </c>
      <c r="X26" s="468">
        <f t="shared" si="8"/>
        <v>1751440.6</v>
      </c>
      <c r="Y26" s="468">
        <v>2139035.6000000006</v>
      </c>
      <c r="Z26" s="253" t="s">
        <v>569</v>
      </c>
      <c r="AA26" s="230">
        <v>0</v>
      </c>
      <c r="AB26" s="468">
        <v>49214.6</v>
      </c>
      <c r="AC26" s="468">
        <v>1361291.3</v>
      </c>
      <c r="AD26" s="468">
        <f t="shared" si="9"/>
        <v>1410505.9000000001</v>
      </c>
      <c r="AE26" s="230">
        <v>0</v>
      </c>
      <c r="AF26" s="468">
        <v>1359.9</v>
      </c>
      <c r="AG26" s="468">
        <v>31186.6</v>
      </c>
      <c r="AH26" s="468">
        <f t="shared" si="10"/>
        <v>32546.5</v>
      </c>
      <c r="AI26" s="479">
        <v>31426</v>
      </c>
      <c r="AJ26" s="479">
        <v>296699.90000000002</v>
      </c>
      <c r="AK26" s="479">
        <v>26992.5</v>
      </c>
      <c r="AL26" s="479">
        <f t="shared" si="11"/>
        <v>323692.40000000002</v>
      </c>
      <c r="AM26" s="479">
        <f t="shared" si="12"/>
        <v>31426</v>
      </c>
      <c r="AN26" s="479">
        <f t="shared" si="12"/>
        <v>347274.4</v>
      </c>
      <c r="AO26" s="479">
        <f t="shared" si="12"/>
        <v>1419470.4000000001</v>
      </c>
      <c r="AP26" s="479">
        <f t="shared" si="12"/>
        <v>1766744.8000000003</v>
      </c>
      <c r="AQ26" s="253" t="s">
        <v>569</v>
      </c>
      <c r="AR26" s="468">
        <v>11294.1</v>
      </c>
      <c r="AS26" s="468">
        <v>108098.5</v>
      </c>
      <c r="AT26" s="468">
        <v>39970.6</v>
      </c>
      <c r="AU26" s="468">
        <v>523</v>
      </c>
      <c r="AV26" s="468">
        <f>1590592.3-10.18</f>
        <v>1590582.12</v>
      </c>
      <c r="AW26" s="468">
        <v>16071.3</v>
      </c>
      <c r="AX26" s="468">
        <f t="shared" si="13"/>
        <v>1606653.4200000002</v>
      </c>
      <c r="AY26" s="468">
        <f t="shared" si="14"/>
        <v>64266.136800000007</v>
      </c>
      <c r="AZ26" s="468">
        <f t="shared" si="15"/>
        <v>701.69229999999516</v>
      </c>
      <c r="BA26" s="468">
        <f>64970.5-2.6709</f>
        <v>64967.829100000003</v>
      </c>
      <c r="BB26" s="468">
        <v>4236590.4000000004</v>
      </c>
      <c r="BC26" s="468">
        <f t="shared" si="16"/>
        <v>352111.12910000002</v>
      </c>
      <c r="BD26" s="233">
        <v>4126.8</v>
      </c>
      <c r="BE26" s="468">
        <v>102814.6</v>
      </c>
      <c r="BF26" s="468">
        <v>15131.7</v>
      </c>
      <c r="BG26" s="468">
        <v>292193.59999999998</v>
      </c>
      <c r="BH26" s="468">
        <f t="shared" si="17"/>
        <v>414266.7</v>
      </c>
      <c r="BI26" s="253" t="s">
        <v>569</v>
      </c>
      <c r="BJ26" s="558">
        <v>7.16</v>
      </c>
      <c r="BK26" s="256">
        <v>17.11</v>
      </c>
      <c r="BL26" s="256">
        <v>5.53</v>
      </c>
      <c r="BM26" s="256">
        <v>6.07</v>
      </c>
      <c r="BN26" s="256">
        <v>2.54</v>
      </c>
      <c r="BO26" s="256" t="s">
        <v>295</v>
      </c>
      <c r="BP26" s="382">
        <v>3823</v>
      </c>
      <c r="BQ26" s="382">
        <v>1523</v>
      </c>
      <c r="BR26" s="382">
        <v>5748</v>
      </c>
      <c r="BS26" s="382">
        <v>63</v>
      </c>
      <c r="BT26" s="382">
        <f t="shared" si="18"/>
        <v>11157</v>
      </c>
      <c r="BU26" s="256">
        <f t="shared" si="19"/>
        <v>111.07535900126931</v>
      </c>
      <c r="BV26" s="256">
        <f t="shared" si="20"/>
        <v>142.56360311911806</v>
      </c>
      <c r="BW26" s="256">
        <f t="shared" si="21"/>
        <v>158.35303396970514</v>
      </c>
      <c r="BX26" s="256">
        <f t="shared" si="22"/>
        <v>5.6028750719264968</v>
      </c>
      <c r="BY26" s="256">
        <v>4</v>
      </c>
      <c r="BZ26" s="256">
        <v>4.29</v>
      </c>
      <c r="CA26" s="256">
        <v>7.24</v>
      </c>
      <c r="CB26" s="256">
        <f t="shared" si="23"/>
        <v>2.95</v>
      </c>
      <c r="CC26" s="256">
        <v>7.74</v>
      </c>
      <c r="CD26" s="256">
        <v>8.8800000000000008</v>
      </c>
      <c r="CE26" s="256">
        <f t="shared" si="24"/>
        <v>1.1400000000000006</v>
      </c>
    </row>
    <row r="27" spans="1:83" s="164" customFormat="1" ht="11.1" customHeight="1">
      <c r="A27" s="162"/>
      <c r="B27" s="162"/>
      <c r="C27" s="162"/>
      <c r="D27" s="162"/>
      <c r="E27" s="162"/>
      <c r="F27" s="162"/>
      <c r="G27" s="162"/>
      <c r="H27" s="162"/>
      <c r="I27" s="326" t="s">
        <v>570</v>
      </c>
      <c r="J27" s="463">
        <v>280759.2</v>
      </c>
      <c r="K27" s="463">
        <v>1735.6</v>
      </c>
      <c r="L27" s="463">
        <f t="shared" si="3"/>
        <v>282494.8</v>
      </c>
      <c r="M27" s="463">
        <v>24827.200000000001</v>
      </c>
      <c r="N27" s="463">
        <f t="shared" si="4"/>
        <v>257667.59999999998</v>
      </c>
      <c r="O27" s="463">
        <v>31594.2</v>
      </c>
      <c r="P27" s="463">
        <v>103435.1</v>
      </c>
      <c r="Q27" s="463">
        <v>179033.5</v>
      </c>
      <c r="R27" s="463">
        <v>1325733.6000000001</v>
      </c>
      <c r="S27" s="463">
        <f t="shared" si="5"/>
        <v>1504767.1</v>
      </c>
      <c r="T27" s="463">
        <f t="shared" si="6"/>
        <v>1608202.2000000002</v>
      </c>
      <c r="U27" s="463">
        <v>597.29999999999995</v>
      </c>
      <c r="V27" s="463">
        <v>350346.89999999997</v>
      </c>
      <c r="W27" s="463">
        <f t="shared" si="7"/>
        <v>437298.39999999997</v>
      </c>
      <c r="X27" s="463">
        <f t="shared" si="8"/>
        <v>1763032</v>
      </c>
      <c r="Y27" s="463">
        <v>2149278.1189999999</v>
      </c>
      <c r="Z27" s="326" t="s">
        <v>570</v>
      </c>
      <c r="AA27" s="289">
        <v>0</v>
      </c>
      <c r="AB27" s="463">
        <v>49210.5</v>
      </c>
      <c r="AC27" s="463">
        <v>1367393.3</v>
      </c>
      <c r="AD27" s="463">
        <f t="shared" si="9"/>
        <v>1416603.8</v>
      </c>
      <c r="AE27" s="289">
        <v>0</v>
      </c>
      <c r="AF27" s="463">
        <v>1326.7</v>
      </c>
      <c r="AG27" s="463">
        <v>32932.300000000003</v>
      </c>
      <c r="AH27" s="463">
        <f t="shared" si="10"/>
        <v>34259</v>
      </c>
      <c r="AI27" s="466">
        <v>31313.200000000001</v>
      </c>
      <c r="AJ27" s="466">
        <v>302004.3</v>
      </c>
      <c r="AK27" s="466">
        <v>26812.400000000001</v>
      </c>
      <c r="AL27" s="466">
        <f t="shared" si="11"/>
        <v>328816.7</v>
      </c>
      <c r="AM27" s="466">
        <f t="shared" si="12"/>
        <v>31313.200000000001</v>
      </c>
      <c r="AN27" s="466">
        <f t="shared" si="12"/>
        <v>352541.5</v>
      </c>
      <c r="AO27" s="466">
        <f t="shared" si="12"/>
        <v>1427138</v>
      </c>
      <c r="AP27" s="466">
        <f t="shared" si="12"/>
        <v>1779679.5</v>
      </c>
      <c r="AQ27" s="326" t="s">
        <v>570</v>
      </c>
      <c r="AR27" s="463">
        <v>10998.3</v>
      </c>
      <c r="AS27" s="463">
        <v>107577</v>
      </c>
      <c r="AT27" s="463">
        <v>39987.699999999997</v>
      </c>
      <c r="AU27" s="463">
        <v>343.3</v>
      </c>
      <c r="AV27" s="463">
        <f>1608263.8-10.12</f>
        <v>1608253.68</v>
      </c>
      <c r="AW27" s="463">
        <v>16060.3</v>
      </c>
      <c r="AX27" s="463">
        <f t="shared" si="13"/>
        <v>1624313.98</v>
      </c>
      <c r="AY27" s="463">
        <f t="shared" si="14"/>
        <v>64972.559200000003</v>
      </c>
      <c r="AZ27" s="463">
        <f t="shared" si="15"/>
        <v>2278.9434000000037</v>
      </c>
      <c r="BA27" s="463">
        <f>67254.8-3.2974</f>
        <v>67251.502600000007</v>
      </c>
      <c r="BB27" s="463">
        <v>4298076.5999999996</v>
      </c>
      <c r="BC27" s="463">
        <f t="shared" si="16"/>
        <v>349746.3026</v>
      </c>
      <c r="BD27" s="857">
        <v>6516.1</v>
      </c>
      <c r="BE27" s="463">
        <v>107581.1</v>
      </c>
      <c r="BF27" s="463">
        <v>15567.1</v>
      </c>
      <c r="BG27" s="463">
        <v>297345</v>
      </c>
      <c r="BH27" s="463">
        <f t="shared" si="17"/>
        <v>427009.29999999993</v>
      </c>
      <c r="BI27" s="326" t="s">
        <v>570</v>
      </c>
      <c r="BJ27" s="447">
        <v>9.3699999999999992</v>
      </c>
      <c r="BK27" s="295">
        <v>16.27</v>
      </c>
      <c r="BL27" s="295">
        <v>6.13</v>
      </c>
      <c r="BM27" s="295">
        <v>6.91</v>
      </c>
      <c r="BN27" s="295">
        <v>3.21</v>
      </c>
      <c r="BO27" s="295" t="s">
        <v>295</v>
      </c>
      <c r="BP27" s="296">
        <v>3823</v>
      </c>
      <c r="BQ27" s="296">
        <v>1523</v>
      </c>
      <c r="BR27" s="296">
        <v>5748</v>
      </c>
      <c r="BS27" s="296">
        <v>63</v>
      </c>
      <c r="BT27" s="296">
        <f t="shared" si="18"/>
        <v>11157</v>
      </c>
      <c r="BU27" s="295">
        <f t="shared" si="19"/>
        <v>110.65912810471544</v>
      </c>
      <c r="BV27" s="295">
        <f t="shared" si="20"/>
        <v>144.14750201667115</v>
      </c>
      <c r="BW27" s="295">
        <f t="shared" si="21"/>
        <v>159.51236891637538</v>
      </c>
      <c r="BX27" s="295">
        <f t="shared" si="22"/>
        <v>5.7253842316717103</v>
      </c>
      <c r="BY27" s="295">
        <v>4</v>
      </c>
      <c r="BZ27" s="295">
        <v>4.3099999999999996</v>
      </c>
      <c r="CA27" s="295">
        <v>7.27</v>
      </c>
      <c r="CB27" s="295">
        <f t="shared" si="23"/>
        <v>2.96</v>
      </c>
      <c r="CC27" s="295">
        <v>7.72</v>
      </c>
      <c r="CD27" s="295">
        <v>8.8699999999999992</v>
      </c>
      <c r="CE27" s="295">
        <f t="shared" si="24"/>
        <v>1.1499999999999995</v>
      </c>
    </row>
    <row r="28" spans="1:83" s="164" customFormat="1" ht="11.1" customHeight="1">
      <c r="A28" s="162"/>
      <c r="B28" s="162"/>
      <c r="C28" s="162"/>
      <c r="D28" s="162"/>
      <c r="E28" s="162"/>
      <c r="F28" s="162"/>
      <c r="G28" s="162"/>
      <c r="H28" s="162"/>
      <c r="I28" s="253" t="s">
        <v>562</v>
      </c>
      <c r="J28" s="468">
        <v>277214.3</v>
      </c>
      <c r="K28" s="468">
        <v>1747</v>
      </c>
      <c r="L28" s="468">
        <f t="shared" si="3"/>
        <v>278961.3</v>
      </c>
      <c r="M28" s="468">
        <v>24292.7</v>
      </c>
      <c r="N28" s="468">
        <f t="shared" si="4"/>
        <v>254668.59999999998</v>
      </c>
      <c r="O28" s="468">
        <v>31392.3</v>
      </c>
      <c r="P28" s="468">
        <v>99075.9</v>
      </c>
      <c r="Q28" s="468">
        <v>179888.6</v>
      </c>
      <c r="R28" s="468">
        <v>1343407.5</v>
      </c>
      <c r="S28" s="468">
        <f t="shared" si="5"/>
        <v>1523296.1</v>
      </c>
      <c r="T28" s="468">
        <f t="shared" si="6"/>
        <v>1622372</v>
      </c>
      <c r="U28" s="468">
        <v>695.1</v>
      </c>
      <c r="V28" s="468">
        <v>345601.80000000005</v>
      </c>
      <c r="W28" s="468">
        <f t="shared" si="7"/>
        <v>435252.29999999993</v>
      </c>
      <c r="X28" s="468">
        <f t="shared" si="8"/>
        <v>1778659.7999999998</v>
      </c>
      <c r="Y28" s="468">
        <v>2163524.2069999999</v>
      </c>
      <c r="Z28" s="253" t="s">
        <v>562</v>
      </c>
      <c r="AA28" s="230">
        <v>0</v>
      </c>
      <c r="AB28" s="468">
        <v>51076.7</v>
      </c>
      <c r="AC28" s="468">
        <v>1377660.4</v>
      </c>
      <c r="AD28" s="468">
        <f t="shared" si="9"/>
        <v>1428737.0999999999</v>
      </c>
      <c r="AE28" s="230">
        <v>0</v>
      </c>
      <c r="AF28" s="468">
        <v>1246.7</v>
      </c>
      <c r="AG28" s="468">
        <v>35028.800000000003</v>
      </c>
      <c r="AH28" s="468">
        <f t="shared" si="10"/>
        <v>36275.5</v>
      </c>
      <c r="AI28" s="479">
        <v>31289.3</v>
      </c>
      <c r="AJ28" s="479">
        <v>307873.3</v>
      </c>
      <c r="AK28" s="479">
        <v>26925.9</v>
      </c>
      <c r="AL28" s="479">
        <f t="shared" si="11"/>
        <v>334799.2</v>
      </c>
      <c r="AM28" s="479">
        <f t="shared" si="12"/>
        <v>31289.3</v>
      </c>
      <c r="AN28" s="479">
        <f t="shared" si="12"/>
        <v>360196.69999999995</v>
      </c>
      <c r="AO28" s="479">
        <f t="shared" si="12"/>
        <v>1439615.0999999999</v>
      </c>
      <c r="AP28" s="479">
        <f t="shared" si="12"/>
        <v>1799811.7999999998</v>
      </c>
      <c r="AQ28" s="253" t="s">
        <v>562</v>
      </c>
      <c r="AR28" s="468">
        <v>9834.2999999999993</v>
      </c>
      <c r="AS28" s="468">
        <v>112160</v>
      </c>
      <c r="AT28" s="468">
        <v>42137.3</v>
      </c>
      <c r="AU28" s="468">
        <v>287.89999999999998</v>
      </c>
      <c r="AV28" s="468">
        <f>1622432.5-10.35</f>
        <v>1622422.15</v>
      </c>
      <c r="AW28" s="468">
        <v>16833.8</v>
      </c>
      <c r="AX28" s="468">
        <f t="shared" si="13"/>
        <v>1639255.95</v>
      </c>
      <c r="AY28" s="468">
        <f t="shared" si="14"/>
        <v>65570.237999999998</v>
      </c>
      <c r="AZ28" s="468">
        <f t="shared" si="15"/>
        <v>372.35659999999916</v>
      </c>
      <c r="BA28" s="468">
        <f>65945.4-2.8054</f>
        <v>65942.594599999997</v>
      </c>
      <c r="BB28" s="468">
        <v>4364604.8</v>
      </c>
      <c r="BC28" s="468">
        <f t="shared" si="16"/>
        <v>344903.8946</v>
      </c>
      <c r="BD28" s="233">
        <v>6516.1</v>
      </c>
      <c r="BE28" s="468">
        <v>110361.8</v>
      </c>
      <c r="BF28" s="468">
        <v>15918.4</v>
      </c>
      <c r="BG28" s="468">
        <v>303316.8</v>
      </c>
      <c r="BH28" s="468">
        <f t="shared" si="17"/>
        <v>436113.1</v>
      </c>
      <c r="BI28" s="253" t="s">
        <v>562</v>
      </c>
      <c r="BJ28" s="558">
        <v>14.56</v>
      </c>
      <c r="BK28" s="256">
        <v>19.86</v>
      </c>
      <c r="BL28" s="256">
        <v>7.07</v>
      </c>
      <c r="BM28" s="256">
        <v>8.6300000000000008</v>
      </c>
      <c r="BN28" s="256">
        <v>4.13</v>
      </c>
      <c r="BO28" s="256" t="s">
        <v>295</v>
      </c>
      <c r="BP28" s="382">
        <v>3825</v>
      </c>
      <c r="BQ28" s="382">
        <v>1523</v>
      </c>
      <c r="BR28" s="382">
        <v>5754</v>
      </c>
      <c r="BS28" s="382">
        <v>63</v>
      </c>
      <c r="BT28" s="382">
        <f t="shared" si="18"/>
        <v>11165</v>
      </c>
      <c r="BU28" s="256">
        <f t="shared" si="19"/>
        <v>110.93363092953335</v>
      </c>
      <c r="BV28" s="256">
        <f t="shared" si="20"/>
        <v>145.31322436184504</v>
      </c>
      <c r="BW28" s="256">
        <f t="shared" si="21"/>
        <v>161.20123600537391</v>
      </c>
      <c r="BX28" s="256">
        <f t="shared" si="22"/>
        <v>5.5617642177777222</v>
      </c>
      <c r="BY28" s="256">
        <v>4</v>
      </c>
      <c r="BZ28" s="256">
        <v>4.3499999999999996</v>
      </c>
      <c r="CA28" s="256">
        <v>7.31</v>
      </c>
      <c r="CB28" s="256">
        <f t="shared" si="23"/>
        <v>2.96</v>
      </c>
      <c r="CC28" s="256">
        <v>7.78</v>
      </c>
      <c r="CD28" s="256">
        <v>8.89</v>
      </c>
      <c r="CE28" s="256">
        <f t="shared" si="24"/>
        <v>1.1100000000000003</v>
      </c>
    </row>
    <row r="29" spans="1:83" s="164" customFormat="1" ht="11.1" customHeight="1">
      <c r="A29" s="162"/>
      <c r="B29" s="162"/>
      <c r="C29" s="162"/>
      <c r="D29" s="162"/>
      <c r="E29" s="162"/>
      <c r="F29" s="162"/>
      <c r="G29" s="162"/>
      <c r="H29" s="162"/>
      <c r="I29" s="326" t="s">
        <v>571</v>
      </c>
      <c r="J29" s="463">
        <v>289874.7</v>
      </c>
      <c r="K29" s="463">
        <v>1773.6</v>
      </c>
      <c r="L29" s="463">
        <f t="shared" si="3"/>
        <v>291648.3</v>
      </c>
      <c r="M29" s="463">
        <v>28274.7</v>
      </c>
      <c r="N29" s="463">
        <f t="shared" si="4"/>
        <v>263373.59999999998</v>
      </c>
      <c r="O29" s="463">
        <v>32640.6</v>
      </c>
      <c r="P29" s="463">
        <v>96831.8</v>
      </c>
      <c r="Q29" s="463">
        <v>184287.8</v>
      </c>
      <c r="R29" s="463">
        <v>1363910.6</v>
      </c>
      <c r="S29" s="463">
        <f t="shared" si="5"/>
        <v>1548198.4000000001</v>
      </c>
      <c r="T29" s="463">
        <f t="shared" si="6"/>
        <v>1645030.2000000002</v>
      </c>
      <c r="U29" s="463">
        <v>619.1</v>
      </c>
      <c r="V29" s="463">
        <v>357612.29999999993</v>
      </c>
      <c r="W29" s="463">
        <f t="shared" si="7"/>
        <v>448280.49999999994</v>
      </c>
      <c r="X29" s="463">
        <f t="shared" si="8"/>
        <v>1812191.1</v>
      </c>
      <c r="Y29" s="463">
        <v>2196458.63</v>
      </c>
      <c r="Z29" s="326" t="s">
        <v>571</v>
      </c>
      <c r="AA29" s="289">
        <v>0</v>
      </c>
      <c r="AB29" s="463">
        <v>49765.8</v>
      </c>
      <c r="AC29" s="463">
        <v>1385547.3</v>
      </c>
      <c r="AD29" s="463">
        <f t="shared" si="9"/>
        <v>1435313.1</v>
      </c>
      <c r="AE29" s="289">
        <v>0</v>
      </c>
      <c r="AF29" s="463">
        <v>1272.2</v>
      </c>
      <c r="AG29" s="463">
        <v>37476.699999999997</v>
      </c>
      <c r="AH29" s="463">
        <f t="shared" si="10"/>
        <v>38748.899999999994</v>
      </c>
      <c r="AI29" s="466">
        <v>31246.3</v>
      </c>
      <c r="AJ29" s="466">
        <v>311972</v>
      </c>
      <c r="AK29" s="466">
        <v>27010</v>
      </c>
      <c r="AL29" s="466">
        <f t="shared" si="11"/>
        <v>338982</v>
      </c>
      <c r="AM29" s="466">
        <f t="shared" si="12"/>
        <v>31246.3</v>
      </c>
      <c r="AN29" s="466">
        <f t="shared" si="12"/>
        <v>363010</v>
      </c>
      <c r="AO29" s="466">
        <f t="shared" si="12"/>
        <v>1450034</v>
      </c>
      <c r="AP29" s="466">
        <f t="shared" si="12"/>
        <v>1813044</v>
      </c>
      <c r="AQ29" s="326" t="s">
        <v>571</v>
      </c>
      <c r="AR29" s="463">
        <v>9233.1</v>
      </c>
      <c r="AS29" s="463">
        <v>106235.5</v>
      </c>
      <c r="AT29" s="463">
        <v>44019.4</v>
      </c>
      <c r="AU29" s="463">
        <v>402.1</v>
      </c>
      <c r="AV29" s="463">
        <f>1645090.9-10.52</f>
        <v>1645080.38</v>
      </c>
      <c r="AW29" s="463">
        <v>17112.2</v>
      </c>
      <c r="AX29" s="463">
        <f t="shared" si="13"/>
        <v>1662192.5799999998</v>
      </c>
      <c r="AY29" s="463">
        <f t="shared" si="14"/>
        <v>66487.703199999989</v>
      </c>
      <c r="AZ29" s="463">
        <f t="shared" si="15"/>
        <v>-1146.2509999999893</v>
      </c>
      <c r="BA29" s="463">
        <f>65344.9-3.4478</f>
        <v>65341.4522</v>
      </c>
      <c r="BB29" s="463">
        <v>4425295.9000000004</v>
      </c>
      <c r="BC29" s="463">
        <f t="shared" si="16"/>
        <v>356989.75219999999</v>
      </c>
      <c r="BD29" s="857">
        <v>13154.1</v>
      </c>
      <c r="BE29" s="463">
        <v>121876.4</v>
      </c>
      <c r="BF29" s="463">
        <v>15180.9</v>
      </c>
      <c r="BG29" s="463">
        <v>307440.5</v>
      </c>
      <c r="BH29" s="463">
        <f t="shared" si="17"/>
        <v>457651.9</v>
      </c>
      <c r="BI29" s="326" t="s">
        <v>571</v>
      </c>
      <c r="BJ29" s="447">
        <v>25.36</v>
      </c>
      <c r="BK29" s="295">
        <v>19.010000000000002</v>
      </c>
      <c r="BL29" s="295">
        <v>7.86</v>
      </c>
      <c r="BM29" s="295">
        <v>11.07</v>
      </c>
      <c r="BN29" s="295">
        <v>6.09</v>
      </c>
      <c r="BO29" s="295" t="s">
        <v>295</v>
      </c>
      <c r="BP29" s="296">
        <v>3823</v>
      </c>
      <c r="BQ29" s="296">
        <v>1523</v>
      </c>
      <c r="BR29" s="296">
        <v>5758</v>
      </c>
      <c r="BS29" s="296">
        <v>63</v>
      </c>
      <c r="BT29" s="296">
        <f t="shared" si="18"/>
        <v>11167</v>
      </c>
      <c r="BU29" s="295">
        <f t="shared" si="19"/>
        <v>110.21005551108696</v>
      </c>
      <c r="BV29" s="295">
        <f t="shared" si="20"/>
        <v>147.31623354526729</v>
      </c>
      <c r="BW29" s="295">
        <f t="shared" si="21"/>
        <v>162.35730276708159</v>
      </c>
      <c r="BX29" s="295">
        <f t="shared" si="22"/>
        <v>5.6906734368809389</v>
      </c>
      <c r="BY29" s="295">
        <v>4</v>
      </c>
      <c r="BZ29" s="295">
        <v>4.38</v>
      </c>
      <c r="CA29" s="295">
        <v>7.29</v>
      </c>
      <c r="CB29" s="295">
        <f t="shared" si="23"/>
        <v>2.91</v>
      </c>
      <c r="CC29" s="295">
        <v>7.83</v>
      </c>
      <c r="CD29" s="295">
        <v>8.27</v>
      </c>
      <c r="CE29" s="295">
        <f t="shared" si="24"/>
        <v>0.4399999999999995</v>
      </c>
    </row>
    <row r="30" spans="1:83" s="164" customFormat="1" ht="11.1" customHeight="1">
      <c r="A30" s="162"/>
      <c r="B30" s="162"/>
      <c r="C30" s="162"/>
      <c r="D30" s="162"/>
      <c r="E30" s="162"/>
      <c r="F30" s="162"/>
      <c r="G30" s="162"/>
      <c r="H30" s="162"/>
      <c r="I30" s="253" t="s">
        <v>572</v>
      </c>
      <c r="J30" s="468">
        <v>278217.09999999998</v>
      </c>
      <c r="K30" s="468">
        <v>1784.4</v>
      </c>
      <c r="L30" s="468">
        <f t="shared" si="3"/>
        <v>280001.5</v>
      </c>
      <c r="M30" s="468">
        <v>24171.599999999999</v>
      </c>
      <c r="N30" s="468">
        <f t="shared" si="4"/>
        <v>255829.9</v>
      </c>
      <c r="O30" s="468">
        <v>33917.9</v>
      </c>
      <c r="P30" s="468">
        <v>99908.5</v>
      </c>
      <c r="Q30" s="468">
        <v>184347.5</v>
      </c>
      <c r="R30" s="468">
        <v>1379152.2</v>
      </c>
      <c r="S30" s="468">
        <f t="shared" si="5"/>
        <v>1563499.7</v>
      </c>
      <c r="T30" s="468">
        <f t="shared" si="6"/>
        <v>1663408.2</v>
      </c>
      <c r="U30" s="468">
        <v>580</v>
      </c>
      <c r="V30" s="468">
        <v>348268.7</v>
      </c>
      <c r="W30" s="468">
        <f t="shared" si="7"/>
        <v>440757.4</v>
      </c>
      <c r="X30" s="468">
        <f t="shared" si="8"/>
        <v>1819909.6</v>
      </c>
      <c r="Y30" s="468">
        <v>2203921.79</v>
      </c>
      <c r="Z30" s="253" t="s">
        <v>572</v>
      </c>
      <c r="AA30" s="230">
        <v>0</v>
      </c>
      <c r="AB30" s="468">
        <v>50430.400000000001</v>
      </c>
      <c r="AC30" s="468">
        <v>1397397.7</v>
      </c>
      <c r="AD30" s="468">
        <f t="shared" si="9"/>
        <v>1447828.0999999999</v>
      </c>
      <c r="AE30" s="230">
        <v>0</v>
      </c>
      <c r="AF30" s="468">
        <v>1177.9000000000001</v>
      </c>
      <c r="AG30" s="468">
        <v>38294.699999999997</v>
      </c>
      <c r="AH30" s="468">
        <f t="shared" si="10"/>
        <v>39472.6</v>
      </c>
      <c r="AI30" s="479">
        <v>30710.400000000001</v>
      </c>
      <c r="AJ30" s="479">
        <v>324264.90000000002</v>
      </c>
      <c r="AK30" s="479">
        <v>27100.6</v>
      </c>
      <c r="AL30" s="479">
        <f t="shared" si="11"/>
        <v>351365.5</v>
      </c>
      <c r="AM30" s="479">
        <f t="shared" si="12"/>
        <v>30710.400000000001</v>
      </c>
      <c r="AN30" s="479">
        <f t="shared" si="12"/>
        <v>375873.2</v>
      </c>
      <c r="AO30" s="479">
        <f t="shared" si="12"/>
        <v>1462793</v>
      </c>
      <c r="AP30" s="479">
        <f t="shared" si="12"/>
        <v>1838666.2</v>
      </c>
      <c r="AQ30" s="253" t="s">
        <v>572</v>
      </c>
      <c r="AR30" s="468">
        <v>9040.4</v>
      </c>
      <c r="AS30" s="468">
        <v>106679.8</v>
      </c>
      <c r="AT30" s="468">
        <v>43161.7</v>
      </c>
      <c r="AU30" s="468">
        <v>173.8</v>
      </c>
      <c r="AV30" s="468">
        <f>1663463-10.2</f>
        <v>1663452.8</v>
      </c>
      <c r="AW30" s="468">
        <v>17287.8</v>
      </c>
      <c r="AX30" s="468">
        <f t="shared" si="13"/>
        <v>1680740.6</v>
      </c>
      <c r="AY30" s="468">
        <f t="shared" si="14"/>
        <v>67229.624000000011</v>
      </c>
      <c r="AZ30" s="468">
        <f t="shared" si="15"/>
        <v>452.29319999998552</v>
      </c>
      <c r="BA30" s="468">
        <f>67687.2-5.2828</f>
        <v>67681.917199999996</v>
      </c>
      <c r="BB30" s="468">
        <v>4501093.3</v>
      </c>
      <c r="BC30" s="468">
        <f t="shared" si="16"/>
        <v>347683.41720000003</v>
      </c>
      <c r="BD30" s="233">
        <v>6715.4</v>
      </c>
      <c r="BE30" s="468">
        <v>125694.9</v>
      </c>
      <c r="BF30" s="468">
        <v>15059.2</v>
      </c>
      <c r="BG30" s="468">
        <v>319748.90000000002</v>
      </c>
      <c r="BH30" s="468">
        <f t="shared" si="17"/>
        <v>467218.4</v>
      </c>
      <c r="BI30" s="253" t="s">
        <v>572</v>
      </c>
      <c r="BJ30" s="558">
        <v>27.49</v>
      </c>
      <c r="BK30" s="256">
        <v>20.84</v>
      </c>
      <c r="BL30" s="256">
        <v>8.81</v>
      </c>
      <c r="BM30" s="256">
        <v>12.25</v>
      </c>
      <c r="BN30" s="256">
        <v>6.54</v>
      </c>
      <c r="BO30" s="256" t="s">
        <v>295</v>
      </c>
      <c r="BP30" s="382">
        <v>3823</v>
      </c>
      <c r="BQ30" s="382">
        <v>1523</v>
      </c>
      <c r="BR30" s="382">
        <v>5767</v>
      </c>
      <c r="BS30" s="382">
        <v>63</v>
      </c>
      <c r="BT30" s="382">
        <f t="shared" si="18"/>
        <v>11176</v>
      </c>
      <c r="BU30" s="256">
        <f t="shared" si="19"/>
        <v>110.53311521673473</v>
      </c>
      <c r="BV30" s="256">
        <f t="shared" si="20"/>
        <v>148.84151753758053</v>
      </c>
      <c r="BW30" s="256">
        <f t="shared" si="21"/>
        <v>164.51916607015031</v>
      </c>
      <c r="BX30" s="256">
        <f t="shared" si="22"/>
        <v>5.5218589430370368</v>
      </c>
      <c r="BY30" s="256">
        <v>4</v>
      </c>
      <c r="BZ30" s="256">
        <v>4.41</v>
      </c>
      <c r="CA30" s="256">
        <v>7.32</v>
      </c>
      <c r="CB30" s="256">
        <f t="shared" si="23"/>
        <v>2.91</v>
      </c>
      <c r="CC30" s="256">
        <v>7.88</v>
      </c>
      <c r="CD30" s="256">
        <v>8.25</v>
      </c>
      <c r="CE30" s="256">
        <f t="shared" si="24"/>
        <v>0.37000000000000011</v>
      </c>
    </row>
    <row r="31" spans="1:83" s="164" customFormat="1" ht="11.1" customHeight="1">
      <c r="A31" s="162"/>
      <c r="B31" s="162"/>
      <c r="C31" s="162"/>
      <c r="D31" s="162"/>
      <c r="E31" s="162"/>
      <c r="F31" s="162"/>
      <c r="G31" s="162"/>
      <c r="H31" s="162"/>
      <c r="I31" s="326" t="s">
        <v>563</v>
      </c>
      <c r="J31" s="463">
        <v>310153.40000000002</v>
      </c>
      <c r="K31" s="463">
        <v>1794.4</v>
      </c>
      <c r="L31" s="463">
        <f>J31+K31</f>
        <v>311947.80000000005</v>
      </c>
      <c r="M31" s="463">
        <v>20034.3</v>
      </c>
      <c r="N31" s="463">
        <f>L31-M31</f>
        <v>291913.50000000006</v>
      </c>
      <c r="O31" s="463">
        <v>33759.4</v>
      </c>
      <c r="P31" s="463">
        <v>103350.9</v>
      </c>
      <c r="Q31" s="463">
        <v>199304.3</v>
      </c>
      <c r="R31" s="463">
        <v>1395280.2</v>
      </c>
      <c r="S31" s="463">
        <f>Q31+R31</f>
        <v>1594584.5</v>
      </c>
      <c r="T31" s="463">
        <f t="shared" si="6"/>
        <v>1697935.4</v>
      </c>
      <c r="U31" s="463">
        <v>670.1</v>
      </c>
      <c r="V31" s="463">
        <v>383585.19999999995</v>
      </c>
      <c r="W31" s="463">
        <f t="shared" si="7"/>
        <v>491887.9</v>
      </c>
      <c r="X31" s="463">
        <f t="shared" si="8"/>
        <v>1887168.1</v>
      </c>
      <c r="Y31" s="463">
        <v>2273892.4900000002</v>
      </c>
      <c r="Z31" s="326" t="s">
        <v>563</v>
      </c>
      <c r="AA31" s="289">
        <v>0</v>
      </c>
      <c r="AB31" s="463">
        <v>51470.2</v>
      </c>
      <c r="AC31" s="463">
        <v>1421339.2</v>
      </c>
      <c r="AD31" s="463">
        <f t="shared" si="9"/>
        <v>1472809.4</v>
      </c>
      <c r="AE31" s="289">
        <v>0</v>
      </c>
      <c r="AF31" s="463">
        <v>807.9</v>
      </c>
      <c r="AG31" s="463">
        <v>38453</v>
      </c>
      <c r="AH31" s="463">
        <f>AF31+AG31</f>
        <v>39260.9</v>
      </c>
      <c r="AI31" s="466">
        <v>30458.2</v>
      </c>
      <c r="AJ31" s="466">
        <v>329477.8</v>
      </c>
      <c r="AK31" s="466">
        <v>27112.7</v>
      </c>
      <c r="AL31" s="466">
        <f t="shared" si="11"/>
        <v>356590.5</v>
      </c>
      <c r="AM31" s="466">
        <f>AA31+AE31+AI31</f>
        <v>30458.2</v>
      </c>
      <c r="AN31" s="466">
        <f t="shared" si="12"/>
        <v>381755.89999999997</v>
      </c>
      <c r="AO31" s="466">
        <f t="shared" si="12"/>
        <v>1486904.9</v>
      </c>
      <c r="AP31" s="466">
        <f t="shared" si="12"/>
        <v>1868660.7999999998</v>
      </c>
      <c r="AQ31" s="326" t="s">
        <v>563</v>
      </c>
      <c r="AR31" s="463">
        <v>9730.7999999999993</v>
      </c>
      <c r="AS31" s="463">
        <v>105117.8</v>
      </c>
      <c r="AT31" s="463">
        <v>44627.199999999997</v>
      </c>
      <c r="AU31" s="463">
        <v>115.4</v>
      </c>
      <c r="AV31" s="463">
        <f>1697986.1-10.19</f>
        <v>1697975.9100000001</v>
      </c>
      <c r="AW31" s="463">
        <v>17873.2</v>
      </c>
      <c r="AX31" s="463">
        <f t="shared" si="13"/>
        <v>1715849.11</v>
      </c>
      <c r="AY31" s="463">
        <f t="shared" si="14"/>
        <v>68633.964400000012</v>
      </c>
      <c r="AZ31" s="463">
        <f t="shared" si="15"/>
        <v>2330.6837999999843</v>
      </c>
      <c r="BA31" s="463">
        <f>70967.3-2.6518</f>
        <v>70964.648199999996</v>
      </c>
      <c r="BB31" s="463">
        <v>4601082.2</v>
      </c>
      <c r="BC31" s="463">
        <f t="shared" si="16"/>
        <v>382912.44820000004</v>
      </c>
      <c r="BD31" s="288">
        <v>24318</v>
      </c>
      <c r="BE31" s="463">
        <v>132269.79999999999</v>
      </c>
      <c r="BF31" s="463">
        <v>15486</v>
      </c>
      <c r="BG31" s="463">
        <v>324998.7</v>
      </c>
      <c r="BH31" s="463">
        <f>BG31+BF31+BE31+BD31</f>
        <v>497072.5</v>
      </c>
      <c r="BI31" s="326" t="s">
        <v>563</v>
      </c>
      <c r="BJ31" s="447">
        <v>36.65</v>
      </c>
      <c r="BK31" s="295">
        <v>22.29</v>
      </c>
      <c r="BL31" s="295">
        <v>10.57</v>
      </c>
      <c r="BM31" s="295">
        <v>15.25</v>
      </c>
      <c r="BN31" s="295">
        <v>10.48</v>
      </c>
      <c r="BO31" s="295" t="s">
        <v>295</v>
      </c>
      <c r="BP31" s="296">
        <v>3823</v>
      </c>
      <c r="BQ31" s="296">
        <v>1523</v>
      </c>
      <c r="BR31" s="296">
        <v>5768</v>
      </c>
      <c r="BS31" s="296">
        <v>63</v>
      </c>
      <c r="BT31" s="296">
        <f t="shared" si="18"/>
        <v>11177</v>
      </c>
      <c r="BU31" s="295">
        <f t="shared" si="19"/>
        <v>110.05225627729899</v>
      </c>
      <c r="BV31" s="295">
        <f t="shared" si="20"/>
        <v>151.916964301691</v>
      </c>
      <c r="BW31" s="295">
        <f t="shared" si="21"/>
        <v>167.18804688198978</v>
      </c>
      <c r="BX31" s="295">
        <f t="shared" si="22"/>
        <v>5.3592602618255043</v>
      </c>
      <c r="BY31" s="295">
        <v>4</v>
      </c>
      <c r="BZ31" s="295">
        <v>4.38</v>
      </c>
      <c r="CA31" s="295">
        <v>7.31</v>
      </c>
      <c r="CB31" s="295">
        <f t="shared" si="23"/>
        <v>2.9299999999999997</v>
      </c>
      <c r="CC31" s="295">
        <v>7.93</v>
      </c>
      <c r="CD31" s="295">
        <v>8.1999999999999993</v>
      </c>
      <c r="CE31" s="295">
        <f t="shared" si="24"/>
        <v>0.26999999999999957</v>
      </c>
    </row>
    <row r="32" spans="1:83" s="164" customFormat="1" ht="11.1" customHeight="1">
      <c r="A32" s="162"/>
      <c r="B32" s="162"/>
      <c r="C32" s="162"/>
      <c r="D32" s="162"/>
      <c r="E32" s="162"/>
      <c r="F32" s="162"/>
      <c r="G32" s="162"/>
      <c r="H32" s="162"/>
      <c r="I32" s="1440" t="s">
        <v>2344</v>
      </c>
      <c r="J32" s="553">
        <f>J44</f>
        <v>318403</v>
      </c>
      <c r="K32" s="553">
        <f t="shared" ref="K32:Y32" si="25">K44</f>
        <v>1905.9</v>
      </c>
      <c r="L32" s="553">
        <f t="shared" si="25"/>
        <v>320308.90000000002</v>
      </c>
      <c r="M32" s="553">
        <f t="shared" si="25"/>
        <v>29872.400000000001</v>
      </c>
      <c r="N32" s="553">
        <f t="shared" si="25"/>
        <v>290436.5</v>
      </c>
      <c r="O32" s="553">
        <f t="shared" si="25"/>
        <v>32754.9</v>
      </c>
      <c r="P32" s="553">
        <f t="shared" si="25"/>
        <v>120147.8</v>
      </c>
      <c r="Q32" s="553">
        <f t="shared" si="25"/>
        <v>209917.3</v>
      </c>
      <c r="R32" s="553">
        <f t="shared" si="25"/>
        <v>1532307.2</v>
      </c>
      <c r="S32" s="553">
        <f t="shared" si="25"/>
        <v>1742224.5</v>
      </c>
      <c r="T32" s="553">
        <f t="shared" si="25"/>
        <v>1862372.3</v>
      </c>
      <c r="U32" s="553">
        <f t="shared" si="25"/>
        <v>573</v>
      </c>
      <c r="V32" s="553">
        <f t="shared" si="25"/>
        <v>413644.6</v>
      </c>
      <c r="W32" s="553">
        <f t="shared" si="25"/>
        <v>500926.8</v>
      </c>
      <c r="X32" s="553">
        <f t="shared" si="25"/>
        <v>2033234</v>
      </c>
      <c r="Y32" s="553">
        <f t="shared" si="25"/>
        <v>2407957.7440705281</v>
      </c>
      <c r="Z32" s="1440" t="s">
        <v>2344</v>
      </c>
      <c r="AA32" s="553">
        <f t="shared" ref="AA32:AP32" si="26">AA44</f>
        <v>0</v>
      </c>
      <c r="AB32" s="553">
        <f t="shared" si="26"/>
        <v>56736.6</v>
      </c>
      <c r="AC32" s="553">
        <f t="shared" si="26"/>
        <v>1564444.9</v>
      </c>
      <c r="AD32" s="553">
        <f t="shared" si="26"/>
        <v>1621181.5</v>
      </c>
      <c r="AE32" s="553">
        <f t="shared" si="26"/>
        <v>0</v>
      </c>
      <c r="AF32" s="553">
        <f t="shared" si="26"/>
        <v>518.70000000000005</v>
      </c>
      <c r="AG32" s="553">
        <f t="shared" si="26"/>
        <v>38612.699999999997</v>
      </c>
      <c r="AH32" s="553">
        <f t="shared" si="26"/>
        <v>39131.399999999994</v>
      </c>
      <c r="AI32" s="553">
        <f t="shared" si="26"/>
        <v>27137.4</v>
      </c>
      <c r="AJ32" s="553">
        <f t="shared" si="26"/>
        <v>399628.7</v>
      </c>
      <c r="AK32" s="553">
        <f t="shared" si="26"/>
        <v>29389.1</v>
      </c>
      <c r="AL32" s="553">
        <f t="shared" si="26"/>
        <v>429017.8</v>
      </c>
      <c r="AM32" s="553">
        <f t="shared" si="26"/>
        <v>27137.4</v>
      </c>
      <c r="AN32" s="553">
        <f t="shared" si="26"/>
        <v>456884</v>
      </c>
      <c r="AO32" s="553">
        <f t="shared" si="26"/>
        <v>1632446.7</v>
      </c>
      <c r="AP32" s="553">
        <f t="shared" si="26"/>
        <v>2089330.7</v>
      </c>
      <c r="AQ32" s="1440" t="s">
        <v>2344</v>
      </c>
      <c r="AR32" s="553">
        <f t="shared" ref="AR32:BH32" si="27">AR44</f>
        <v>15168</v>
      </c>
      <c r="AS32" s="553">
        <f t="shared" si="27"/>
        <v>172788.1</v>
      </c>
      <c r="AT32" s="553">
        <f t="shared" si="27"/>
        <v>32701.4</v>
      </c>
      <c r="AU32" s="553">
        <f t="shared" si="27"/>
        <v>93.6</v>
      </c>
      <c r="AV32" s="553">
        <f t="shared" si="27"/>
        <v>1862408.37</v>
      </c>
      <c r="AW32" s="553">
        <f t="shared" si="27"/>
        <v>17820</v>
      </c>
      <c r="AX32" s="553">
        <f t="shared" si="27"/>
        <v>1880228.37</v>
      </c>
      <c r="AY32" s="553">
        <f t="shared" si="27"/>
        <v>75209.1348</v>
      </c>
      <c r="AZ32" s="553">
        <f t="shared" si="27"/>
        <v>17554.383000000002</v>
      </c>
      <c r="BA32" s="553">
        <f t="shared" si="27"/>
        <v>92763.517800000001</v>
      </c>
      <c r="BB32" s="553">
        <f t="shared" si="27"/>
        <v>5149667.5</v>
      </c>
      <c r="BC32" s="553">
        <f t="shared" si="27"/>
        <v>413072.41780000005</v>
      </c>
      <c r="BD32" s="553">
        <f t="shared" si="27"/>
        <v>69247.100000000006</v>
      </c>
      <c r="BE32" s="553">
        <f t="shared" si="27"/>
        <v>75231.8</v>
      </c>
      <c r="BF32" s="553">
        <f t="shared" si="27"/>
        <v>16171.7</v>
      </c>
      <c r="BG32" s="553">
        <f t="shared" si="27"/>
        <v>395501.7</v>
      </c>
      <c r="BH32" s="553">
        <f t="shared" si="27"/>
        <v>556152.30000000005</v>
      </c>
      <c r="BI32" s="1440" t="s">
        <v>2344</v>
      </c>
      <c r="BJ32" s="552">
        <f>BJ44</f>
        <v>9.69</v>
      </c>
      <c r="BK32" s="552">
        <f t="shared" ref="BK32:BN32" si="28">BK44</f>
        <v>9.42</v>
      </c>
      <c r="BL32" s="552">
        <f t="shared" si="28"/>
        <v>9.84</v>
      </c>
      <c r="BM32" s="552">
        <f t="shared" si="28"/>
        <v>9.8000000000000007</v>
      </c>
      <c r="BN32" s="552">
        <f t="shared" si="28"/>
        <v>7.74</v>
      </c>
      <c r="BO32" s="345">
        <v>2.4827604489326256</v>
      </c>
      <c r="BP32" s="624">
        <f t="shared" ref="BP32:CE32" si="29">BP44</f>
        <v>3835</v>
      </c>
      <c r="BQ32" s="624">
        <f t="shared" si="29"/>
        <v>1541</v>
      </c>
      <c r="BR32" s="624">
        <f t="shared" si="29"/>
        <v>5858</v>
      </c>
      <c r="BS32" s="624">
        <f t="shared" si="29"/>
        <v>63</v>
      </c>
      <c r="BT32" s="624">
        <f t="shared" si="29"/>
        <v>11297</v>
      </c>
      <c r="BU32" s="552">
        <f t="shared" si="29"/>
        <v>112.18434869899127</v>
      </c>
      <c r="BV32" s="552">
        <f t="shared" si="29"/>
        <v>164.8586677879083</v>
      </c>
      <c r="BW32" s="552">
        <f t="shared" si="29"/>
        <v>184.94562273169868</v>
      </c>
      <c r="BX32" s="552">
        <f t="shared" si="29"/>
        <v>6.5848027626722914</v>
      </c>
      <c r="BY32" s="552">
        <f t="shared" si="29"/>
        <v>4</v>
      </c>
      <c r="BZ32" s="552">
        <f t="shared" si="29"/>
        <v>5.49</v>
      </c>
      <c r="CA32" s="552">
        <f t="shared" si="29"/>
        <v>11.52</v>
      </c>
      <c r="CB32" s="552">
        <f t="shared" si="29"/>
        <v>6.0299999999999994</v>
      </c>
      <c r="CC32" s="552">
        <f t="shared" si="29"/>
        <v>9.83</v>
      </c>
      <c r="CD32" s="552">
        <f t="shared" si="29"/>
        <v>12.79</v>
      </c>
      <c r="CE32" s="552">
        <f t="shared" si="29"/>
        <v>2.9599999999999991</v>
      </c>
    </row>
    <row r="33" spans="1:83" s="164" customFormat="1" ht="11.1" customHeight="1">
      <c r="A33" s="162"/>
      <c r="B33" s="162"/>
      <c r="C33" s="162"/>
      <c r="D33" s="162"/>
      <c r="E33" s="162"/>
      <c r="F33" s="162"/>
      <c r="G33" s="162"/>
      <c r="H33" s="162"/>
      <c r="I33" s="326" t="s">
        <v>565</v>
      </c>
      <c r="J33" s="463">
        <v>290730.8</v>
      </c>
      <c r="K33" s="463">
        <v>1803.2</v>
      </c>
      <c r="L33" s="463">
        <f t="shared" ref="L33:L52" si="30">J33+K33</f>
        <v>292534</v>
      </c>
      <c r="M33" s="463">
        <v>26179.4</v>
      </c>
      <c r="N33" s="463">
        <f t="shared" ref="N33:N52" si="31">L33-M33</f>
        <v>266354.59999999998</v>
      </c>
      <c r="O33" s="463">
        <v>32842.6</v>
      </c>
      <c r="P33" s="463">
        <v>98981.5</v>
      </c>
      <c r="Q33" s="463">
        <v>191720.6</v>
      </c>
      <c r="R33" s="463">
        <v>1415270</v>
      </c>
      <c r="S33" s="463">
        <f t="shared" ref="S33:S44" si="32">Q33+R33</f>
        <v>1606990.6</v>
      </c>
      <c r="T33" s="463">
        <f t="shared" ref="T33:T44" si="33">P33+S33</f>
        <v>1705972.1</v>
      </c>
      <c r="U33" s="463">
        <v>904.6</v>
      </c>
      <c r="V33" s="463">
        <v>365659.6</v>
      </c>
      <c r="W33" s="463">
        <f t="shared" ref="W33:W44" si="34">N33+Q33+U33</f>
        <v>458979.79999999993</v>
      </c>
      <c r="X33" s="463">
        <f t="shared" ref="X33:X44" si="35">R33+W33</f>
        <v>1874249.7999999998</v>
      </c>
      <c r="Y33" s="463">
        <v>2261463.9699999997</v>
      </c>
      <c r="Z33" s="326" t="s">
        <v>565</v>
      </c>
      <c r="AA33" s="289">
        <v>0</v>
      </c>
      <c r="AB33" s="463">
        <v>53185.8</v>
      </c>
      <c r="AC33" s="463">
        <v>1413749.5</v>
      </c>
      <c r="AD33" s="463">
        <f t="shared" si="9"/>
        <v>1466935.3</v>
      </c>
      <c r="AE33" s="289">
        <v>0</v>
      </c>
      <c r="AF33" s="463">
        <v>728.6</v>
      </c>
      <c r="AG33" s="463">
        <v>37189.599999999999</v>
      </c>
      <c r="AH33" s="463">
        <f t="shared" ref="AH33:AH52" si="36">AF33+AG33</f>
        <v>37918.199999999997</v>
      </c>
      <c r="AI33" s="466">
        <v>30135.9</v>
      </c>
      <c r="AJ33" s="466">
        <v>335712.1</v>
      </c>
      <c r="AK33" s="466">
        <v>27197.599999999999</v>
      </c>
      <c r="AL33" s="466">
        <f t="shared" ref="AL33:AL44" si="37">AJ33+AK33</f>
        <v>362909.69999999995</v>
      </c>
      <c r="AM33" s="466">
        <f t="shared" ref="AM33:AP44" si="38">AA33+AE33+AI33</f>
        <v>30135.9</v>
      </c>
      <c r="AN33" s="466">
        <f t="shared" si="38"/>
        <v>389626.5</v>
      </c>
      <c r="AO33" s="466">
        <f t="shared" si="38"/>
        <v>1478136.7000000002</v>
      </c>
      <c r="AP33" s="466">
        <f>AD33+AH33+AL33</f>
        <v>1867763.2</v>
      </c>
      <c r="AQ33" s="326" t="s">
        <v>565</v>
      </c>
      <c r="AR33" s="463">
        <v>9934.6</v>
      </c>
      <c r="AS33" s="463">
        <v>105839.4</v>
      </c>
      <c r="AT33" s="463">
        <v>42144.6</v>
      </c>
      <c r="AU33" s="463">
        <v>292.60000000000002</v>
      </c>
      <c r="AV33" s="463">
        <f>1706013.4-10.59</f>
        <v>1706002.8099999998</v>
      </c>
      <c r="AW33" s="463">
        <v>17061.400000000001</v>
      </c>
      <c r="AX33" s="463">
        <f t="shared" ref="AX33:AX52" si="39">AV33+AW33</f>
        <v>1723064.2099999997</v>
      </c>
      <c r="AY33" s="463">
        <f t="shared" ref="AY33:AY44" si="40">0.04*AX33</f>
        <v>68922.568399999989</v>
      </c>
      <c r="AZ33" s="463">
        <f t="shared" ref="AZ33:AZ42" si="41">BA33-AY33</f>
        <v>3296.3079000000143</v>
      </c>
      <c r="BA33" s="463">
        <f>72221-2.1237</f>
        <v>72218.876300000004</v>
      </c>
      <c r="BB33" s="463">
        <v>4647252.9000000004</v>
      </c>
      <c r="BC33" s="463">
        <f t="shared" si="16"/>
        <v>364752.8763</v>
      </c>
      <c r="BD33" s="288">
        <v>11532.3</v>
      </c>
      <c r="BE33" s="463">
        <v>135413.4</v>
      </c>
      <c r="BF33" s="463">
        <v>17141.400000000001</v>
      </c>
      <c r="BG33" s="463">
        <v>331234.2</v>
      </c>
      <c r="BH33" s="463">
        <f t="shared" si="17"/>
        <v>495321.3</v>
      </c>
      <c r="BI33" s="326" t="s">
        <v>565</v>
      </c>
      <c r="BJ33" s="447">
        <v>38.299999999999997</v>
      </c>
      <c r="BK33" s="295">
        <v>18.100000000000001</v>
      </c>
      <c r="BL33" s="295">
        <v>9.82</v>
      </c>
      <c r="BM33" s="295">
        <v>14.81</v>
      </c>
      <c r="BN33" s="295">
        <v>9.74</v>
      </c>
      <c r="BO33" s="295" t="s">
        <v>295</v>
      </c>
      <c r="BP33" s="296">
        <v>3823</v>
      </c>
      <c r="BQ33" s="296">
        <v>1541</v>
      </c>
      <c r="BR33" s="296">
        <v>5789</v>
      </c>
      <c r="BS33" s="296">
        <v>63</v>
      </c>
      <c r="BT33" s="296">
        <f t="shared" si="18"/>
        <v>11216</v>
      </c>
      <c r="BU33" s="295">
        <f t="shared" ref="BU33:BU34" si="42">AP33/AV33*100</f>
        <v>109.48183608208713</v>
      </c>
      <c r="BV33" s="295">
        <f t="shared" ref="BV33:BV34" si="43">AV33/BT33</f>
        <v>152.10438748216831</v>
      </c>
      <c r="BW33" s="295">
        <f t="shared" ref="BW33:BW40" si="44">AP33/BT33</f>
        <v>166.52667617689016</v>
      </c>
      <c r="BX33" s="295">
        <f t="shared" ref="BX33:BX40" si="45">(M33+BA33)/AV33*100</f>
        <v>5.7677675396091521</v>
      </c>
      <c r="BY33" s="295">
        <v>4</v>
      </c>
      <c r="BZ33" s="295">
        <v>4.46</v>
      </c>
      <c r="CA33" s="295">
        <v>7.75</v>
      </c>
      <c r="CB33" s="295">
        <f t="shared" si="23"/>
        <v>3.29</v>
      </c>
      <c r="CC33" s="295">
        <v>8.02</v>
      </c>
      <c r="CD33" s="295">
        <v>8.18</v>
      </c>
      <c r="CE33" s="295">
        <f t="shared" si="24"/>
        <v>0.16000000000000014</v>
      </c>
    </row>
    <row r="34" spans="1:83" s="164" customFormat="1" ht="11.1" customHeight="1">
      <c r="A34" s="162"/>
      <c r="B34" s="162"/>
      <c r="C34" s="162"/>
      <c r="D34" s="162"/>
      <c r="E34" s="162"/>
      <c r="F34" s="162"/>
      <c r="G34" s="162"/>
      <c r="H34" s="162"/>
      <c r="I34" s="253" t="s">
        <v>566</v>
      </c>
      <c r="J34" s="468">
        <v>280673.90000000002</v>
      </c>
      <c r="K34" s="468">
        <v>1813.1</v>
      </c>
      <c r="L34" s="468">
        <f t="shared" si="30"/>
        <v>282487</v>
      </c>
      <c r="M34" s="468">
        <v>24130.7</v>
      </c>
      <c r="N34" s="468">
        <f t="shared" si="31"/>
        <v>258356.3</v>
      </c>
      <c r="O34" s="468">
        <v>32520.7</v>
      </c>
      <c r="P34" s="468">
        <v>102396</v>
      </c>
      <c r="Q34" s="468">
        <v>185799.4</v>
      </c>
      <c r="R34" s="468">
        <v>1431876.3</v>
      </c>
      <c r="S34" s="468">
        <f t="shared" si="32"/>
        <v>1617675.7</v>
      </c>
      <c r="T34" s="468">
        <f t="shared" si="33"/>
        <v>1720071.7</v>
      </c>
      <c r="U34" s="468">
        <v>833.1</v>
      </c>
      <c r="V34" s="468">
        <v>351208.6</v>
      </c>
      <c r="W34" s="468">
        <f t="shared" si="34"/>
        <v>444988.79999999993</v>
      </c>
      <c r="X34" s="468">
        <f t="shared" si="35"/>
        <v>1876865.1</v>
      </c>
      <c r="Y34" s="468">
        <v>2264408.7388038971</v>
      </c>
      <c r="Z34" s="253" t="s">
        <v>566</v>
      </c>
      <c r="AA34" s="230">
        <v>0</v>
      </c>
      <c r="AB34" s="468">
        <v>54113.9</v>
      </c>
      <c r="AC34" s="468">
        <v>1425067.5</v>
      </c>
      <c r="AD34" s="468">
        <f t="shared" si="9"/>
        <v>1479181.4</v>
      </c>
      <c r="AE34" s="230">
        <v>0</v>
      </c>
      <c r="AF34" s="468">
        <v>654</v>
      </c>
      <c r="AG34" s="468">
        <v>34733.5</v>
      </c>
      <c r="AH34" s="468">
        <f t="shared" si="36"/>
        <v>35387.5</v>
      </c>
      <c r="AI34" s="479">
        <v>29797.5</v>
      </c>
      <c r="AJ34" s="479">
        <v>343070.6</v>
      </c>
      <c r="AK34" s="479">
        <v>27913.599999999999</v>
      </c>
      <c r="AL34" s="479">
        <f t="shared" si="37"/>
        <v>370984.19999999995</v>
      </c>
      <c r="AM34" s="479">
        <f t="shared" si="38"/>
        <v>29797.5</v>
      </c>
      <c r="AN34" s="479">
        <f t="shared" si="38"/>
        <v>397838.5</v>
      </c>
      <c r="AO34" s="479">
        <f t="shared" si="38"/>
        <v>1487714.6</v>
      </c>
      <c r="AP34" s="479">
        <f t="shared" si="38"/>
        <v>1885553.0999999999</v>
      </c>
      <c r="AQ34" s="253" t="s">
        <v>566</v>
      </c>
      <c r="AR34" s="468">
        <v>10281.299999999999</v>
      </c>
      <c r="AS34" s="468">
        <v>101843.2</v>
      </c>
      <c r="AT34" s="468">
        <v>39769.199999999997</v>
      </c>
      <c r="AU34" s="468">
        <v>240.2</v>
      </c>
      <c r="AV34" s="468">
        <f>1720107.6-10.23</f>
        <v>1720097.37</v>
      </c>
      <c r="AW34" s="468">
        <v>17471.2</v>
      </c>
      <c r="AX34" s="468">
        <f t="shared" si="39"/>
        <v>1737568.57</v>
      </c>
      <c r="AY34" s="468">
        <f t="shared" si="40"/>
        <v>69502.742800000007</v>
      </c>
      <c r="AZ34" s="468">
        <f t="shared" si="41"/>
        <v>-1617.3455000000104</v>
      </c>
      <c r="BA34" s="468">
        <f>67888.5-3.1027</f>
        <v>67885.397299999997</v>
      </c>
      <c r="BB34" s="468">
        <v>4701903.0999999996</v>
      </c>
      <c r="BC34" s="468">
        <f t="shared" si="16"/>
        <v>350372.39730000001</v>
      </c>
      <c r="BD34" s="229">
        <v>6516.1</v>
      </c>
      <c r="BE34" s="468">
        <v>139144.1</v>
      </c>
      <c r="BF34" s="468">
        <v>17537.5</v>
      </c>
      <c r="BG34" s="468">
        <v>338549.7</v>
      </c>
      <c r="BH34" s="468">
        <f t="shared" si="17"/>
        <v>501747.4</v>
      </c>
      <c r="BI34" s="253" t="s">
        <v>566</v>
      </c>
      <c r="BJ34" s="558">
        <v>-1.41</v>
      </c>
      <c r="BK34" s="256">
        <v>0.59</v>
      </c>
      <c r="BL34" s="256">
        <v>7.0000000000000007E-2</v>
      </c>
      <c r="BM34" s="256">
        <v>-0.22</v>
      </c>
      <c r="BN34" s="256">
        <v>-0.55000000000000004</v>
      </c>
      <c r="BO34" s="256" t="s">
        <v>295</v>
      </c>
      <c r="BP34" s="382">
        <v>3824</v>
      </c>
      <c r="BQ34" s="382">
        <v>1541</v>
      </c>
      <c r="BR34" s="382">
        <v>5790</v>
      </c>
      <c r="BS34" s="382">
        <v>63</v>
      </c>
      <c r="BT34" s="382">
        <f t="shared" si="18"/>
        <v>11218</v>
      </c>
      <c r="BU34" s="256">
        <f t="shared" si="42"/>
        <v>109.61897465141755</v>
      </c>
      <c r="BV34" s="256">
        <f t="shared" si="43"/>
        <v>153.33369317168837</v>
      </c>
      <c r="BW34" s="256">
        <f t="shared" si="44"/>
        <v>168.08282224995543</v>
      </c>
      <c r="BX34" s="256">
        <f t="shared" si="45"/>
        <v>5.3494702628375039</v>
      </c>
      <c r="BY34" s="256">
        <v>4</v>
      </c>
      <c r="BZ34" s="256">
        <v>4.5199999999999996</v>
      </c>
      <c r="CA34" s="256">
        <v>7.85</v>
      </c>
      <c r="CB34" s="256">
        <f t="shared" si="23"/>
        <v>3.33</v>
      </c>
      <c r="CC34" s="256">
        <v>8.08</v>
      </c>
      <c r="CD34" s="256">
        <v>11.47</v>
      </c>
      <c r="CE34" s="256">
        <f t="shared" si="24"/>
        <v>3.3900000000000006</v>
      </c>
    </row>
    <row r="35" spans="1:83" s="164" customFormat="1" ht="11.1" customHeight="1">
      <c r="A35" s="162"/>
      <c r="B35" s="162"/>
      <c r="C35" s="162"/>
      <c r="D35" s="162"/>
      <c r="E35" s="162"/>
      <c r="F35" s="162"/>
      <c r="G35" s="162"/>
      <c r="H35" s="162"/>
      <c r="I35" s="326" t="s">
        <v>560</v>
      </c>
      <c r="J35" s="463">
        <v>275491.90000000002</v>
      </c>
      <c r="K35" s="463">
        <v>1820.9</v>
      </c>
      <c r="L35" s="463">
        <f t="shared" si="30"/>
        <v>277312.80000000005</v>
      </c>
      <c r="M35" s="463">
        <v>23807.4</v>
      </c>
      <c r="N35" s="463">
        <f t="shared" si="31"/>
        <v>253505.40000000005</v>
      </c>
      <c r="O35" s="463">
        <v>32330.7</v>
      </c>
      <c r="P35" s="463">
        <v>104326.39999999999</v>
      </c>
      <c r="Q35" s="463">
        <v>185910.7</v>
      </c>
      <c r="R35" s="463">
        <v>1437228.5</v>
      </c>
      <c r="S35" s="463">
        <f t="shared" si="32"/>
        <v>1623139.2</v>
      </c>
      <c r="T35" s="463">
        <f t="shared" si="33"/>
        <v>1727465.5999999999</v>
      </c>
      <c r="U35" s="463">
        <v>601.20000000000005</v>
      </c>
      <c r="V35" s="463">
        <v>344233.89999999997</v>
      </c>
      <c r="W35" s="463">
        <f t="shared" si="34"/>
        <v>440017.3000000001</v>
      </c>
      <c r="X35" s="463">
        <f t="shared" si="35"/>
        <v>1877245.8</v>
      </c>
      <c r="Y35" s="463">
        <v>2264332.7573247859</v>
      </c>
      <c r="Z35" s="326" t="s">
        <v>560</v>
      </c>
      <c r="AA35" s="289">
        <v>0</v>
      </c>
      <c r="AB35" s="463">
        <v>55014.5</v>
      </c>
      <c r="AC35" s="463">
        <v>1443572</v>
      </c>
      <c r="AD35" s="463">
        <f t="shared" si="9"/>
        <v>1498586.5</v>
      </c>
      <c r="AE35" s="289">
        <v>0</v>
      </c>
      <c r="AF35" s="463">
        <v>621.6</v>
      </c>
      <c r="AG35" s="463">
        <v>33309.800000000003</v>
      </c>
      <c r="AH35" s="463">
        <f t="shared" si="36"/>
        <v>33931.4</v>
      </c>
      <c r="AI35" s="466">
        <v>29760.2</v>
      </c>
      <c r="AJ35" s="466">
        <v>340684.7</v>
      </c>
      <c r="AK35" s="466">
        <v>28423.5</v>
      </c>
      <c r="AL35" s="466">
        <f t="shared" si="37"/>
        <v>369108.2</v>
      </c>
      <c r="AM35" s="466">
        <f t="shared" si="38"/>
        <v>29760.2</v>
      </c>
      <c r="AN35" s="466">
        <f t="shared" si="38"/>
        <v>396320.8</v>
      </c>
      <c r="AO35" s="466">
        <f t="shared" si="38"/>
        <v>1505305.3</v>
      </c>
      <c r="AP35" s="466">
        <f t="shared" si="38"/>
        <v>1901626.0999999999</v>
      </c>
      <c r="AQ35" s="326" t="s">
        <v>560</v>
      </c>
      <c r="AR35" s="463">
        <v>9867.6</v>
      </c>
      <c r="AS35" s="463">
        <v>108285.8</v>
      </c>
      <c r="AT35" s="463">
        <v>38084.5</v>
      </c>
      <c r="AU35" s="463">
        <v>135.4</v>
      </c>
      <c r="AV35" s="463">
        <f>1727507.3-10.32</f>
        <v>1727496.98</v>
      </c>
      <c r="AW35" s="463">
        <v>17115.099999999999</v>
      </c>
      <c r="AX35" s="463">
        <f t="shared" si="39"/>
        <v>1744612.08</v>
      </c>
      <c r="AY35" s="463">
        <f t="shared" si="40"/>
        <v>69784.483200000002</v>
      </c>
      <c r="AZ35" s="463">
        <f t="shared" si="41"/>
        <v>-3468.0583000000042</v>
      </c>
      <c r="BA35" s="463">
        <f>66319.9-3.4751</f>
        <v>66316.424899999998</v>
      </c>
      <c r="BB35" s="463">
        <v>4750466.0999999996</v>
      </c>
      <c r="BC35" s="463">
        <f t="shared" si="16"/>
        <v>343629.22490000003</v>
      </c>
      <c r="BD35" s="288">
        <v>5992.3</v>
      </c>
      <c r="BE35" s="463">
        <v>131691.70000000001</v>
      </c>
      <c r="BF35" s="463">
        <v>17478.7</v>
      </c>
      <c r="BG35" s="463">
        <v>336174.6</v>
      </c>
      <c r="BH35" s="463">
        <f t="shared" si="17"/>
        <v>491337.3</v>
      </c>
      <c r="BI35" s="326" t="s">
        <v>560</v>
      </c>
      <c r="BJ35" s="447">
        <v>-4.24</v>
      </c>
      <c r="BK35" s="295">
        <v>3.17</v>
      </c>
      <c r="BL35" s="295">
        <v>1.26</v>
      </c>
      <c r="BM35" s="295">
        <v>0.2</v>
      </c>
      <c r="BN35" s="295">
        <v>-0.53</v>
      </c>
      <c r="BO35" s="295" t="s">
        <v>295</v>
      </c>
      <c r="BP35" s="296">
        <v>3824</v>
      </c>
      <c r="BQ35" s="296">
        <v>1541</v>
      </c>
      <c r="BR35" s="296">
        <v>5791</v>
      </c>
      <c r="BS35" s="296">
        <v>63</v>
      </c>
      <c r="BT35" s="296">
        <f t="shared" si="18"/>
        <v>11219</v>
      </c>
      <c r="BU35" s="295">
        <f t="shared" ref="BU35:BU40" si="46">AP35/AV35*100</f>
        <v>110.07985090659898</v>
      </c>
      <c r="BV35" s="295">
        <f t="shared" ref="BV35:BV41" si="47">AV35/BT35</f>
        <v>153.97958641590159</v>
      </c>
      <c r="BW35" s="295">
        <f t="shared" si="44"/>
        <v>169.50049915322219</v>
      </c>
      <c r="BX35" s="295">
        <f t="shared" si="45"/>
        <v>5.2170177976230105</v>
      </c>
      <c r="BY35" s="295">
        <v>4</v>
      </c>
      <c r="BZ35" s="295">
        <v>4.5199999999999996</v>
      </c>
      <c r="CA35" s="295">
        <v>7.83</v>
      </c>
      <c r="CB35" s="295">
        <f t="shared" si="23"/>
        <v>3.3100000000000005</v>
      </c>
      <c r="CC35" s="295">
        <v>8.15</v>
      </c>
      <c r="CD35" s="295">
        <v>11.58</v>
      </c>
      <c r="CE35" s="295">
        <f t="shared" si="24"/>
        <v>3.4299999999999997</v>
      </c>
    </row>
    <row r="36" spans="1:83" s="164" customFormat="1" ht="11.1" customHeight="1">
      <c r="A36" s="162"/>
      <c r="B36" s="162"/>
      <c r="C36" s="162"/>
      <c r="D36" s="162"/>
      <c r="E36" s="162"/>
      <c r="F36" s="162"/>
      <c r="G36" s="162"/>
      <c r="H36" s="162"/>
      <c r="I36" s="253" t="s">
        <v>567</v>
      </c>
      <c r="J36" s="468">
        <v>271207.09999999998</v>
      </c>
      <c r="K36" s="468">
        <v>1830.1</v>
      </c>
      <c r="L36" s="468">
        <f t="shared" si="30"/>
        <v>273037.19999999995</v>
      </c>
      <c r="M36" s="468">
        <v>27093.3</v>
      </c>
      <c r="N36" s="468">
        <f t="shared" si="31"/>
        <v>245943.89999999997</v>
      </c>
      <c r="O36" s="468">
        <v>32399.3</v>
      </c>
      <c r="P36" s="468">
        <v>105631.6</v>
      </c>
      <c r="Q36" s="468">
        <v>192478</v>
      </c>
      <c r="R36" s="468">
        <v>1443595.2</v>
      </c>
      <c r="S36" s="468">
        <f t="shared" si="32"/>
        <v>1636073.2</v>
      </c>
      <c r="T36" s="468">
        <f t="shared" si="33"/>
        <v>1741704.8</v>
      </c>
      <c r="U36" s="468">
        <v>519.4</v>
      </c>
      <c r="V36" s="468">
        <v>339958.4</v>
      </c>
      <c r="W36" s="468">
        <f t="shared" si="34"/>
        <v>438941.3</v>
      </c>
      <c r="X36" s="468">
        <f t="shared" si="35"/>
        <v>1882536.5</v>
      </c>
      <c r="Y36" s="468">
        <v>2268941.0356733794</v>
      </c>
      <c r="Z36" s="253" t="s">
        <v>567</v>
      </c>
      <c r="AA36" s="230">
        <v>0</v>
      </c>
      <c r="AB36" s="468">
        <v>55295</v>
      </c>
      <c r="AC36" s="468">
        <v>1464945.1</v>
      </c>
      <c r="AD36" s="468">
        <f t="shared" si="9"/>
        <v>1520240.1</v>
      </c>
      <c r="AE36" s="230">
        <v>0</v>
      </c>
      <c r="AF36" s="468">
        <v>598.79999999999995</v>
      </c>
      <c r="AG36" s="468">
        <v>26218.9</v>
      </c>
      <c r="AH36" s="468">
        <f t="shared" si="36"/>
        <v>26817.7</v>
      </c>
      <c r="AI36" s="479">
        <v>29449.200000000001</v>
      </c>
      <c r="AJ36" s="479">
        <v>341367.3</v>
      </c>
      <c r="AK36" s="479">
        <v>28952.6</v>
      </c>
      <c r="AL36" s="479">
        <f t="shared" si="37"/>
        <v>370319.89999999997</v>
      </c>
      <c r="AM36" s="479">
        <f t="shared" si="38"/>
        <v>29449.200000000001</v>
      </c>
      <c r="AN36" s="479">
        <f t="shared" si="38"/>
        <v>397261.1</v>
      </c>
      <c r="AO36" s="479">
        <f t="shared" si="38"/>
        <v>1520116.6</v>
      </c>
      <c r="AP36" s="479">
        <f t="shared" si="38"/>
        <v>1917377.7</v>
      </c>
      <c r="AQ36" s="253" t="s">
        <v>567</v>
      </c>
      <c r="AR36" s="468">
        <v>10425.5</v>
      </c>
      <c r="AS36" s="468">
        <v>112420.3</v>
      </c>
      <c r="AT36" s="468">
        <v>36511.199999999997</v>
      </c>
      <c r="AU36" s="468">
        <v>209.2</v>
      </c>
      <c r="AV36" s="468">
        <f>1741742.7-10.32</f>
        <v>1741732.38</v>
      </c>
      <c r="AW36" s="468">
        <v>17248.099999999999</v>
      </c>
      <c r="AX36" s="468">
        <f t="shared" si="39"/>
        <v>1758980.48</v>
      </c>
      <c r="AY36" s="468">
        <f t="shared" si="40"/>
        <v>70359.219200000007</v>
      </c>
      <c r="AZ36" s="468">
        <f t="shared" si="41"/>
        <v>-3959.096000000005</v>
      </c>
      <c r="BA36" s="468">
        <f>66401.8-1.6768</f>
        <v>66400.123200000002</v>
      </c>
      <c r="BB36" s="468">
        <v>4810087.5999999996</v>
      </c>
      <c r="BC36" s="468">
        <f t="shared" si="16"/>
        <v>339437.32319999998</v>
      </c>
      <c r="BD36" s="229">
        <v>8528.7000000000007</v>
      </c>
      <c r="BE36" s="468">
        <v>118004.1</v>
      </c>
      <c r="BF36" s="468">
        <v>17537.900000000001</v>
      </c>
      <c r="BG36" s="468">
        <v>336860.2</v>
      </c>
      <c r="BH36" s="468">
        <f t="shared" si="17"/>
        <v>480930.90000000008</v>
      </c>
      <c r="BI36" s="253" t="s">
        <v>567</v>
      </c>
      <c r="BJ36" s="558">
        <v>-4.91</v>
      </c>
      <c r="BK36" s="256">
        <v>3.61</v>
      </c>
      <c r="BL36" s="256">
        <v>2.35</v>
      </c>
      <c r="BM36" s="256">
        <v>0.92</v>
      </c>
      <c r="BN36" s="256">
        <v>-0.25</v>
      </c>
      <c r="BO36" s="256" t="s">
        <v>295</v>
      </c>
      <c r="BP36" s="382">
        <v>3824</v>
      </c>
      <c r="BQ36" s="382">
        <v>1541</v>
      </c>
      <c r="BR36" s="382">
        <v>5794</v>
      </c>
      <c r="BS36" s="382">
        <v>63</v>
      </c>
      <c r="BT36" s="382">
        <f t="shared" si="18"/>
        <v>11222</v>
      </c>
      <c r="BU36" s="256">
        <f t="shared" si="46"/>
        <v>110.08451826565917</v>
      </c>
      <c r="BV36" s="256">
        <f t="shared" si="47"/>
        <v>155.20694885047229</v>
      </c>
      <c r="BW36" s="256">
        <f t="shared" si="44"/>
        <v>170.85882195687043</v>
      </c>
      <c r="BX36" s="256">
        <f t="shared" si="45"/>
        <v>5.3678409079126164</v>
      </c>
      <c r="BY36" s="256">
        <v>4</v>
      </c>
      <c r="BZ36" s="256">
        <v>4.55</v>
      </c>
      <c r="CA36" s="256">
        <v>7.89</v>
      </c>
      <c r="CB36" s="256">
        <f t="shared" si="23"/>
        <v>3.34</v>
      </c>
      <c r="CC36" s="256">
        <v>8.2100000000000009</v>
      </c>
      <c r="CD36" s="256">
        <v>11.6</v>
      </c>
      <c r="CE36" s="256">
        <f t="shared" si="24"/>
        <v>3.3899999999999988</v>
      </c>
    </row>
    <row r="37" spans="1:83" s="164" customFormat="1" ht="11.1" customHeight="1">
      <c r="A37" s="162"/>
      <c r="B37" s="162"/>
      <c r="C37" s="162"/>
      <c r="D37" s="162"/>
      <c r="E37" s="162"/>
      <c r="F37" s="162"/>
      <c r="G37" s="162"/>
      <c r="H37" s="162"/>
      <c r="I37" s="326" t="s">
        <v>568</v>
      </c>
      <c r="J37" s="463">
        <v>272673.3</v>
      </c>
      <c r="K37" s="463">
        <v>1837.9</v>
      </c>
      <c r="L37" s="463">
        <f t="shared" si="30"/>
        <v>274511.2</v>
      </c>
      <c r="M37" s="463">
        <v>26069.5</v>
      </c>
      <c r="N37" s="463">
        <f t="shared" si="31"/>
        <v>248441.7</v>
      </c>
      <c r="O37" s="463">
        <v>31132.7</v>
      </c>
      <c r="P37" s="463">
        <v>103304.3</v>
      </c>
      <c r="Q37" s="463">
        <v>189802.5</v>
      </c>
      <c r="R37" s="463">
        <v>1450684</v>
      </c>
      <c r="S37" s="463">
        <f t="shared" si="32"/>
        <v>1640486.5</v>
      </c>
      <c r="T37" s="463">
        <f t="shared" si="33"/>
        <v>1743790.8</v>
      </c>
      <c r="U37" s="463">
        <v>494.9</v>
      </c>
      <c r="V37" s="463">
        <v>340370.2</v>
      </c>
      <c r="W37" s="463">
        <f t="shared" si="34"/>
        <v>438739.10000000003</v>
      </c>
      <c r="X37" s="463">
        <f t="shared" si="35"/>
        <v>1889423.1</v>
      </c>
      <c r="Y37" s="463">
        <v>2275869.5707889721</v>
      </c>
      <c r="Z37" s="326" t="s">
        <v>568</v>
      </c>
      <c r="AA37" s="289">
        <v>0</v>
      </c>
      <c r="AB37" s="463">
        <v>56092.2</v>
      </c>
      <c r="AC37" s="463">
        <v>1480303.8</v>
      </c>
      <c r="AD37" s="463">
        <f t="shared" si="9"/>
        <v>1536396</v>
      </c>
      <c r="AE37" s="289">
        <v>0</v>
      </c>
      <c r="AF37" s="463">
        <v>584.79999999999995</v>
      </c>
      <c r="AG37" s="463">
        <v>27640.400000000001</v>
      </c>
      <c r="AH37" s="463">
        <f t="shared" si="36"/>
        <v>28225.200000000001</v>
      </c>
      <c r="AI37" s="466">
        <v>29263.1</v>
      </c>
      <c r="AJ37" s="466">
        <v>330892.09999999998</v>
      </c>
      <c r="AK37" s="466">
        <v>28793.9</v>
      </c>
      <c r="AL37" s="466">
        <f t="shared" si="37"/>
        <v>359686</v>
      </c>
      <c r="AM37" s="466">
        <f t="shared" si="38"/>
        <v>29263.1</v>
      </c>
      <c r="AN37" s="466">
        <f t="shared" si="38"/>
        <v>387569.1</v>
      </c>
      <c r="AO37" s="466">
        <f t="shared" si="38"/>
        <v>1536738.0999999999</v>
      </c>
      <c r="AP37" s="466">
        <f t="shared" si="38"/>
        <v>1924307.2</v>
      </c>
      <c r="AQ37" s="326" t="s">
        <v>568</v>
      </c>
      <c r="AR37" s="463">
        <v>11321.8</v>
      </c>
      <c r="AS37" s="463">
        <v>109362.1</v>
      </c>
      <c r="AT37" s="463">
        <v>37855.199999999997</v>
      </c>
      <c r="AU37" s="463">
        <v>186.9</v>
      </c>
      <c r="AV37" s="463">
        <f>1743825-10.2</f>
        <v>1743814.8</v>
      </c>
      <c r="AW37" s="463">
        <v>19593.2</v>
      </c>
      <c r="AX37" s="463">
        <f t="shared" si="39"/>
        <v>1763408</v>
      </c>
      <c r="AY37" s="463">
        <f t="shared" si="40"/>
        <v>70536.320000000007</v>
      </c>
      <c r="AZ37" s="463">
        <f t="shared" si="41"/>
        <v>-5173.8074000000051</v>
      </c>
      <c r="BA37" s="463">
        <f>65364.1-1.5874</f>
        <v>65362.512600000002</v>
      </c>
      <c r="BB37" s="463">
        <v>4865130.9000000004</v>
      </c>
      <c r="BC37" s="463">
        <f t="shared" si="16"/>
        <v>339873.71260000003</v>
      </c>
      <c r="BD37" s="288">
        <v>19376</v>
      </c>
      <c r="BE37" s="463">
        <v>112034.5</v>
      </c>
      <c r="BF37" s="463">
        <v>17414.099999999999</v>
      </c>
      <c r="BG37" s="463">
        <v>326435.7</v>
      </c>
      <c r="BH37" s="463">
        <f t="shared" si="17"/>
        <v>475260.3</v>
      </c>
      <c r="BI37" s="326" t="s">
        <v>568</v>
      </c>
      <c r="BJ37" s="447">
        <v>-6.03</v>
      </c>
      <c r="BK37" s="295">
        <v>5.53</v>
      </c>
      <c r="BL37" s="295">
        <v>3.46</v>
      </c>
      <c r="BM37" s="295">
        <v>1.6</v>
      </c>
      <c r="BN37" s="295">
        <v>0.12</v>
      </c>
      <c r="BO37" s="295" t="s">
        <v>295</v>
      </c>
      <c r="BP37" s="296">
        <v>3824</v>
      </c>
      <c r="BQ37" s="296">
        <v>1541</v>
      </c>
      <c r="BR37" s="296">
        <v>5796</v>
      </c>
      <c r="BS37" s="296">
        <v>63</v>
      </c>
      <c r="BT37" s="296">
        <f t="shared" si="18"/>
        <v>11224</v>
      </c>
      <c r="BU37" s="295">
        <f t="shared" si="46"/>
        <v>110.3504340025099</v>
      </c>
      <c r="BV37" s="295">
        <f t="shared" si="47"/>
        <v>155.36482537419815</v>
      </c>
      <c r="BW37" s="295">
        <f t="shared" si="44"/>
        <v>171.44575908766927</v>
      </c>
      <c r="BX37" s="295">
        <f t="shared" si="45"/>
        <v>5.2432180642118649</v>
      </c>
      <c r="BY37" s="295">
        <v>4</v>
      </c>
      <c r="BZ37" s="295">
        <v>4.6399999999999997</v>
      </c>
      <c r="CA37" s="295">
        <v>7.99</v>
      </c>
      <c r="CB37" s="295">
        <f t="shared" si="23"/>
        <v>3.3500000000000005</v>
      </c>
      <c r="CC37" s="295">
        <v>8.34</v>
      </c>
      <c r="CD37" s="295">
        <v>11.65</v>
      </c>
      <c r="CE37" s="295">
        <f t="shared" si="24"/>
        <v>3.3100000000000005</v>
      </c>
    </row>
    <row r="38" spans="1:83" s="164" customFormat="1" ht="11.1" customHeight="1">
      <c r="A38" s="162"/>
      <c r="B38" s="162"/>
      <c r="C38" s="162"/>
      <c r="D38" s="162"/>
      <c r="E38" s="162"/>
      <c r="F38" s="162"/>
      <c r="G38" s="162"/>
      <c r="H38" s="162"/>
      <c r="I38" s="253" t="s">
        <v>561</v>
      </c>
      <c r="J38" s="468">
        <v>277805.09999999998</v>
      </c>
      <c r="K38" s="468">
        <v>1845.2</v>
      </c>
      <c r="L38" s="468">
        <f t="shared" si="30"/>
        <v>279650.3</v>
      </c>
      <c r="M38" s="468">
        <v>24790.1</v>
      </c>
      <c r="N38" s="468">
        <f t="shared" si="31"/>
        <v>254860.19999999998</v>
      </c>
      <c r="O38" s="468">
        <v>33188.699999999997</v>
      </c>
      <c r="P38" s="468">
        <v>106330.8</v>
      </c>
      <c r="Q38" s="468">
        <v>196325.1</v>
      </c>
      <c r="R38" s="468">
        <v>1457419.6</v>
      </c>
      <c r="S38" s="468">
        <f t="shared" si="32"/>
        <v>1653744.7000000002</v>
      </c>
      <c r="T38" s="468">
        <f t="shared" si="33"/>
        <v>1760075.5000000002</v>
      </c>
      <c r="U38" s="468">
        <v>542.9</v>
      </c>
      <c r="V38" s="468">
        <v>372315.6</v>
      </c>
      <c r="W38" s="468">
        <f t="shared" si="34"/>
        <v>451728.2</v>
      </c>
      <c r="X38" s="468">
        <f t="shared" si="35"/>
        <v>1909147.8</v>
      </c>
      <c r="Y38" s="468">
        <v>2294308.5875018351</v>
      </c>
      <c r="Z38" s="253" t="s">
        <v>561</v>
      </c>
      <c r="AA38" s="230">
        <v>0</v>
      </c>
      <c r="AB38" s="468">
        <v>58498.400000000001</v>
      </c>
      <c r="AC38" s="468">
        <v>1503198.2</v>
      </c>
      <c r="AD38" s="468">
        <f t="shared" si="9"/>
        <v>1561696.5999999999</v>
      </c>
      <c r="AE38" s="230">
        <v>0</v>
      </c>
      <c r="AF38" s="468">
        <v>566.79999999999995</v>
      </c>
      <c r="AG38" s="468">
        <v>30292.3</v>
      </c>
      <c r="AH38" s="468">
        <f t="shared" si="36"/>
        <v>30859.1</v>
      </c>
      <c r="AI38" s="479">
        <v>28238.6</v>
      </c>
      <c r="AJ38" s="479">
        <v>327304.8</v>
      </c>
      <c r="AK38" s="479">
        <v>28789.4</v>
      </c>
      <c r="AL38" s="479">
        <f t="shared" si="37"/>
        <v>356094.2</v>
      </c>
      <c r="AM38" s="479">
        <f t="shared" si="38"/>
        <v>28238.6</v>
      </c>
      <c r="AN38" s="479">
        <f t="shared" si="38"/>
        <v>386370</v>
      </c>
      <c r="AO38" s="479">
        <f t="shared" si="38"/>
        <v>1562279.9</v>
      </c>
      <c r="AP38" s="479">
        <f t="shared" si="38"/>
        <v>1948649.9</v>
      </c>
      <c r="AQ38" s="253" t="s">
        <v>561</v>
      </c>
      <c r="AR38" s="468">
        <v>12904.3</v>
      </c>
      <c r="AS38" s="468">
        <v>129649.60000000001</v>
      </c>
      <c r="AT38" s="468">
        <v>36771.800000000003</v>
      </c>
      <c r="AU38" s="468">
        <v>167.2</v>
      </c>
      <c r="AV38" s="468">
        <f>1760109.9-10.18</f>
        <v>1760099.72</v>
      </c>
      <c r="AW38" s="468">
        <v>18604.3</v>
      </c>
      <c r="AX38" s="468">
        <f t="shared" si="39"/>
        <v>1778704.02</v>
      </c>
      <c r="AY38" s="468">
        <f t="shared" si="40"/>
        <v>71148.160799999998</v>
      </c>
      <c r="AZ38" s="468">
        <f t="shared" si="41"/>
        <v>20973.362800000003</v>
      </c>
      <c r="BA38" s="468">
        <f>92122.4-0.8764</f>
        <v>92121.5236</v>
      </c>
      <c r="BB38" s="468">
        <v>4635167.9000000004</v>
      </c>
      <c r="BC38" s="468">
        <f t="shared" si="16"/>
        <v>371771.8236</v>
      </c>
      <c r="BD38" s="229">
        <v>20149.8</v>
      </c>
      <c r="BE38" s="468">
        <v>105347.5</v>
      </c>
      <c r="BF38" s="468">
        <v>18706.7</v>
      </c>
      <c r="BG38" s="468">
        <v>322971.5</v>
      </c>
      <c r="BH38" s="468">
        <f t="shared" si="17"/>
        <v>467175.5</v>
      </c>
      <c r="BI38" s="253" t="s">
        <v>561</v>
      </c>
      <c r="BJ38" s="558">
        <v>-9.2100000000000009</v>
      </c>
      <c r="BK38" s="256">
        <v>8.26</v>
      </c>
      <c r="BL38" s="256">
        <v>5.1100000000000003</v>
      </c>
      <c r="BM38" s="256">
        <v>2.31</v>
      </c>
      <c r="BN38" s="256">
        <v>1.1599999999999999</v>
      </c>
      <c r="BO38" s="256" t="s">
        <v>295</v>
      </c>
      <c r="BP38" s="382">
        <v>3834</v>
      </c>
      <c r="BQ38" s="382">
        <v>1541</v>
      </c>
      <c r="BR38" s="382">
        <v>5845</v>
      </c>
      <c r="BS38" s="382">
        <v>63</v>
      </c>
      <c r="BT38" s="382">
        <f t="shared" si="18"/>
        <v>11283</v>
      </c>
      <c r="BU38" s="256">
        <f t="shared" si="46"/>
        <v>110.71247145019716</v>
      </c>
      <c r="BV38" s="256">
        <f t="shared" si="47"/>
        <v>155.99572099618896</v>
      </c>
      <c r="BW38" s="256">
        <f t="shared" si="44"/>
        <v>172.70671807143489</v>
      </c>
      <c r="BX38" s="256">
        <f t="shared" si="45"/>
        <v>6.6423295380104941</v>
      </c>
      <c r="BY38" s="256">
        <v>4</v>
      </c>
      <c r="BZ38" s="256">
        <v>4.7</v>
      </c>
      <c r="CA38" s="256">
        <v>9.36</v>
      </c>
      <c r="CB38" s="256">
        <f>CA38-BZ38</f>
        <v>4.6599999999999993</v>
      </c>
      <c r="CC38" s="256">
        <v>8.4499999999999993</v>
      </c>
      <c r="CD38" s="256">
        <v>11.68</v>
      </c>
      <c r="CE38" s="256">
        <f t="shared" si="24"/>
        <v>3.2300000000000004</v>
      </c>
    </row>
    <row r="39" spans="1:83" s="164" customFormat="1" ht="11.1" customHeight="1">
      <c r="A39" s="162"/>
      <c r="B39" s="162"/>
      <c r="C39" s="162"/>
      <c r="D39" s="162"/>
      <c r="E39" s="162"/>
      <c r="F39" s="162"/>
      <c r="G39" s="162"/>
      <c r="H39" s="162"/>
      <c r="I39" s="326" t="s">
        <v>569</v>
      </c>
      <c r="J39" s="463">
        <v>280636.5</v>
      </c>
      <c r="K39" s="463">
        <v>1853.6</v>
      </c>
      <c r="L39" s="463">
        <f t="shared" si="30"/>
        <v>282490.09999999998</v>
      </c>
      <c r="M39" s="463">
        <v>25194.799999999999</v>
      </c>
      <c r="N39" s="463">
        <f t="shared" si="31"/>
        <v>257295.3</v>
      </c>
      <c r="O39" s="463">
        <v>30245.599999999999</v>
      </c>
      <c r="P39" s="463">
        <v>103949.5</v>
      </c>
      <c r="Q39" s="463">
        <v>185736.1</v>
      </c>
      <c r="R39" s="463">
        <v>1459311.4</v>
      </c>
      <c r="S39" s="463">
        <f t="shared" si="32"/>
        <v>1645047.5</v>
      </c>
      <c r="T39" s="463">
        <f t="shared" si="33"/>
        <v>1748997</v>
      </c>
      <c r="U39" s="463">
        <v>537.5</v>
      </c>
      <c r="V39" s="463">
        <v>347365.69999999995</v>
      </c>
      <c r="W39" s="463">
        <f t="shared" si="34"/>
        <v>443568.9</v>
      </c>
      <c r="X39" s="463">
        <f t="shared" si="35"/>
        <v>1902880.2999999998</v>
      </c>
      <c r="Y39" s="463">
        <v>2287451.5803781524</v>
      </c>
      <c r="Z39" s="326" t="s">
        <v>569</v>
      </c>
      <c r="AA39" s="289">
        <v>0</v>
      </c>
      <c r="AB39" s="463">
        <v>55828.5</v>
      </c>
      <c r="AC39" s="463">
        <v>1500025.9</v>
      </c>
      <c r="AD39" s="463">
        <f t="shared" si="9"/>
        <v>1555854.4</v>
      </c>
      <c r="AE39" s="289">
        <v>0</v>
      </c>
      <c r="AF39" s="463">
        <v>558</v>
      </c>
      <c r="AG39" s="463">
        <v>30946</v>
      </c>
      <c r="AH39" s="463">
        <f t="shared" si="36"/>
        <v>31504</v>
      </c>
      <c r="AI39" s="466">
        <v>27919.599999999999</v>
      </c>
      <c r="AJ39" s="466">
        <v>343558.2</v>
      </c>
      <c r="AK39" s="466">
        <v>28663</v>
      </c>
      <c r="AL39" s="466">
        <f t="shared" si="37"/>
        <v>372221.2</v>
      </c>
      <c r="AM39" s="466">
        <f t="shared" si="38"/>
        <v>27919.599999999999</v>
      </c>
      <c r="AN39" s="466">
        <f t="shared" si="38"/>
        <v>399944.7</v>
      </c>
      <c r="AO39" s="466">
        <f t="shared" si="38"/>
        <v>1559634.9</v>
      </c>
      <c r="AP39" s="466">
        <f t="shared" si="38"/>
        <v>1959579.5999999999</v>
      </c>
      <c r="AQ39" s="326" t="s">
        <v>569</v>
      </c>
      <c r="AR39" s="463">
        <v>13141.7</v>
      </c>
      <c r="AS39" s="463">
        <v>123514.6</v>
      </c>
      <c r="AT39" s="463">
        <v>36968.5</v>
      </c>
      <c r="AU39" s="463">
        <v>582</v>
      </c>
      <c r="AV39" s="463">
        <f>1749031.8-12.08</f>
        <v>1749019.72</v>
      </c>
      <c r="AW39" s="463">
        <v>16784.5</v>
      </c>
      <c r="AX39" s="463">
        <f t="shared" si="39"/>
        <v>1765804.22</v>
      </c>
      <c r="AY39" s="463">
        <f t="shared" si="40"/>
        <v>70632.168799999999</v>
      </c>
      <c r="AZ39" s="463">
        <f t="shared" si="41"/>
        <v>-6296.6644000000015</v>
      </c>
      <c r="BA39" s="463">
        <f>64338.1-2.5956</f>
        <v>64335.504399999998</v>
      </c>
      <c r="BB39" s="463">
        <v>4646261.9000000004</v>
      </c>
      <c r="BC39" s="463">
        <f t="shared" si="16"/>
        <v>346825.60439999995</v>
      </c>
      <c r="BD39" s="288">
        <v>21184.3</v>
      </c>
      <c r="BE39" s="463">
        <v>103203.8</v>
      </c>
      <c r="BF39" s="463">
        <v>16928.2</v>
      </c>
      <c r="BG39" s="463">
        <v>339448.5</v>
      </c>
      <c r="BH39" s="463">
        <f t="shared" si="17"/>
        <v>480764.8</v>
      </c>
      <c r="BI39" s="326" t="s">
        <v>569</v>
      </c>
      <c r="BJ39" s="447">
        <v>-5.0599999999999996</v>
      </c>
      <c r="BK39" s="295">
        <v>5.71</v>
      </c>
      <c r="BL39" s="295">
        <v>4.93</v>
      </c>
      <c r="BM39" s="295">
        <v>2.94</v>
      </c>
      <c r="BN39" s="295">
        <v>0.83</v>
      </c>
      <c r="BO39" s="295" t="s">
        <v>295</v>
      </c>
      <c r="BP39" s="296">
        <v>3835</v>
      </c>
      <c r="BQ39" s="296">
        <v>1541</v>
      </c>
      <c r="BR39" s="296">
        <v>5845</v>
      </c>
      <c r="BS39" s="296">
        <v>63</v>
      </c>
      <c r="BT39" s="296">
        <f t="shared" si="18"/>
        <v>11284</v>
      </c>
      <c r="BU39" s="295">
        <f t="shared" si="46"/>
        <v>112.03873676164153</v>
      </c>
      <c r="BV39" s="295">
        <f t="shared" si="47"/>
        <v>154.99997518610422</v>
      </c>
      <c r="BW39" s="295">
        <f t="shared" si="44"/>
        <v>173.660014179369</v>
      </c>
      <c r="BX39" s="295">
        <f t="shared" si="45"/>
        <v>5.1188847887890017</v>
      </c>
      <c r="BY39" s="295">
        <v>4</v>
      </c>
      <c r="BZ39" s="295">
        <v>4.92</v>
      </c>
      <c r="CA39" s="295">
        <v>9.75</v>
      </c>
      <c r="CB39" s="295">
        <f t="shared" si="23"/>
        <v>4.83</v>
      </c>
      <c r="CC39" s="295">
        <v>8.65</v>
      </c>
      <c r="CD39" s="295">
        <v>11.77</v>
      </c>
      <c r="CE39" s="295">
        <f t="shared" si="24"/>
        <v>3.1199999999999992</v>
      </c>
    </row>
    <row r="40" spans="1:83" s="164" customFormat="1" ht="11.1" customHeight="1">
      <c r="A40" s="162"/>
      <c r="B40" s="162"/>
      <c r="C40" s="162"/>
      <c r="D40" s="162"/>
      <c r="E40" s="162"/>
      <c r="F40" s="162"/>
      <c r="G40" s="162"/>
      <c r="H40" s="162"/>
      <c r="I40" s="253" t="s">
        <v>570</v>
      </c>
      <c r="J40" s="468">
        <v>282559.59999999998</v>
      </c>
      <c r="K40" s="468">
        <v>1861.3</v>
      </c>
      <c r="L40" s="468">
        <f t="shared" si="30"/>
        <v>284420.89999999997</v>
      </c>
      <c r="M40" s="468">
        <v>26846.400000000001</v>
      </c>
      <c r="N40" s="468">
        <f t="shared" si="31"/>
        <v>257574.49999999997</v>
      </c>
      <c r="O40" s="468">
        <v>31185.599999999999</v>
      </c>
      <c r="P40" s="468">
        <v>104320.5</v>
      </c>
      <c r="Q40" s="468">
        <v>190167.7</v>
      </c>
      <c r="R40" s="468">
        <v>1471481.6</v>
      </c>
      <c r="S40" s="468">
        <f t="shared" si="32"/>
        <v>1661649.3</v>
      </c>
      <c r="T40" s="468">
        <f t="shared" si="33"/>
        <v>1765969.8</v>
      </c>
      <c r="U40" s="468">
        <v>581.79999999999995</v>
      </c>
      <c r="V40" s="468">
        <v>352858.3</v>
      </c>
      <c r="W40" s="468">
        <f t="shared" si="34"/>
        <v>448323.99999999994</v>
      </c>
      <c r="X40" s="468">
        <f t="shared" si="35"/>
        <v>1919805.6</v>
      </c>
      <c r="Y40" s="468">
        <v>2303106.3518035202</v>
      </c>
      <c r="Z40" s="253" t="s">
        <v>570</v>
      </c>
      <c r="AA40" s="230">
        <v>0</v>
      </c>
      <c r="AB40" s="468">
        <v>55807.7</v>
      </c>
      <c r="AC40" s="468">
        <v>1507467.7</v>
      </c>
      <c r="AD40" s="468">
        <f t="shared" si="9"/>
        <v>1563275.4</v>
      </c>
      <c r="AE40" s="230">
        <v>0</v>
      </c>
      <c r="AF40" s="468">
        <v>535.29999999999995</v>
      </c>
      <c r="AG40" s="468">
        <v>32203.7</v>
      </c>
      <c r="AH40" s="468">
        <f t="shared" si="36"/>
        <v>32739</v>
      </c>
      <c r="AI40" s="479">
        <v>27808.3</v>
      </c>
      <c r="AJ40" s="479">
        <v>358363.4</v>
      </c>
      <c r="AK40" s="479">
        <v>28819.8</v>
      </c>
      <c r="AL40" s="479">
        <f t="shared" si="37"/>
        <v>387183.2</v>
      </c>
      <c r="AM40" s="479">
        <f t="shared" si="38"/>
        <v>27808.3</v>
      </c>
      <c r="AN40" s="479">
        <f t="shared" si="38"/>
        <v>414706.4</v>
      </c>
      <c r="AO40" s="479">
        <f t="shared" si="38"/>
        <v>1568491.2</v>
      </c>
      <c r="AP40" s="479">
        <f t="shared" si="38"/>
        <v>1983197.5999999999</v>
      </c>
      <c r="AQ40" s="253" t="s">
        <v>570</v>
      </c>
      <c r="AR40" s="468">
        <v>13189.5</v>
      </c>
      <c r="AS40" s="468">
        <v>131770.70000000001</v>
      </c>
      <c r="AT40" s="468">
        <v>36115.4</v>
      </c>
      <c r="AU40" s="468">
        <v>888.3</v>
      </c>
      <c r="AV40" s="468">
        <f>1766004.3-8.96</f>
        <v>1765995.34</v>
      </c>
      <c r="AW40" s="468">
        <v>16674.900000000001</v>
      </c>
      <c r="AX40" s="468">
        <f t="shared" si="39"/>
        <v>1782670.24</v>
      </c>
      <c r="AY40" s="468">
        <f t="shared" si="40"/>
        <v>71306.809600000008</v>
      </c>
      <c r="AZ40" s="468">
        <f t="shared" si="41"/>
        <v>-3452.4795000000013</v>
      </c>
      <c r="BA40" s="468">
        <f>67855.6-1.2699</f>
        <v>67854.330100000006</v>
      </c>
      <c r="BB40" s="468">
        <v>4726438.0999999996</v>
      </c>
      <c r="BC40" s="468">
        <f t="shared" si="16"/>
        <v>352275.23009999999</v>
      </c>
      <c r="BD40" s="229">
        <v>20425.599999999999</v>
      </c>
      <c r="BE40" s="468">
        <v>101665</v>
      </c>
      <c r="BF40" s="468">
        <v>16955.900000000001</v>
      </c>
      <c r="BG40" s="468">
        <v>354263</v>
      </c>
      <c r="BH40" s="468">
        <f t="shared" si="17"/>
        <v>493309.5</v>
      </c>
      <c r="BI40" s="253" t="s">
        <v>570</v>
      </c>
      <c r="BJ40" s="558">
        <v>-2.0299999999999998</v>
      </c>
      <c r="BK40" s="256">
        <v>5.55</v>
      </c>
      <c r="BL40" s="256">
        <v>5.53</v>
      </c>
      <c r="BM40" s="256">
        <v>4.01</v>
      </c>
      <c r="BN40" s="256">
        <v>1.73</v>
      </c>
      <c r="BO40" s="256" t="s">
        <v>295</v>
      </c>
      <c r="BP40" s="382">
        <v>3835</v>
      </c>
      <c r="BQ40" s="382">
        <v>1541</v>
      </c>
      <c r="BR40" s="382">
        <v>5849</v>
      </c>
      <c r="BS40" s="382">
        <v>63</v>
      </c>
      <c r="BT40" s="382">
        <f t="shared" si="18"/>
        <v>11288</v>
      </c>
      <c r="BU40" s="256">
        <f t="shared" si="46"/>
        <v>112.29914117440423</v>
      </c>
      <c r="BV40" s="256">
        <f t="shared" si="47"/>
        <v>156.44891389085757</v>
      </c>
      <c r="BW40" s="256">
        <f t="shared" si="44"/>
        <v>175.6907866761162</v>
      </c>
      <c r="BX40" s="256">
        <f t="shared" si="45"/>
        <v>5.362456398101255</v>
      </c>
      <c r="BY40" s="256">
        <v>4</v>
      </c>
      <c r="BZ40" s="256">
        <v>5.01</v>
      </c>
      <c r="CA40" s="256">
        <v>10.050000000000001</v>
      </c>
      <c r="CB40" s="256">
        <f t="shared" si="23"/>
        <v>5.0400000000000009</v>
      </c>
      <c r="CC40" s="256">
        <v>8.9600000000000009</v>
      </c>
      <c r="CD40" s="256">
        <v>12.02</v>
      </c>
      <c r="CE40" s="256">
        <f t="shared" si="24"/>
        <v>3.0599999999999987</v>
      </c>
    </row>
    <row r="41" spans="1:83" s="164" customFormat="1" ht="11.1" customHeight="1">
      <c r="A41" s="162"/>
      <c r="B41" s="162"/>
      <c r="C41" s="162"/>
      <c r="D41" s="162"/>
      <c r="E41" s="162"/>
      <c r="F41" s="162"/>
      <c r="G41" s="162"/>
      <c r="H41" s="162"/>
      <c r="I41" s="326" t="s">
        <v>562</v>
      </c>
      <c r="J41" s="463">
        <v>289310.8</v>
      </c>
      <c r="K41" s="463">
        <v>1878.5</v>
      </c>
      <c r="L41" s="463">
        <f t="shared" si="30"/>
        <v>291189.3</v>
      </c>
      <c r="M41" s="463">
        <v>29994</v>
      </c>
      <c r="N41" s="463">
        <f t="shared" si="31"/>
        <v>261195.3</v>
      </c>
      <c r="O41" s="463">
        <v>31367.5</v>
      </c>
      <c r="P41" s="463">
        <v>104450.6</v>
      </c>
      <c r="Q41" s="463">
        <v>193626.1</v>
      </c>
      <c r="R41" s="463">
        <v>1481866.8</v>
      </c>
      <c r="S41" s="463">
        <f t="shared" si="32"/>
        <v>1675492.9000000001</v>
      </c>
      <c r="T41" s="463">
        <f t="shared" si="33"/>
        <v>1779943.5000000002</v>
      </c>
      <c r="U41" s="463">
        <v>553.70000000000005</v>
      </c>
      <c r="V41" s="463">
        <v>356789.2</v>
      </c>
      <c r="W41" s="463">
        <f t="shared" si="34"/>
        <v>455375.10000000003</v>
      </c>
      <c r="X41" s="463">
        <f t="shared" si="35"/>
        <v>1937241.9000000001</v>
      </c>
      <c r="Y41" s="463">
        <v>2319243.1104903002</v>
      </c>
      <c r="Z41" s="326" t="s">
        <v>562</v>
      </c>
      <c r="AA41" s="289">
        <v>0</v>
      </c>
      <c r="AB41" s="463">
        <v>56313.3</v>
      </c>
      <c r="AC41" s="463">
        <v>1527467.1</v>
      </c>
      <c r="AD41" s="463">
        <f t="shared" si="9"/>
        <v>1583780.4000000001</v>
      </c>
      <c r="AE41" s="289">
        <v>0</v>
      </c>
      <c r="AF41" s="463">
        <v>525.79999999999995</v>
      </c>
      <c r="AG41" s="463">
        <v>33867.1</v>
      </c>
      <c r="AH41" s="463">
        <f t="shared" si="36"/>
        <v>34392.9</v>
      </c>
      <c r="AI41" s="466">
        <v>27816</v>
      </c>
      <c r="AJ41" s="466">
        <v>364214.6</v>
      </c>
      <c r="AK41" s="466">
        <v>28665.8</v>
      </c>
      <c r="AL41" s="466">
        <f t="shared" si="37"/>
        <v>392880.39999999997</v>
      </c>
      <c r="AM41" s="466">
        <f t="shared" si="38"/>
        <v>27816</v>
      </c>
      <c r="AN41" s="466">
        <f t="shared" si="38"/>
        <v>421053.69999999995</v>
      </c>
      <c r="AO41" s="466">
        <f t="shared" si="38"/>
        <v>1590000.0000000002</v>
      </c>
      <c r="AP41" s="466">
        <f t="shared" si="38"/>
        <v>2011053.7</v>
      </c>
      <c r="AQ41" s="326" t="s">
        <v>562</v>
      </c>
      <c r="AR41" s="463">
        <v>13251.9</v>
      </c>
      <c r="AS41" s="463">
        <v>135771.9</v>
      </c>
      <c r="AT41" s="463">
        <v>35115</v>
      </c>
      <c r="AU41" s="463">
        <v>227.2</v>
      </c>
      <c r="AV41" s="463">
        <f>1779980.1-9.21</f>
        <v>1779970.8900000001</v>
      </c>
      <c r="AW41" s="463">
        <v>16156.8</v>
      </c>
      <c r="AX41" s="463">
        <f t="shared" si="39"/>
        <v>1796127.6900000002</v>
      </c>
      <c r="AY41" s="463">
        <f t="shared" si="40"/>
        <v>71845.107600000003</v>
      </c>
      <c r="AZ41" s="463">
        <f t="shared" si="41"/>
        <v>-6800.0108000000037</v>
      </c>
      <c r="BA41" s="463">
        <f>65046.2-1.1032</f>
        <v>65045.096799999999</v>
      </c>
      <c r="BB41" s="463">
        <v>4821467.8</v>
      </c>
      <c r="BC41" s="463">
        <f>L41+BA41</f>
        <v>356234.39679999999</v>
      </c>
      <c r="BD41" s="288">
        <v>30535.599999999999</v>
      </c>
      <c r="BE41" s="463">
        <v>95919.4</v>
      </c>
      <c r="BF41" s="463">
        <v>17595.900000000001</v>
      </c>
      <c r="BG41" s="463">
        <v>360126.8</v>
      </c>
      <c r="BH41" s="463">
        <f t="shared" si="17"/>
        <v>504177.69999999995</v>
      </c>
      <c r="BI41" s="326" t="s">
        <v>562</v>
      </c>
      <c r="BJ41" s="447">
        <v>0.79</v>
      </c>
      <c r="BK41" s="295">
        <v>5.21</v>
      </c>
      <c r="BL41" s="295">
        <v>6.98</v>
      </c>
      <c r="BM41" s="295">
        <v>5.69</v>
      </c>
      <c r="BN41" s="295">
        <v>2.65</v>
      </c>
      <c r="BO41" s="295" t="s">
        <v>295</v>
      </c>
      <c r="BP41" s="296">
        <v>3835</v>
      </c>
      <c r="BQ41" s="296">
        <v>1541</v>
      </c>
      <c r="BR41" s="296">
        <v>5850</v>
      </c>
      <c r="BS41" s="296">
        <v>63</v>
      </c>
      <c r="BT41" s="296">
        <f t="shared" si="18"/>
        <v>11289</v>
      </c>
      <c r="BU41" s="295">
        <f t="shared" ref="BU41" si="48">AP41/AV41*100</f>
        <v>112.98239265025283</v>
      </c>
      <c r="BV41" s="295">
        <f t="shared" si="47"/>
        <v>157.67303481264949</v>
      </c>
      <c r="BW41" s="295">
        <f t="shared" ref="BW41:BW42" si="49">AP41/BT41</f>
        <v>178.14276729559748</v>
      </c>
      <c r="BX41" s="295">
        <f t="shared" ref="BX41" si="50">(M41+BA41)/AV41*100</f>
        <v>5.3393624206966663</v>
      </c>
      <c r="BY41" s="295">
        <v>4</v>
      </c>
      <c r="BZ41" s="295">
        <v>5.17</v>
      </c>
      <c r="CA41" s="295">
        <v>10.36</v>
      </c>
      <c r="CB41" s="295">
        <f t="shared" si="23"/>
        <v>5.1899999999999995</v>
      </c>
      <c r="CC41" s="295">
        <v>9.19</v>
      </c>
      <c r="CD41" s="295">
        <v>12.16</v>
      </c>
      <c r="CE41" s="295">
        <f t="shared" si="24"/>
        <v>2.9700000000000006</v>
      </c>
    </row>
    <row r="42" spans="1:83" s="164" customFormat="1" ht="11.1" customHeight="1">
      <c r="A42" s="162"/>
      <c r="B42" s="162"/>
      <c r="C42" s="162"/>
      <c r="D42" s="162"/>
      <c r="E42" s="162"/>
      <c r="F42" s="162"/>
      <c r="G42" s="162"/>
      <c r="H42" s="162"/>
      <c r="I42" s="253" t="s">
        <v>571</v>
      </c>
      <c r="J42" s="468">
        <v>288919.09999999998</v>
      </c>
      <c r="K42" s="468">
        <v>1890.3</v>
      </c>
      <c r="L42" s="468">
        <f t="shared" si="30"/>
        <v>290809.39999999997</v>
      </c>
      <c r="M42" s="468">
        <v>26460.1</v>
      </c>
      <c r="N42" s="468">
        <f t="shared" si="31"/>
        <v>264349.3</v>
      </c>
      <c r="O42" s="468">
        <v>32475.5</v>
      </c>
      <c r="P42" s="468">
        <v>103962.5</v>
      </c>
      <c r="Q42" s="468">
        <v>190035.5</v>
      </c>
      <c r="R42" s="468">
        <v>1491903.5</v>
      </c>
      <c r="S42" s="468">
        <f t="shared" si="32"/>
        <v>1681939</v>
      </c>
      <c r="T42" s="468">
        <f t="shared" si="33"/>
        <v>1785901.5</v>
      </c>
      <c r="U42" s="468">
        <v>543.79999999999995</v>
      </c>
      <c r="V42" s="468">
        <v>356710.2</v>
      </c>
      <c r="W42" s="468">
        <f t="shared" si="34"/>
        <v>454928.6</v>
      </c>
      <c r="X42" s="468">
        <f t="shared" si="35"/>
        <v>1946832.1</v>
      </c>
      <c r="Y42" s="468">
        <v>2326770.6016235701</v>
      </c>
      <c r="Z42" s="253" t="s">
        <v>571</v>
      </c>
      <c r="AA42" s="230">
        <v>0</v>
      </c>
      <c r="AB42" s="468">
        <v>57001.1</v>
      </c>
      <c r="AC42" s="468">
        <v>1529439.7</v>
      </c>
      <c r="AD42" s="468">
        <f t="shared" si="9"/>
        <v>1586440.8</v>
      </c>
      <c r="AE42" s="230">
        <v>0</v>
      </c>
      <c r="AF42" s="468">
        <v>525</v>
      </c>
      <c r="AG42" s="468">
        <v>34839.5</v>
      </c>
      <c r="AH42" s="468">
        <f t="shared" si="36"/>
        <v>35364.5</v>
      </c>
      <c r="AI42" s="479">
        <v>27724.7</v>
      </c>
      <c r="AJ42" s="479">
        <v>379061</v>
      </c>
      <c r="AK42" s="479">
        <v>28915.4</v>
      </c>
      <c r="AL42" s="479">
        <f t="shared" si="37"/>
        <v>407976.4</v>
      </c>
      <c r="AM42" s="479">
        <f t="shared" si="38"/>
        <v>27724.7</v>
      </c>
      <c r="AN42" s="479">
        <f t="shared" si="38"/>
        <v>436587.1</v>
      </c>
      <c r="AO42" s="479">
        <f t="shared" si="38"/>
        <v>1593194.5999999999</v>
      </c>
      <c r="AP42" s="479">
        <f t="shared" si="38"/>
        <v>2029781.7000000002</v>
      </c>
      <c r="AQ42" s="253" t="s">
        <v>571</v>
      </c>
      <c r="AR42" s="468">
        <v>13928.8</v>
      </c>
      <c r="AS42" s="468">
        <v>138960.6</v>
      </c>
      <c r="AT42" s="468">
        <v>35317</v>
      </c>
      <c r="AU42" s="468">
        <v>197.1</v>
      </c>
      <c r="AV42" s="468">
        <f>1785939.1-9.2</f>
        <v>1785929.9000000001</v>
      </c>
      <c r="AW42" s="468">
        <v>17264.400000000001</v>
      </c>
      <c r="AX42" s="468">
        <f t="shared" si="39"/>
        <v>1803194.3</v>
      </c>
      <c r="AY42" s="468">
        <f t="shared" si="40"/>
        <v>72127.771999999997</v>
      </c>
      <c r="AZ42" s="468">
        <f t="shared" si="41"/>
        <v>-6771.9316999999937</v>
      </c>
      <c r="BA42" s="468">
        <f>65357-1.1597</f>
        <v>65355.840300000003</v>
      </c>
      <c r="BB42" s="468">
        <v>4906493.3</v>
      </c>
      <c r="BC42" s="468">
        <f t="shared" si="16"/>
        <v>356165.24029999995</v>
      </c>
      <c r="BD42" s="229">
        <v>42024.4</v>
      </c>
      <c r="BE42" s="468">
        <v>93946</v>
      </c>
      <c r="BF42" s="468">
        <v>17938.900000000001</v>
      </c>
      <c r="BG42" s="468">
        <v>374999.8</v>
      </c>
      <c r="BH42" s="468">
        <f t="shared" si="17"/>
        <v>528909.1</v>
      </c>
      <c r="BI42" s="253" t="s">
        <v>571</v>
      </c>
      <c r="BJ42" s="558">
        <v>7.18</v>
      </c>
      <c r="BK42" s="256">
        <v>5.93</v>
      </c>
      <c r="BL42" s="256">
        <v>7.19</v>
      </c>
      <c r="BM42" s="256">
        <v>7.16</v>
      </c>
      <c r="BN42" s="256">
        <v>3.16</v>
      </c>
      <c r="BO42" s="256" t="s">
        <v>295</v>
      </c>
      <c r="BP42" s="382">
        <v>3835</v>
      </c>
      <c r="BQ42" s="382">
        <v>1541</v>
      </c>
      <c r="BR42" s="382">
        <v>5851</v>
      </c>
      <c r="BS42" s="382">
        <v>63</v>
      </c>
      <c r="BT42" s="382">
        <f t="shared" si="18"/>
        <v>11290</v>
      </c>
      <c r="BU42" s="256">
        <f t="shared" ref="BU42:BU44" si="51">AP42/AV42*100</f>
        <v>113.65405215512658</v>
      </c>
      <c r="BV42" s="256">
        <f t="shared" ref="BV42" si="52">AV42/BT42</f>
        <v>158.1868821966342</v>
      </c>
      <c r="BW42" s="256">
        <f t="shared" si="49"/>
        <v>179.78580159433128</v>
      </c>
      <c r="BX42" s="256">
        <f t="shared" ref="BX42:BX47" si="53">(M42+BA42)/AV42*100</f>
        <v>5.1410719032141179</v>
      </c>
      <c r="BY42" s="256">
        <v>4</v>
      </c>
      <c r="BZ42" s="256">
        <v>5.3</v>
      </c>
      <c r="CA42" s="256">
        <v>10.53</v>
      </c>
      <c r="CB42" s="256">
        <f t="shared" si="23"/>
        <v>5.2299999999999995</v>
      </c>
      <c r="CC42" s="256">
        <v>9.43</v>
      </c>
      <c r="CD42" s="256">
        <v>12.41</v>
      </c>
      <c r="CE42" s="256">
        <f t="shared" si="24"/>
        <v>2.9800000000000004</v>
      </c>
    </row>
    <row r="43" spans="1:83" s="164" customFormat="1" ht="11.1" customHeight="1">
      <c r="A43" s="162"/>
      <c r="B43" s="162"/>
      <c r="C43" s="162"/>
      <c r="D43" s="162"/>
      <c r="E43" s="162"/>
      <c r="F43" s="162"/>
      <c r="G43" s="162"/>
      <c r="H43" s="162"/>
      <c r="I43" s="326" t="s">
        <v>572</v>
      </c>
      <c r="J43" s="463">
        <v>292185.59999999998</v>
      </c>
      <c r="K43" s="463">
        <v>1897.4</v>
      </c>
      <c r="L43" s="463">
        <f t="shared" si="30"/>
        <v>294083</v>
      </c>
      <c r="M43" s="463">
        <v>23424.1</v>
      </c>
      <c r="N43" s="463">
        <f t="shared" si="31"/>
        <v>270658.90000000002</v>
      </c>
      <c r="O43" s="463">
        <v>31960.6</v>
      </c>
      <c r="P43" s="463">
        <v>104586.1</v>
      </c>
      <c r="Q43" s="463">
        <v>186847.5</v>
      </c>
      <c r="R43" s="463">
        <v>1513760.9</v>
      </c>
      <c r="S43" s="463">
        <f t="shared" si="32"/>
        <v>1700608.4</v>
      </c>
      <c r="T43" s="463">
        <f t="shared" si="33"/>
        <v>1805194.5</v>
      </c>
      <c r="U43" s="463">
        <v>537.20000000000005</v>
      </c>
      <c r="V43" s="463">
        <v>360751.7</v>
      </c>
      <c r="W43" s="463">
        <f t="shared" si="34"/>
        <v>458043.60000000003</v>
      </c>
      <c r="X43" s="463">
        <f t="shared" si="35"/>
        <v>1971804.5</v>
      </c>
      <c r="Y43" s="463">
        <v>2348184.175212421</v>
      </c>
      <c r="Z43" s="326" t="s">
        <v>572</v>
      </c>
      <c r="AA43" s="289">
        <v>0</v>
      </c>
      <c r="AB43" s="463">
        <v>58181.5</v>
      </c>
      <c r="AC43" s="463">
        <v>1547441.5</v>
      </c>
      <c r="AD43" s="463">
        <f t="shared" si="9"/>
        <v>1605623</v>
      </c>
      <c r="AE43" s="289">
        <v>0</v>
      </c>
      <c r="AF43" s="463">
        <v>522.70000000000005</v>
      </c>
      <c r="AG43" s="463">
        <v>37459</v>
      </c>
      <c r="AH43" s="463">
        <f t="shared" si="36"/>
        <v>37981.699999999997</v>
      </c>
      <c r="AI43" s="466">
        <v>27815.1</v>
      </c>
      <c r="AJ43" s="466">
        <v>384371.4</v>
      </c>
      <c r="AK43" s="466">
        <v>28804.400000000001</v>
      </c>
      <c r="AL43" s="466">
        <f t="shared" si="37"/>
        <v>413175.80000000005</v>
      </c>
      <c r="AM43" s="466">
        <f t="shared" si="38"/>
        <v>27815.1</v>
      </c>
      <c r="AN43" s="466">
        <f t="shared" si="38"/>
        <v>443075.60000000003</v>
      </c>
      <c r="AO43" s="466">
        <f t="shared" si="38"/>
        <v>1613704.9</v>
      </c>
      <c r="AP43" s="466">
        <f t="shared" si="38"/>
        <v>2056780.5</v>
      </c>
      <c r="AQ43" s="326" t="s">
        <v>572</v>
      </c>
      <c r="AR43" s="463">
        <v>13847.9</v>
      </c>
      <c r="AS43" s="463">
        <v>143866</v>
      </c>
      <c r="AT43" s="463">
        <v>34812.800000000003</v>
      </c>
      <c r="AU43" s="463">
        <v>187.7</v>
      </c>
      <c r="AV43" s="463">
        <f>1805231.5-9.3</f>
        <v>1805222.2</v>
      </c>
      <c r="AW43" s="463">
        <v>16607.2</v>
      </c>
      <c r="AX43" s="463">
        <f t="shared" si="39"/>
        <v>1821829.4</v>
      </c>
      <c r="AY43" s="463">
        <f t="shared" si="40"/>
        <v>72873.175999999992</v>
      </c>
      <c r="AZ43" s="463">
        <f t="shared" ref="AZ43:AZ46" si="54">BA43-AY43</f>
        <v>-6742.8569999999891</v>
      </c>
      <c r="BA43" s="463">
        <f>66131.5-1.181</f>
        <v>66130.319000000003</v>
      </c>
      <c r="BB43" s="463">
        <v>4994583.8</v>
      </c>
      <c r="BC43" s="463">
        <f t="shared" si="16"/>
        <v>360213.31900000002</v>
      </c>
      <c r="BD43" s="288">
        <v>48670.6</v>
      </c>
      <c r="BE43" s="463">
        <v>92642.2</v>
      </c>
      <c r="BF43" s="463">
        <v>18686.400000000001</v>
      </c>
      <c r="BG43" s="463">
        <v>380236</v>
      </c>
      <c r="BH43" s="463">
        <f t="shared" si="17"/>
        <v>540235.20000000007</v>
      </c>
      <c r="BI43" s="326" t="s">
        <v>572</v>
      </c>
      <c r="BJ43" s="447">
        <v>9.59</v>
      </c>
      <c r="BK43" s="295">
        <v>7.06</v>
      </c>
      <c r="BL43" s="295">
        <v>8.58</v>
      </c>
      <c r="BM43" s="295">
        <v>8.75</v>
      </c>
      <c r="BN43" s="295">
        <v>4.4800000000000004</v>
      </c>
      <c r="BO43" s="295" t="s">
        <v>295</v>
      </c>
      <c r="BP43" s="296">
        <v>3835</v>
      </c>
      <c r="BQ43" s="296">
        <v>1541</v>
      </c>
      <c r="BR43" s="296">
        <v>5855</v>
      </c>
      <c r="BS43" s="296">
        <v>63</v>
      </c>
      <c r="BT43" s="296">
        <f t="shared" si="18"/>
        <v>11294</v>
      </c>
      <c r="BU43" s="295">
        <f t="shared" si="51"/>
        <v>113.93503248519767</v>
      </c>
      <c r="BV43" s="295">
        <f t="shared" ref="BV43:BV44" si="55">AV43/BT43</f>
        <v>159.83904728174252</v>
      </c>
      <c r="BW43" s="295">
        <f t="shared" ref="BW43:BW44" si="56">AP43/BT43</f>
        <v>182.1126704444838</v>
      </c>
      <c r="BX43" s="295">
        <f t="shared" si="53"/>
        <v>4.9608529631421545</v>
      </c>
      <c r="BY43" s="295">
        <v>4</v>
      </c>
      <c r="BZ43" s="295">
        <v>5.42</v>
      </c>
      <c r="CA43" s="295">
        <v>11.28</v>
      </c>
      <c r="CB43" s="295">
        <f t="shared" si="23"/>
        <v>5.8599999999999994</v>
      </c>
      <c r="CC43" s="295">
        <v>9.61</v>
      </c>
      <c r="CD43" s="295">
        <v>12.53</v>
      </c>
      <c r="CE43" s="295">
        <f t="shared" si="24"/>
        <v>2.92</v>
      </c>
    </row>
    <row r="44" spans="1:83" s="164" customFormat="1" ht="11.1" customHeight="1">
      <c r="A44" s="162"/>
      <c r="B44" s="162"/>
      <c r="C44" s="162"/>
      <c r="D44" s="162"/>
      <c r="E44" s="162"/>
      <c r="F44" s="162"/>
      <c r="G44" s="162"/>
      <c r="H44" s="162"/>
      <c r="I44" s="253" t="s">
        <v>563</v>
      </c>
      <c r="J44" s="468">
        <v>318403</v>
      </c>
      <c r="K44" s="468">
        <v>1905.9</v>
      </c>
      <c r="L44" s="468">
        <f t="shared" si="30"/>
        <v>320308.90000000002</v>
      </c>
      <c r="M44" s="468">
        <v>29872.400000000001</v>
      </c>
      <c r="N44" s="468">
        <f t="shared" si="31"/>
        <v>290436.5</v>
      </c>
      <c r="O44" s="468">
        <v>32754.9</v>
      </c>
      <c r="P44" s="468">
        <v>120147.8</v>
      </c>
      <c r="Q44" s="468">
        <v>209917.3</v>
      </c>
      <c r="R44" s="468">
        <v>1532307.2</v>
      </c>
      <c r="S44" s="468">
        <f t="shared" si="32"/>
        <v>1742224.5</v>
      </c>
      <c r="T44" s="468">
        <f t="shared" si="33"/>
        <v>1862372.3</v>
      </c>
      <c r="U44" s="468">
        <v>573</v>
      </c>
      <c r="V44" s="468">
        <v>413644.6</v>
      </c>
      <c r="W44" s="468">
        <f t="shared" si="34"/>
        <v>500926.8</v>
      </c>
      <c r="X44" s="468">
        <f t="shared" si="35"/>
        <v>2033234</v>
      </c>
      <c r="Y44" s="468">
        <v>2407957.7440705281</v>
      </c>
      <c r="Z44" s="253" t="s">
        <v>563</v>
      </c>
      <c r="AA44" s="230">
        <v>0</v>
      </c>
      <c r="AB44" s="468">
        <v>56736.6</v>
      </c>
      <c r="AC44" s="468">
        <v>1564444.9</v>
      </c>
      <c r="AD44" s="468">
        <f t="shared" si="9"/>
        <v>1621181.5</v>
      </c>
      <c r="AE44" s="230">
        <v>0</v>
      </c>
      <c r="AF44" s="468">
        <v>518.70000000000005</v>
      </c>
      <c r="AG44" s="468">
        <v>38612.699999999997</v>
      </c>
      <c r="AH44" s="468">
        <f t="shared" si="36"/>
        <v>39131.399999999994</v>
      </c>
      <c r="AI44" s="479">
        <v>27137.4</v>
      </c>
      <c r="AJ44" s="479">
        <v>399628.7</v>
      </c>
      <c r="AK44" s="479">
        <v>29389.1</v>
      </c>
      <c r="AL44" s="479">
        <f t="shared" si="37"/>
        <v>429017.8</v>
      </c>
      <c r="AM44" s="479">
        <f t="shared" si="38"/>
        <v>27137.4</v>
      </c>
      <c r="AN44" s="479">
        <f t="shared" si="38"/>
        <v>456884</v>
      </c>
      <c r="AO44" s="479">
        <f t="shared" si="38"/>
        <v>1632446.7</v>
      </c>
      <c r="AP44" s="479">
        <f t="shared" si="38"/>
        <v>2089330.7</v>
      </c>
      <c r="AQ44" s="253" t="s">
        <v>563</v>
      </c>
      <c r="AR44" s="468">
        <v>15168</v>
      </c>
      <c r="AS44" s="468">
        <v>172788.1</v>
      </c>
      <c r="AT44" s="468">
        <v>32701.4</v>
      </c>
      <c r="AU44" s="468">
        <v>93.6</v>
      </c>
      <c r="AV44" s="468">
        <f>1862419-10.63</f>
        <v>1862408.37</v>
      </c>
      <c r="AW44" s="468">
        <v>17820</v>
      </c>
      <c r="AX44" s="468">
        <f t="shared" si="39"/>
        <v>1880228.37</v>
      </c>
      <c r="AY44" s="468">
        <f t="shared" si="40"/>
        <v>75209.1348</v>
      </c>
      <c r="AZ44" s="468">
        <f t="shared" si="54"/>
        <v>17554.383000000002</v>
      </c>
      <c r="BA44" s="468">
        <f>92765.1-1.5822</f>
        <v>92763.517800000001</v>
      </c>
      <c r="BB44" s="468">
        <v>5149667.5</v>
      </c>
      <c r="BC44" s="468">
        <f t="shared" si="16"/>
        <v>413072.41780000005</v>
      </c>
      <c r="BD44" s="229">
        <v>69247.100000000006</v>
      </c>
      <c r="BE44" s="468">
        <v>75231.8</v>
      </c>
      <c r="BF44" s="468">
        <v>16171.7</v>
      </c>
      <c r="BG44" s="468">
        <v>395501.7</v>
      </c>
      <c r="BH44" s="468">
        <f t="shared" si="17"/>
        <v>556152.30000000005</v>
      </c>
      <c r="BI44" s="253" t="s">
        <v>563</v>
      </c>
      <c r="BJ44" s="558">
        <v>9.69</v>
      </c>
      <c r="BK44" s="256">
        <v>9.42</v>
      </c>
      <c r="BL44" s="256">
        <v>9.84</v>
      </c>
      <c r="BM44" s="256">
        <v>9.8000000000000007</v>
      </c>
      <c r="BN44" s="256">
        <v>7.74</v>
      </c>
      <c r="BO44" s="256" t="s">
        <v>295</v>
      </c>
      <c r="BP44" s="382">
        <v>3835</v>
      </c>
      <c r="BQ44" s="382">
        <v>1541</v>
      </c>
      <c r="BR44" s="382">
        <v>5858</v>
      </c>
      <c r="BS44" s="382">
        <v>63</v>
      </c>
      <c r="BT44" s="382">
        <f t="shared" si="18"/>
        <v>11297</v>
      </c>
      <c r="BU44" s="256">
        <f t="shared" si="51"/>
        <v>112.18434869899127</v>
      </c>
      <c r="BV44" s="256">
        <f t="shared" si="55"/>
        <v>164.8586677879083</v>
      </c>
      <c r="BW44" s="256">
        <f t="shared" si="56"/>
        <v>184.94562273169868</v>
      </c>
      <c r="BX44" s="256">
        <f t="shared" si="53"/>
        <v>6.5848027626722914</v>
      </c>
      <c r="BY44" s="256">
        <v>4</v>
      </c>
      <c r="BZ44" s="256">
        <v>5.49</v>
      </c>
      <c r="CA44" s="256">
        <v>11.52</v>
      </c>
      <c r="CB44" s="256">
        <f t="shared" si="23"/>
        <v>6.0299999999999994</v>
      </c>
      <c r="CC44" s="256">
        <v>9.83</v>
      </c>
      <c r="CD44" s="256">
        <v>12.79</v>
      </c>
      <c r="CE44" s="256">
        <f>CD44-CC44</f>
        <v>2.9599999999999991</v>
      </c>
    </row>
    <row r="45" spans="1:83" s="164" customFormat="1" ht="11.1" customHeight="1">
      <c r="A45" s="162"/>
      <c r="B45" s="162"/>
      <c r="C45" s="162"/>
      <c r="D45" s="162"/>
      <c r="E45" s="162"/>
      <c r="F45" s="162"/>
      <c r="G45" s="162"/>
      <c r="H45" s="162"/>
      <c r="I45" s="360" t="s">
        <v>2680</v>
      </c>
      <c r="J45" s="463"/>
      <c r="K45" s="463"/>
      <c r="L45" s="463"/>
      <c r="M45" s="463"/>
      <c r="N45" s="463"/>
      <c r="O45" s="463"/>
      <c r="P45" s="463"/>
      <c r="Q45" s="463"/>
      <c r="R45" s="463"/>
      <c r="S45" s="463"/>
      <c r="T45" s="463"/>
      <c r="U45" s="463"/>
      <c r="V45" s="463"/>
      <c r="W45" s="463"/>
      <c r="X45" s="463"/>
      <c r="Y45" s="463"/>
      <c r="Z45" s="360" t="s">
        <v>2680</v>
      </c>
      <c r="AA45" s="289"/>
      <c r="AB45" s="289"/>
      <c r="AC45" s="289"/>
      <c r="AD45" s="289"/>
      <c r="AE45" s="289"/>
      <c r="AF45" s="463"/>
      <c r="AG45" s="463"/>
      <c r="AH45" s="463"/>
      <c r="AI45" s="466"/>
      <c r="AJ45" s="466"/>
      <c r="AK45" s="466"/>
      <c r="AL45" s="466"/>
      <c r="AM45" s="466"/>
      <c r="AN45" s="466"/>
      <c r="AO45" s="466"/>
      <c r="AP45" s="466"/>
      <c r="AQ45" s="360" t="s">
        <v>2680</v>
      </c>
      <c r="AR45" s="463"/>
      <c r="AS45" s="463"/>
      <c r="AT45" s="463"/>
      <c r="AU45" s="463"/>
      <c r="AV45" s="463"/>
      <c r="AW45" s="463"/>
      <c r="AX45" s="463"/>
      <c r="AY45" s="463"/>
      <c r="AZ45" s="463"/>
      <c r="BA45" s="463"/>
      <c r="BB45" s="463"/>
      <c r="BC45" s="463"/>
      <c r="BD45" s="288"/>
      <c r="BE45" s="463"/>
      <c r="BF45" s="463"/>
      <c r="BG45" s="463"/>
      <c r="BH45" s="463"/>
      <c r="BI45" s="360" t="s">
        <v>2680</v>
      </c>
      <c r="BJ45" s="447"/>
      <c r="BK45" s="295"/>
      <c r="BL45" s="295"/>
      <c r="BM45" s="295"/>
      <c r="BN45" s="295"/>
      <c r="BO45" s="295"/>
      <c r="BP45" s="296"/>
      <c r="BQ45" s="296"/>
      <c r="BR45" s="296"/>
      <c r="BS45" s="296"/>
      <c r="BT45" s="296"/>
      <c r="BU45" s="295"/>
      <c r="BV45" s="295"/>
      <c r="BW45" s="295"/>
      <c r="BX45" s="295"/>
      <c r="BY45" s="295"/>
      <c r="BZ45" s="295"/>
      <c r="CA45" s="295"/>
      <c r="CB45" s="295"/>
      <c r="CC45" s="295"/>
      <c r="CD45" s="295"/>
      <c r="CE45" s="295"/>
    </row>
    <row r="46" spans="1:83" s="164" customFormat="1" ht="11.1" customHeight="1">
      <c r="A46" s="162"/>
      <c r="B46" s="162"/>
      <c r="C46" s="162"/>
      <c r="D46" s="162"/>
      <c r="E46" s="162"/>
      <c r="F46" s="162"/>
      <c r="G46" s="162"/>
      <c r="H46" s="162"/>
      <c r="I46" s="253" t="s">
        <v>565</v>
      </c>
      <c r="J46" s="468">
        <v>313988.3</v>
      </c>
      <c r="K46" s="468">
        <v>1911.2</v>
      </c>
      <c r="L46" s="468">
        <f t="shared" si="30"/>
        <v>315899.5</v>
      </c>
      <c r="M46" s="468">
        <v>24269.1</v>
      </c>
      <c r="N46" s="468">
        <f t="shared" si="31"/>
        <v>291630.40000000002</v>
      </c>
      <c r="O46" s="468">
        <v>28935.5</v>
      </c>
      <c r="P46" s="468">
        <v>108667.2</v>
      </c>
      <c r="Q46" s="468">
        <v>193208.7</v>
      </c>
      <c r="R46" s="468">
        <v>1540818.2</v>
      </c>
      <c r="S46" s="468">
        <f t="shared" ref="S46:S52" si="57">Q46+R46</f>
        <v>1734026.9</v>
      </c>
      <c r="T46" s="468">
        <f t="shared" ref="T46:T52" si="58">P46+S46</f>
        <v>1842694.0999999999</v>
      </c>
      <c r="U46" s="468">
        <v>567.20000000000005</v>
      </c>
      <c r="V46" s="468">
        <v>389317.10000000003</v>
      </c>
      <c r="W46" s="468">
        <f t="shared" ref="W46:W52" si="59">N46+Q46+U46</f>
        <v>485406.30000000005</v>
      </c>
      <c r="X46" s="468">
        <f t="shared" ref="X46:X52" si="60">R46+W46</f>
        <v>2026224.5</v>
      </c>
      <c r="Y46" s="468">
        <v>2403227.217577802</v>
      </c>
      <c r="Z46" s="253" t="s">
        <v>565</v>
      </c>
      <c r="AA46" s="230">
        <v>0</v>
      </c>
      <c r="AB46" s="468">
        <v>58592.9</v>
      </c>
      <c r="AC46" s="468">
        <v>1559150</v>
      </c>
      <c r="AD46" s="468">
        <f t="shared" si="9"/>
        <v>1617742.9</v>
      </c>
      <c r="AE46" s="230">
        <v>0</v>
      </c>
      <c r="AF46" s="468">
        <v>503.5</v>
      </c>
      <c r="AG46" s="468">
        <v>38425.300000000003</v>
      </c>
      <c r="AH46" s="468">
        <f t="shared" si="36"/>
        <v>38928.800000000003</v>
      </c>
      <c r="AI46" s="479">
        <v>27079.8</v>
      </c>
      <c r="AJ46" s="479">
        <v>399240.7</v>
      </c>
      <c r="AK46" s="479">
        <v>29536.1</v>
      </c>
      <c r="AL46" s="479">
        <f t="shared" ref="AL46:AL48" si="61">AJ46+AK46</f>
        <v>428776.8</v>
      </c>
      <c r="AM46" s="479">
        <f t="shared" ref="AM46:AM48" si="62">AA46+AE46+AI46</f>
        <v>27079.8</v>
      </c>
      <c r="AN46" s="479">
        <f t="shared" ref="AN46:AN48" si="63">AB46+AF46+AJ46</f>
        <v>458337.10000000003</v>
      </c>
      <c r="AO46" s="479">
        <f t="shared" ref="AO46:AO48" si="64">AC46+AG46+AK46</f>
        <v>1627111.4000000001</v>
      </c>
      <c r="AP46" s="479">
        <f t="shared" ref="AP46:AP48" si="65">AD46+AH46+AL46</f>
        <v>2085448.5</v>
      </c>
      <c r="AQ46" s="253" t="s">
        <v>565</v>
      </c>
      <c r="AR46" s="468">
        <v>15682.6</v>
      </c>
      <c r="AS46" s="468">
        <v>145608</v>
      </c>
      <c r="AT46" s="468">
        <v>35622.800000000003</v>
      </c>
      <c r="AU46" s="468">
        <v>125.3</v>
      </c>
      <c r="AV46" s="468">
        <f>1842738.2-10.5</f>
        <v>1842727.7</v>
      </c>
      <c r="AW46" s="468">
        <v>16270.9</v>
      </c>
      <c r="AX46" s="468">
        <f t="shared" si="39"/>
        <v>1858998.5999999999</v>
      </c>
      <c r="AY46" s="468">
        <f t="shared" ref="AY46:AY52" si="66">0.04*AX46</f>
        <v>74359.944000000003</v>
      </c>
      <c r="AZ46" s="468">
        <f t="shared" si="54"/>
        <v>-1510.7140000000072</v>
      </c>
      <c r="BA46" s="468">
        <f>72850.4-1.17</f>
        <v>72849.23</v>
      </c>
      <c r="BB46" s="468">
        <v>5144112.3</v>
      </c>
      <c r="BC46" s="468">
        <f t="shared" si="16"/>
        <v>388748.73</v>
      </c>
      <c r="BD46" s="229">
        <v>73393.399999999994</v>
      </c>
      <c r="BE46" s="468">
        <v>72083.899999999994</v>
      </c>
      <c r="BF46" s="468">
        <v>17493.3</v>
      </c>
      <c r="BG46" s="468">
        <v>395113.5</v>
      </c>
      <c r="BH46" s="468">
        <f t="shared" si="17"/>
        <v>558084.1</v>
      </c>
      <c r="BI46" s="253" t="s">
        <v>565</v>
      </c>
      <c r="BJ46" s="558">
        <v>12.29</v>
      </c>
      <c r="BK46" s="256">
        <v>10.88</v>
      </c>
      <c r="BL46" s="256">
        <v>10.130000000000001</v>
      </c>
      <c r="BM46" s="256">
        <v>10.59</v>
      </c>
      <c r="BN46" s="256">
        <v>8.11</v>
      </c>
      <c r="BO46" s="256" t="s">
        <v>295</v>
      </c>
      <c r="BP46" s="382">
        <v>3835</v>
      </c>
      <c r="BQ46" s="382">
        <v>1543</v>
      </c>
      <c r="BR46" s="382">
        <v>5858</v>
      </c>
      <c r="BS46" s="382">
        <v>63</v>
      </c>
      <c r="BT46" s="382">
        <f t="shared" si="18"/>
        <v>11299</v>
      </c>
      <c r="BU46" s="256">
        <f t="shared" ref="BU46:BU47" si="67">AP46/AV46*100</f>
        <v>113.1718213168446</v>
      </c>
      <c r="BV46" s="256">
        <f t="shared" ref="BV46:BV47" si="68">AV46/BT46</f>
        <v>163.08768032569253</v>
      </c>
      <c r="BW46" s="256">
        <f t="shared" ref="BW46:BW47" si="69">AP46/BT46</f>
        <v>184.56929816797947</v>
      </c>
      <c r="BX46" s="256">
        <f t="shared" si="53"/>
        <v>5.2703570907410784</v>
      </c>
      <c r="BY46" s="256">
        <v>4</v>
      </c>
      <c r="BZ46" s="256">
        <v>5.68</v>
      </c>
      <c r="CA46" s="256">
        <v>11.57</v>
      </c>
      <c r="CB46" s="256">
        <f t="shared" si="23"/>
        <v>5.8900000000000006</v>
      </c>
      <c r="CC46" s="256">
        <v>9.98</v>
      </c>
      <c r="CD46" s="256">
        <v>13.01</v>
      </c>
      <c r="CE46" s="256">
        <f t="shared" ref="CE46:CE52" si="70">CD46-CC46</f>
        <v>3.0299999999999994</v>
      </c>
    </row>
    <row r="47" spans="1:83" s="164" customFormat="1" ht="11.1" customHeight="1">
      <c r="A47" s="162"/>
      <c r="B47" s="162"/>
      <c r="C47" s="162"/>
      <c r="D47" s="162"/>
      <c r="E47" s="162"/>
      <c r="F47" s="162"/>
      <c r="G47" s="162"/>
      <c r="H47" s="162"/>
      <c r="I47" s="326" t="s">
        <v>566</v>
      </c>
      <c r="J47" s="463">
        <v>316798.7</v>
      </c>
      <c r="K47" s="463">
        <v>1914.2</v>
      </c>
      <c r="L47" s="463">
        <f t="shared" si="30"/>
        <v>318712.90000000002</v>
      </c>
      <c r="M47" s="463">
        <v>26278.5</v>
      </c>
      <c r="N47" s="463">
        <f t="shared" si="31"/>
        <v>292434.40000000002</v>
      </c>
      <c r="O47" s="463">
        <v>27286.5</v>
      </c>
      <c r="P47" s="463">
        <v>107931.1</v>
      </c>
      <c r="Q47" s="463">
        <v>193471.9</v>
      </c>
      <c r="R47" s="463">
        <v>1537788.8</v>
      </c>
      <c r="S47" s="463">
        <f t="shared" si="57"/>
        <v>1731260.7</v>
      </c>
      <c r="T47" s="463">
        <f t="shared" si="58"/>
        <v>1839191.8</v>
      </c>
      <c r="U47" s="463">
        <v>629.70000000000005</v>
      </c>
      <c r="V47" s="463">
        <v>385796.60000000003</v>
      </c>
      <c r="W47" s="463">
        <f t="shared" si="59"/>
        <v>486536.00000000006</v>
      </c>
      <c r="X47" s="463">
        <f t="shared" si="60"/>
        <v>2024324.8</v>
      </c>
      <c r="Y47" s="463">
        <v>2404720.5774041633</v>
      </c>
      <c r="Z47" s="326" t="s">
        <v>566</v>
      </c>
      <c r="AA47" s="289">
        <v>0</v>
      </c>
      <c r="AB47" s="463">
        <v>58184.2</v>
      </c>
      <c r="AC47" s="463">
        <v>1578740</v>
      </c>
      <c r="AD47" s="463">
        <f t="shared" si="9"/>
        <v>1636924.2</v>
      </c>
      <c r="AE47" s="289">
        <v>0</v>
      </c>
      <c r="AF47" s="463">
        <v>492</v>
      </c>
      <c r="AG47" s="463">
        <v>25847</v>
      </c>
      <c r="AH47" s="463">
        <f t="shared" si="36"/>
        <v>26339</v>
      </c>
      <c r="AI47" s="466">
        <v>26607</v>
      </c>
      <c r="AJ47" s="466">
        <v>406121.3</v>
      </c>
      <c r="AK47" s="466">
        <v>29434.400000000001</v>
      </c>
      <c r="AL47" s="466">
        <f t="shared" si="61"/>
        <v>435555.7</v>
      </c>
      <c r="AM47" s="466">
        <f t="shared" si="62"/>
        <v>26607</v>
      </c>
      <c r="AN47" s="466">
        <f t="shared" si="63"/>
        <v>464797.5</v>
      </c>
      <c r="AO47" s="466">
        <f t="shared" si="64"/>
        <v>1634021.4</v>
      </c>
      <c r="AP47" s="466">
        <f t="shared" si="65"/>
        <v>2098818.9</v>
      </c>
      <c r="AQ47" s="326" t="s">
        <v>566</v>
      </c>
      <c r="AR47" s="463">
        <v>15769.3</v>
      </c>
      <c r="AS47" s="463">
        <v>148495.4</v>
      </c>
      <c r="AT47" s="463">
        <v>32679.599999999999</v>
      </c>
      <c r="AU47" s="463">
        <v>341.6</v>
      </c>
      <c r="AV47" s="463">
        <f>1839235.6-11.05</f>
        <v>1839224.55</v>
      </c>
      <c r="AW47" s="463">
        <v>17519.900000000001</v>
      </c>
      <c r="AX47" s="463">
        <f t="shared" si="39"/>
        <v>1856744.45</v>
      </c>
      <c r="AY47" s="463">
        <f t="shared" si="66"/>
        <v>74269.778000000006</v>
      </c>
      <c r="AZ47" s="463">
        <f t="shared" ref="AZ47:AZ52" si="71">BA47-AY47</f>
        <v>-7817.2646999999997</v>
      </c>
      <c r="BA47" s="463">
        <f>66454-1.4867</f>
        <v>66452.513300000006</v>
      </c>
      <c r="BB47" s="463">
        <v>4669271.5999999996</v>
      </c>
      <c r="BC47" s="463">
        <f t="shared" si="16"/>
        <v>385165.41330000001</v>
      </c>
      <c r="BD47" s="288">
        <v>53854.8</v>
      </c>
      <c r="BE47" s="463">
        <v>72434.7</v>
      </c>
      <c r="BF47" s="463">
        <v>17718.900000000001</v>
      </c>
      <c r="BG47" s="463">
        <v>402003.7</v>
      </c>
      <c r="BH47" s="463">
        <f t="shared" si="17"/>
        <v>546012.10000000009</v>
      </c>
      <c r="BI47" s="326" t="s">
        <v>566</v>
      </c>
      <c r="BJ47" s="447">
        <v>0.32</v>
      </c>
      <c r="BK47" s="295">
        <v>-1.1000000000000001</v>
      </c>
      <c r="BL47" s="295">
        <v>0.09</v>
      </c>
      <c r="BM47" s="295">
        <v>0.11</v>
      </c>
      <c r="BN47" s="295">
        <v>-0.44</v>
      </c>
      <c r="BO47" s="295" t="s">
        <v>295</v>
      </c>
      <c r="BP47" s="296">
        <v>3835</v>
      </c>
      <c r="BQ47" s="296">
        <v>1543</v>
      </c>
      <c r="BR47" s="296">
        <v>5858</v>
      </c>
      <c r="BS47" s="296">
        <v>63</v>
      </c>
      <c r="BT47" s="296">
        <f t="shared" si="18"/>
        <v>11299</v>
      </c>
      <c r="BU47" s="295">
        <f t="shared" si="67"/>
        <v>114.11433693618322</v>
      </c>
      <c r="BV47" s="295">
        <f t="shared" si="68"/>
        <v>162.77763961412515</v>
      </c>
      <c r="BW47" s="295">
        <f t="shared" si="69"/>
        <v>185.75262412602885</v>
      </c>
      <c r="BX47" s="295">
        <f t="shared" si="53"/>
        <v>5.0418538236671537</v>
      </c>
      <c r="BY47" s="295">
        <v>4</v>
      </c>
      <c r="BZ47" s="295">
        <v>5.76</v>
      </c>
      <c r="CA47" s="295">
        <v>11.57</v>
      </c>
      <c r="CB47" s="295">
        <f t="shared" si="23"/>
        <v>5.8100000000000005</v>
      </c>
      <c r="CC47" s="295">
        <v>10.16</v>
      </c>
      <c r="CD47" s="295">
        <v>13.22</v>
      </c>
      <c r="CE47" s="295">
        <f t="shared" si="70"/>
        <v>3.0600000000000005</v>
      </c>
    </row>
    <row r="48" spans="1:83" s="164" customFormat="1" ht="11.1" customHeight="1">
      <c r="A48" s="162"/>
      <c r="B48" s="162"/>
      <c r="C48" s="162"/>
      <c r="D48" s="162"/>
      <c r="E48" s="162"/>
      <c r="F48" s="162"/>
      <c r="G48" s="162"/>
      <c r="H48" s="162"/>
      <c r="I48" s="253" t="s">
        <v>560</v>
      </c>
      <c r="J48" s="468">
        <v>309094.2</v>
      </c>
      <c r="K48" s="468">
        <v>1919.5</v>
      </c>
      <c r="L48" s="468">
        <f t="shared" si="30"/>
        <v>311013.7</v>
      </c>
      <c r="M48" s="468">
        <v>27460.3</v>
      </c>
      <c r="N48" s="468">
        <f t="shared" si="31"/>
        <v>283553.40000000002</v>
      </c>
      <c r="O48" s="468">
        <v>27199.3</v>
      </c>
      <c r="P48" s="468">
        <v>108428.8</v>
      </c>
      <c r="Q48" s="468">
        <v>192323.6</v>
      </c>
      <c r="R48" s="468">
        <v>1548685.5</v>
      </c>
      <c r="S48" s="468">
        <f t="shared" si="57"/>
        <v>1741009.1</v>
      </c>
      <c r="T48" s="468">
        <f t="shared" si="58"/>
        <v>1849437.9000000001</v>
      </c>
      <c r="U48" s="468">
        <v>586.20000000000005</v>
      </c>
      <c r="V48" s="468">
        <v>375273.2</v>
      </c>
      <c r="W48" s="468">
        <f t="shared" si="59"/>
        <v>476463.2</v>
      </c>
      <c r="X48" s="468">
        <f t="shared" si="60"/>
        <v>2025148.7</v>
      </c>
      <c r="Y48" s="468">
        <v>2412536.6072327271</v>
      </c>
      <c r="Z48" s="253" t="s">
        <v>560</v>
      </c>
      <c r="AA48" s="230">
        <v>0</v>
      </c>
      <c r="AB48" s="468">
        <v>55435.8</v>
      </c>
      <c r="AC48" s="468">
        <v>1587724.6</v>
      </c>
      <c r="AD48" s="230">
        <f t="shared" si="9"/>
        <v>1643160.4000000001</v>
      </c>
      <c r="AE48" s="230">
        <v>0</v>
      </c>
      <c r="AF48" s="468">
        <v>481.4</v>
      </c>
      <c r="AG48" s="468">
        <v>25950.400000000001</v>
      </c>
      <c r="AH48" s="468">
        <f t="shared" si="36"/>
        <v>26431.800000000003</v>
      </c>
      <c r="AI48" s="479">
        <v>26413.3</v>
      </c>
      <c r="AJ48" s="479">
        <v>411964.5</v>
      </c>
      <c r="AK48" s="479">
        <v>29279.7</v>
      </c>
      <c r="AL48" s="479">
        <f t="shared" si="61"/>
        <v>441244.2</v>
      </c>
      <c r="AM48" s="479">
        <f t="shared" si="62"/>
        <v>26413.3</v>
      </c>
      <c r="AN48" s="479">
        <f t="shared" si="63"/>
        <v>467881.7</v>
      </c>
      <c r="AO48" s="479">
        <f t="shared" si="64"/>
        <v>1642954.7</v>
      </c>
      <c r="AP48" s="479">
        <f t="shared" si="65"/>
        <v>2110836.4000000004</v>
      </c>
      <c r="AQ48" s="253" t="s">
        <v>560</v>
      </c>
      <c r="AR48" s="468">
        <v>15725.6</v>
      </c>
      <c r="AS48" s="468">
        <v>151888.6</v>
      </c>
      <c r="AT48" s="468">
        <v>32247.4</v>
      </c>
      <c r="AU48" s="468">
        <v>473.9</v>
      </c>
      <c r="AV48" s="468">
        <f>1849475.8-11.02</f>
        <v>1849464.78</v>
      </c>
      <c r="AW48" s="468">
        <v>16844.900000000001</v>
      </c>
      <c r="AX48" s="468">
        <f t="shared" si="39"/>
        <v>1866309.68</v>
      </c>
      <c r="AY48" s="468">
        <f t="shared" si="66"/>
        <v>74652.387199999997</v>
      </c>
      <c r="AZ48" s="468">
        <f t="shared" si="71"/>
        <v>-10980.479899999991</v>
      </c>
      <c r="BA48" s="468">
        <f>63673.3-1.3927</f>
        <v>63671.907300000006</v>
      </c>
      <c r="BB48" s="468">
        <v>4724641.2</v>
      </c>
      <c r="BC48" s="468">
        <f t="shared" si="16"/>
        <v>374685.60730000003</v>
      </c>
      <c r="BD48" s="229">
        <v>28356.799999999999</v>
      </c>
      <c r="BE48" s="468">
        <v>74276.7</v>
      </c>
      <c r="BF48" s="468">
        <v>16566.900000000001</v>
      </c>
      <c r="BG48" s="468">
        <v>407858.8</v>
      </c>
      <c r="BH48" s="468">
        <f t="shared" si="17"/>
        <v>527059.20000000007</v>
      </c>
      <c r="BI48" s="253" t="s">
        <v>560</v>
      </c>
      <c r="BJ48" s="558">
        <v>-4.25</v>
      </c>
      <c r="BK48" s="256">
        <v>-4.41</v>
      </c>
      <c r="BL48" s="256">
        <v>0.67</v>
      </c>
      <c r="BM48" s="256">
        <v>-0.44</v>
      </c>
      <c r="BN48" s="256">
        <v>-0.4</v>
      </c>
      <c r="BO48" s="256" t="s">
        <v>295</v>
      </c>
      <c r="BP48" s="382">
        <v>3835</v>
      </c>
      <c r="BQ48" s="382">
        <v>1543</v>
      </c>
      <c r="BR48" s="382">
        <v>5859</v>
      </c>
      <c r="BS48" s="382">
        <v>63</v>
      </c>
      <c r="BT48" s="382">
        <f t="shared" si="18"/>
        <v>11300</v>
      </c>
      <c r="BU48" s="256">
        <f t="shared" ref="BU48" si="72">AP48/AV48*100</f>
        <v>114.13228426009823</v>
      </c>
      <c r="BV48" s="256">
        <f t="shared" ref="BV48" si="73">AV48/BT48</f>
        <v>163.66944955752211</v>
      </c>
      <c r="BW48" s="256">
        <f t="shared" ref="BW48" si="74">AP48/BT48</f>
        <v>186.79968141592923</v>
      </c>
      <c r="BX48" s="256">
        <f t="shared" ref="BX48" si="75">(M48+BA48)/AV48*100</f>
        <v>4.9274908225070391</v>
      </c>
      <c r="BY48" s="256">
        <v>4</v>
      </c>
      <c r="BZ48" s="256">
        <v>5.84</v>
      </c>
      <c r="CA48" s="256">
        <v>11.7</v>
      </c>
      <c r="CB48" s="256">
        <f t="shared" si="23"/>
        <v>5.8599999999999994</v>
      </c>
      <c r="CC48" s="256">
        <v>10.24</v>
      </c>
      <c r="CD48" s="256">
        <v>13.47</v>
      </c>
      <c r="CE48" s="256">
        <f t="shared" si="70"/>
        <v>3.2300000000000004</v>
      </c>
    </row>
    <row r="49" spans="1:83" s="164" customFormat="1" ht="11.1" customHeight="1">
      <c r="A49" s="162"/>
      <c r="B49" s="162"/>
      <c r="C49" s="162"/>
      <c r="D49" s="162"/>
      <c r="E49" s="162"/>
      <c r="F49" s="162"/>
      <c r="G49" s="162"/>
      <c r="H49" s="162"/>
      <c r="I49" s="326" t="s">
        <v>567</v>
      </c>
      <c r="J49" s="463">
        <v>301078.3</v>
      </c>
      <c r="K49" s="463">
        <v>1924.1</v>
      </c>
      <c r="L49" s="463">
        <f t="shared" si="30"/>
        <v>303002.39999999997</v>
      </c>
      <c r="M49" s="463">
        <v>25191.7</v>
      </c>
      <c r="N49" s="463">
        <f t="shared" si="31"/>
        <v>277810.69999999995</v>
      </c>
      <c r="O49" s="463">
        <v>32532.1</v>
      </c>
      <c r="P49" s="463">
        <v>109880.9</v>
      </c>
      <c r="Q49" s="463">
        <v>194581.2</v>
      </c>
      <c r="R49" s="463">
        <v>1560636.3</v>
      </c>
      <c r="S49" s="463">
        <f t="shared" si="57"/>
        <v>1755217.5</v>
      </c>
      <c r="T49" s="463">
        <f t="shared" si="58"/>
        <v>1865098.4</v>
      </c>
      <c r="U49" s="463">
        <v>482.8</v>
      </c>
      <c r="V49" s="463">
        <v>369255.3</v>
      </c>
      <c r="W49" s="463">
        <f t="shared" si="59"/>
        <v>472874.69999999995</v>
      </c>
      <c r="X49" s="463">
        <f t="shared" si="60"/>
        <v>2033511</v>
      </c>
      <c r="Y49" s="463">
        <v>2417216.173743085</v>
      </c>
      <c r="Z49" s="326" t="s">
        <v>567</v>
      </c>
      <c r="AA49" s="289">
        <v>0</v>
      </c>
      <c r="AB49" s="463">
        <v>54629.8</v>
      </c>
      <c r="AC49" s="463">
        <v>1592908.2</v>
      </c>
      <c r="AD49" s="463">
        <f t="shared" si="9"/>
        <v>1647538</v>
      </c>
      <c r="AE49" s="463">
        <v>0</v>
      </c>
      <c r="AF49" s="463">
        <v>476.8</v>
      </c>
      <c r="AG49" s="463">
        <v>24852.1</v>
      </c>
      <c r="AH49" s="463">
        <f t="shared" si="36"/>
        <v>25328.899999999998</v>
      </c>
      <c r="AI49" s="466">
        <v>26121</v>
      </c>
      <c r="AJ49" s="466">
        <v>432534.7</v>
      </c>
      <c r="AK49" s="466">
        <v>29561.5</v>
      </c>
      <c r="AL49" s="463">
        <f t="shared" ref="AL49:AL52" si="76">AJ49+AK49</f>
        <v>462096.2</v>
      </c>
      <c r="AM49" s="463">
        <f t="shared" ref="AM49" si="77">AA49+AE49+AI49</f>
        <v>26121</v>
      </c>
      <c r="AN49" s="463">
        <f t="shared" ref="AN49" si="78">AB49+AF49+AJ49</f>
        <v>487641.30000000005</v>
      </c>
      <c r="AO49" s="463">
        <f t="shared" ref="AO49" si="79">AC49+AG49+AK49</f>
        <v>1647321.8</v>
      </c>
      <c r="AP49" s="466">
        <f t="shared" ref="AP49" si="80">AD49+AH49+AL49</f>
        <v>2134963.1</v>
      </c>
      <c r="AQ49" s="326" t="s">
        <v>567</v>
      </c>
      <c r="AR49" s="463">
        <v>15843.7</v>
      </c>
      <c r="AS49" s="463">
        <v>155189.5</v>
      </c>
      <c r="AT49" s="463">
        <v>33321.4</v>
      </c>
      <c r="AU49" s="463">
        <v>454.6</v>
      </c>
      <c r="AV49" s="463">
        <f>1863917.6-11.06</f>
        <v>1863906.54</v>
      </c>
      <c r="AW49" s="463">
        <v>17702.3</v>
      </c>
      <c r="AX49" s="463">
        <f t="shared" si="39"/>
        <v>1881608.84</v>
      </c>
      <c r="AY49" s="463">
        <f t="shared" si="66"/>
        <v>75264.353600000002</v>
      </c>
      <c r="AZ49" s="463">
        <f t="shared" si="71"/>
        <v>-9497.1474000000017</v>
      </c>
      <c r="BA49" s="463">
        <f>65770.1-2.8938</f>
        <v>65767.206200000001</v>
      </c>
      <c r="BB49" s="463">
        <v>4829354.7</v>
      </c>
      <c r="BC49" s="463">
        <f t="shared" si="16"/>
        <v>368769.60619999998</v>
      </c>
      <c r="BD49" s="288">
        <v>34193.300000000003</v>
      </c>
      <c r="BE49" s="463">
        <v>71143.100000000006</v>
      </c>
      <c r="BF49" s="463">
        <v>15527.3</v>
      </c>
      <c r="BG49" s="463">
        <v>428429.5</v>
      </c>
      <c r="BH49" s="463">
        <f t="shared" si="17"/>
        <v>549293.20000000007</v>
      </c>
      <c r="BI49" s="326" t="s">
        <v>567</v>
      </c>
      <c r="BJ49" s="447">
        <v>0.56000000000000005</v>
      </c>
      <c r="BK49" s="295">
        <v>-3.94</v>
      </c>
      <c r="BL49" s="295">
        <v>0.91</v>
      </c>
      <c r="BM49" s="295">
        <v>0.73</v>
      </c>
      <c r="BN49" s="295">
        <v>0.01</v>
      </c>
      <c r="BO49" s="295" t="s">
        <v>295</v>
      </c>
      <c r="BP49" s="296">
        <v>3835</v>
      </c>
      <c r="BQ49" s="296">
        <v>1543</v>
      </c>
      <c r="BR49" s="296">
        <v>5860</v>
      </c>
      <c r="BS49" s="296">
        <v>63</v>
      </c>
      <c r="BT49" s="296">
        <f t="shared" si="18"/>
        <v>11301</v>
      </c>
      <c r="BU49" s="295">
        <f t="shared" ref="BU49" si="81">AP49/AV49*100</f>
        <v>114.54239009215559</v>
      </c>
      <c r="BV49" s="295">
        <f>AV49/BT49</f>
        <v>164.93288558534644</v>
      </c>
      <c r="BW49" s="295">
        <f t="shared" ref="BW49" si="82">AP49/BT49</f>
        <v>188.91806919741617</v>
      </c>
      <c r="BX49" s="295">
        <f t="shared" ref="BX49" si="83">(M49+BA49)/AV49*100</f>
        <v>4.8800143273278067</v>
      </c>
      <c r="BY49" s="295">
        <v>4</v>
      </c>
      <c r="BZ49" s="295">
        <v>5.9</v>
      </c>
      <c r="CA49" s="295">
        <v>11.77</v>
      </c>
      <c r="CB49" s="295">
        <f>CA49-BZ49</f>
        <v>5.8699999999999992</v>
      </c>
      <c r="CC49" s="295">
        <v>10.35</v>
      </c>
      <c r="CD49" s="295">
        <v>13.58</v>
      </c>
      <c r="CE49" s="295">
        <f t="shared" si="70"/>
        <v>3.2300000000000004</v>
      </c>
    </row>
    <row r="50" spans="1:83" s="164" customFormat="1" ht="11.1" customHeight="1">
      <c r="A50" s="162"/>
      <c r="B50" s="162"/>
      <c r="C50" s="162"/>
      <c r="D50" s="162"/>
      <c r="E50" s="162"/>
      <c r="F50" s="162"/>
      <c r="G50" s="162"/>
      <c r="H50" s="162"/>
      <c r="I50" s="253" t="s">
        <v>568</v>
      </c>
      <c r="J50" s="468">
        <v>299845.8</v>
      </c>
      <c r="K50" s="468">
        <v>1928.8</v>
      </c>
      <c r="L50" s="468">
        <f t="shared" si="30"/>
        <v>301774.59999999998</v>
      </c>
      <c r="M50" s="468">
        <v>24317.9</v>
      </c>
      <c r="N50" s="468">
        <f t="shared" si="31"/>
        <v>277456.69999999995</v>
      </c>
      <c r="O50" s="468">
        <v>34374.1</v>
      </c>
      <c r="P50" s="468">
        <v>112689.5</v>
      </c>
      <c r="Q50" s="468">
        <v>191263.4</v>
      </c>
      <c r="R50" s="468">
        <v>1571592.2</v>
      </c>
      <c r="S50" s="468">
        <f t="shared" si="57"/>
        <v>1762855.5999999999</v>
      </c>
      <c r="T50" s="468">
        <f t="shared" si="58"/>
        <v>1875545.0999999999</v>
      </c>
      <c r="U50" s="468">
        <v>472.7</v>
      </c>
      <c r="V50" s="468">
        <v>388455.90000000008</v>
      </c>
      <c r="W50" s="468">
        <f t="shared" si="59"/>
        <v>469192.8</v>
      </c>
      <c r="X50" s="468">
        <f t="shared" si="60"/>
        <v>2040785</v>
      </c>
      <c r="Y50" s="468">
        <v>2422899.2630411256</v>
      </c>
      <c r="Z50" s="253" t="s">
        <v>568</v>
      </c>
      <c r="AA50" s="230">
        <v>0</v>
      </c>
      <c r="AB50" s="468">
        <v>55618.3</v>
      </c>
      <c r="AC50" s="468">
        <v>1600737.2</v>
      </c>
      <c r="AD50" s="468">
        <f t="shared" si="9"/>
        <v>1656355.5</v>
      </c>
      <c r="AE50" s="468">
        <v>0</v>
      </c>
      <c r="AF50" s="468">
        <v>474.1</v>
      </c>
      <c r="AG50" s="468">
        <v>24737.599999999999</v>
      </c>
      <c r="AH50" s="468">
        <f t="shared" si="36"/>
        <v>25211.699999999997</v>
      </c>
      <c r="AI50" s="479">
        <v>25705.9</v>
      </c>
      <c r="AJ50" s="479">
        <v>444694.1</v>
      </c>
      <c r="AK50" s="479">
        <v>29343.599999999999</v>
      </c>
      <c r="AL50" s="479">
        <f t="shared" si="76"/>
        <v>474037.69999999995</v>
      </c>
      <c r="AM50" s="479">
        <f t="shared" ref="AM50:AM51" si="84">AA50+AE50+AI50</f>
        <v>25705.9</v>
      </c>
      <c r="AN50" s="479">
        <f t="shared" ref="AN50:AN51" si="85">AB50+AF50+AJ50</f>
        <v>500786.5</v>
      </c>
      <c r="AO50" s="479">
        <f t="shared" ref="AO50:AO51" si="86">AC50+AG50+AK50</f>
        <v>1654818.4000000001</v>
      </c>
      <c r="AP50" s="479">
        <f t="shared" ref="AP50:AP51" si="87">AD50+AH50+AL50</f>
        <v>2155604.9</v>
      </c>
      <c r="AQ50" s="253" t="s">
        <v>568</v>
      </c>
      <c r="AR50" s="468">
        <v>16149.4</v>
      </c>
      <c r="AS50" s="468">
        <v>178864.9</v>
      </c>
      <c r="AT50" s="468">
        <v>33099.5</v>
      </c>
      <c r="AU50" s="468">
        <v>430.5</v>
      </c>
      <c r="AV50" s="468">
        <f>1875604.3-10.82</f>
        <v>1875593.48</v>
      </c>
      <c r="AW50" s="468">
        <v>18986.5</v>
      </c>
      <c r="AX50" s="468">
        <f t="shared" si="39"/>
        <v>1894579.98</v>
      </c>
      <c r="AY50" s="468">
        <f t="shared" si="66"/>
        <v>75783.199200000003</v>
      </c>
      <c r="AZ50" s="468">
        <f t="shared" si="71"/>
        <v>10423.463400000008</v>
      </c>
      <c r="BA50" s="468">
        <f>86208.6-1.9374</f>
        <v>86206.662600000011</v>
      </c>
      <c r="BB50" s="468">
        <v>4918707</v>
      </c>
      <c r="BC50" s="468">
        <f t="shared" si="16"/>
        <v>387981.26260000002</v>
      </c>
      <c r="BD50" s="229">
        <v>36307.9</v>
      </c>
      <c r="BE50" s="468">
        <v>71725.899999999994</v>
      </c>
      <c r="BF50" s="468">
        <v>16125.1</v>
      </c>
      <c r="BG50" s="468">
        <v>440596.3</v>
      </c>
      <c r="BH50" s="468">
        <f t="shared" si="17"/>
        <v>564755.19999999995</v>
      </c>
      <c r="BI50" s="253" t="s">
        <v>568</v>
      </c>
      <c r="BJ50" s="558">
        <v>3.24</v>
      </c>
      <c r="BK50" s="256">
        <v>-3.15</v>
      </c>
      <c r="BL50" s="256">
        <v>1.41</v>
      </c>
      <c r="BM50" s="256">
        <v>1.67</v>
      </c>
      <c r="BN50" s="256">
        <v>0.37</v>
      </c>
      <c r="BO50" s="256" t="s">
        <v>295</v>
      </c>
      <c r="BP50" s="382">
        <v>3836</v>
      </c>
      <c r="BQ50" s="382">
        <v>1543</v>
      </c>
      <c r="BR50" s="382">
        <v>5863</v>
      </c>
      <c r="BS50" s="382">
        <v>63</v>
      </c>
      <c r="BT50" s="382">
        <f t="shared" si="18"/>
        <v>11305</v>
      </c>
      <c r="BU50" s="256">
        <f>AP50/AV50*100</f>
        <v>114.92921696443517</v>
      </c>
      <c r="BV50" s="256">
        <f>AV50/BT50</f>
        <v>165.90831313578062</v>
      </c>
      <c r="BW50" s="256">
        <f t="shared" ref="BW50:BW52" si="88">AP50/BT50</f>
        <v>190.67712516585581</v>
      </c>
      <c r="BX50" s="256">
        <f t="shared" ref="BX50" si="89">(M50+BA50)/AV50*100</f>
        <v>5.8927781408154614</v>
      </c>
      <c r="BY50" s="256">
        <v>4</v>
      </c>
      <c r="BZ50" s="256">
        <v>5.99</v>
      </c>
      <c r="CA50" s="256">
        <v>11.84</v>
      </c>
      <c r="CB50" s="256">
        <f>CA50-BZ50</f>
        <v>5.85</v>
      </c>
      <c r="CC50" s="256">
        <v>10.43</v>
      </c>
      <c r="CD50" s="256">
        <v>13.67</v>
      </c>
      <c r="CE50" s="256">
        <f t="shared" si="70"/>
        <v>3.24</v>
      </c>
    </row>
    <row r="51" spans="1:83" s="164" customFormat="1" ht="11.1" customHeight="1">
      <c r="A51" s="162"/>
      <c r="B51" s="162"/>
      <c r="C51" s="162"/>
      <c r="D51" s="162"/>
      <c r="E51" s="162"/>
      <c r="F51" s="162"/>
      <c r="G51" s="162"/>
      <c r="H51" s="162"/>
      <c r="I51" s="326" t="s">
        <v>561</v>
      </c>
      <c r="J51" s="463">
        <v>302994.59999999998</v>
      </c>
      <c r="K51" s="463">
        <v>1934.1</v>
      </c>
      <c r="L51" s="463">
        <f t="shared" si="30"/>
        <v>304928.69999999995</v>
      </c>
      <c r="M51" s="463">
        <v>28557.200000000001</v>
      </c>
      <c r="N51" s="463">
        <f t="shared" si="31"/>
        <v>276371.49999999994</v>
      </c>
      <c r="O51" s="463">
        <v>37779.9</v>
      </c>
      <c r="P51" s="463">
        <v>118809</v>
      </c>
      <c r="Q51" s="463">
        <v>197985.6</v>
      </c>
      <c r="R51" s="463">
        <v>1578762.3</v>
      </c>
      <c r="S51" s="463">
        <f t="shared" si="57"/>
        <v>1776747.9000000001</v>
      </c>
      <c r="T51" s="463">
        <f t="shared" si="58"/>
        <v>1895556.9000000001</v>
      </c>
      <c r="U51" s="463">
        <v>562.5</v>
      </c>
      <c r="V51" s="463">
        <v>399499.70000000007</v>
      </c>
      <c r="W51" s="463">
        <f t="shared" si="59"/>
        <v>474919.6</v>
      </c>
      <c r="X51" s="463">
        <f t="shared" si="60"/>
        <v>2053681.9</v>
      </c>
      <c r="Y51" s="463">
        <v>2434577.1587512237</v>
      </c>
      <c r="Z51" s="326" t="s">
        <v>561</v>
      </c>
      <c r="AA51" s="289">
        <v>0</v>
      </c>
      <c r="AB51" s="463">
        <v>55517</v>
      </c>
      <c r="AC51" s="463">
        <v>1618209.2</v>
      </c>
      <c r="AD51" s="463">
        <f t="shared" si="9"/>
        <v>1673726.2</v>
      </c>
      <c r="AE51" s="463">
        <v>0</v>
      </c>
      <c r="AF51" s="463">
        <v>468.5</v>
      </c>
      <c r="AG51" s="463">
        <v>28646.5</v>
      </c>
      <c r="AH51" s="463">
        <f t="shared" si="36"/>
        <v>29115</v>
      </c>
      <c r="AI51" s="466">
        <v>25473.599999999999</v>
      </c>
      <c r="AJ51" s="466">
        <v>445383.5</v>
      </c>
      <c r="AK51" s="466">
        <v>28989.1</v>
      </c>
      <c r="AL51" s="466">
        <f t="shared" si="76"/>
        <v>474372.6</v>
      </c>
      <c r="AM51" s="466">
        <f t="shared" si="84"/>
        <v>25473.599999999999</v>
      </c>
      <c r="AN51" s="466">
        <f t="shared" si="85"/>
        <v>501369</v>
      </c>
      <c r="AO51" s="466">
        <f t="shared" si="86"/>
        <v>1675844.8</v>
      </c>
      <c r="AP51" s="466">
        <f t="shared" si="87"/>
        <v>2177213.7999999998</v>
      </c>
      <c r="AQ51" s="326" t="s">
        <v>561</v>
      </c>
      <c r="AR51" s="463">
        <v>16252.2</v>
      </c>
      <c r="AS51" s="463">
        <v>189320.1</v>
      </c>
      <c r="AT51" s="463">
        <v>34612</v>
      </c>
      <c r="AU51" s="463">
        <v>272.3</v>
      </c>
      <c r="AV51" s="463">
        <f>1895617.4-8.67</f>
        <v>1895608.73</v>
      </c>
      <c r="AW51" s="463">
        <v>17253</v>
      </c>
      <c r="AX51" s="463">
        <f t="shared" si="39"/>
        <v>1912861.73</v>
      </c>
      <c r="AY51" s="463">
        <f t="shared" si="66"/>
        <v>76514.469200000007</v>
      </c>
      <c r="AZ51" s="463">
        <f t="shared" si="71"/>
        <v>17492.901999999987</v>
      </c>
      <c r="BA51" s="463">
        <f>94008.5-1.1288</f>
        <v>94007.371199999994</v>
      </c>
      <c r="BB51" s="463">
        <v>4629403.0999999996</v>
      </c>
      <c r="BC51" s="463">
        <f t="shared" si="16"/>
        <v>398936.07119999995</v>
      </c>
      <c r="BD51" s="288">
        <v>19409.599999999999</v>
      </c>
      <c r="BE51" s="463">
        <v>70844.600000000006</v>
      </c>
      <c r="BF51" s="463">
        <v>16573.599999999999</v>
      </c>
      <c r="BG51" s="463">
        <v>441369.1</v>
      </c>
      <c r="BH51" s="463">
        <f t="shared" si="17"/>
        <v>548196.89999999991</v>
      </c>
      <c r="BI51" s="326" t="s">
        <v>561</v>
      </c>
      <c r="BJ51" s="447">
        <v>-2.19</v>
      </c>
      <c r="BK51" s="295">
        <v>1.85</v>
      </c>
      <c r="BL51" s="295">
        <v>2.67</v>
      </c>
      <c r="BM51" s="295">
        <v>1.68</v>
      </c>
      <c r="BN51" s="295">
        <v>1.01</v>
      </c>
      <c r="BO51" s="295" t="s">
        <v>295</v>
      </c>
      <c r="BP51" s="296">
        <v>3843</v>
      </c>
      <c r="BQ51" s="296">
        <v>1543</v>
      </c>
      <c r="BR51" s="296">
        <v>5912</v>
      </c>
      <c r="BS51" s="296">
        <v>63</v>
      </c>
      <c r="BT51" s="296">
        <f t="shared" si="18"/>
        <v>11361</v>
      </c>
      <c r="BU51" s="295">
        <f>AP51/AV51*100</f>
        <v>114.85565378251871</v>
      </c>
      <c r="BV51" s="295">
        <f>AV51/BT51</f>
        <v>166.85227796848869</v>
      </c>
      <c r="BW51" s="295">
        <f t="shared" si="88"/>
        <v>191.63927471173309</v>
      </c>
      <c r="BX51" s="295">
        <f>(M51+BA51)/AV51*100</f>
        <v>6.4657104211584837</v>
      </c>
      <c r="BY51" s="295">
        <v>4</v>
      </c>
      <c r="BZ51" s="295">
        <v>6.01</v>
      </c>
      <c r="CA51" s="295">
        <v>11.84</v>
      </c>
      <c r="CB51" s="295">
        <f>CA51-BZ51</f>
        <v>5.83</v>
      </c>
      <c r="CC51" s="295">
        <v>10.51</v>
      </c>
      <c r="CD51" s="295">
        <v>13.72</v>
      </c>
      <c r="CE51" s="295">
        <f t="shared" si="70"/>
        <v>3.2100000000000009</v>
      </c>
    </row>
    <row r="52" spans="1:83" s="164" customFormat="1" ht="11.1" customHeight="1" thickBot="1">
      <c r="A52" s="162"/>
      <c r="B52" s="162"/>
      <c r="C52" s="162"/>
      <c r="D52" s="162"/>
      <c r="E52" s="162"/>
      <c r="F52" s="162"/>
      <c r="G52" s="162"/>
      <c r="H52" s="162"/>
      <c r="I52" s="507" t="s">
        <v>569</v>
      </c>
      <c r="J52" s="1303">
        <v>297571.3</v>
      </c>
      <c r="K52" s="1303">
        <v>1939.6</v>
      </c>
      <c r="L52" s="1303">
        <f t="shared" si="30"/>
        <v>299510.89999999997</v>
      </c>
      <c r="M52" s="1303">
        <v>25280</v>
      </c>
      <c r="N52" s="1303">
        <f t="shared" si="31"/>
        <v>274230.89999999997</v>
      </c>
      <c r="O52" s="1303">
        <v>36615</v>
      </c>
      <c r="P52" s="1303">
        <v>115816.8</v>
      </c>
      <c r="Q52" s="1303">
        <v>188985.8</v>
      </c>
      <c r="R52" s="1303">
        <v>1592301.7</v>
      </c>
      <c r="S52" s="1303">
        <f t="shared" si="57"/>
        <v>1781287.5</v>
      </c>
      <c r="T52" s="1303">
        <f t="shared" si="58"/>
        <v>1897104.3</v>
      </c>
      <c r="U52" s="1303">
        <v>514.4</v>
      </c>
      <c r="V52" s="1303">
        <v>378708.30000000005</v>
      </c>
      <c r="W52" s="1303">
        <f t="shared" si="59"/>
        <v>463731.1</v>
      </c>
      <c r="X52" s="1303">
        <f t="shared" si="60"/>
        <v>2056032.7999999998</v>
      </c>
      <c r="Y52" s="1303" t="s">
        <v>295</v>
      </c>
      <c r="Z52" s="507" t="s">
        <v>569</v>
      </c>
      <c r="AA52" s="639">
        <v>0</v>
      </c>
      <c r="AB52" s="1303">
        <v>55896.9</v>
      </c>
      <c r="AC52" s="1303">
        <v>1611343.5</v>
      </c>
      <c r="AD52" s="1303">
        <f t="shared" si="9"/>
        <v>1667240.4</v>
      </c>
      <c r="AE52" s="1303">
        <v>0</v>
      </c>
      <c r="AF52" s="1303">
        <v>464.7</v>
      </c>
      <c r="AG52" s="1303">
        <v>30177.3</v>
      </c>
      <c r="AH52" s="1303">
        <f t="shared" si="36"/>
        <v>30642</v>
      </c>
      <c r="AI52" s="1775">
        <v>25481.5</v>
      </c>
      <c r="AJ52" s="1775">
        <v>462601.3</v>
      </c>
      <c r="AK52" s="1775">
        <v>28982.7</v>
      </c>
      <c r="AL52" s="1775">
        <f t="shared" si="76"/>
        <v>491584</v>
      </c>
      <c r="AM52" s="1775">
        <f t="shared" ref="AM52" si="90">AA52+AE52+AI52</f>
        <v>25481.5</v>
      </c>
      <c r="AN52" s="1775">
        <f t="shared" ref="AN52" si="91">AB52+AF52+AJ52</f>
        <v>518962.89999999997</v>
      </c>
      <c r="AO52" s="1775">
        <f t="shared" ref="AO52" si="92">AC52+AG52+AK52</f>
        <v>1670503.5</v>
      </c>
      <c r="AP52" s="1775">
        <f t="shared" ref="AP52" si="93">AD52+AH52+AL52</f>
        <v>2189466.4</v>
      </c>
      <c r="AQ52" s="507" t="s">
        <v>569</v>
      </c>
      <c r="AR52" s="1303">
        <v>16500.3</v>
      </c>
      <c r="AS52" s="1303">
        <v>1921320</v>
      </c>
      <c r="AT52" s="1303">
        <v>36875.300000000003</v>
      </c>
      <c r="AU52" s="1303">
        <v>5844</v>
      </c>
      <c r="AV52" s="1303">
        <f>1897178-0</f>
        <v>1897178</v>
      </c>
      <c r="AW52" s="1303">
        <v>18749.8</v>
      </c>
      <c r="AX52" s="1303">
        <f t="shared" si="39"/>
        <v>1915927.8</v>
      </c>
      <c r="AY52" s="1303">
        <f t="shared" si="66"/>
        <v>76637.112000000008</v>
      </c>
      <c r="AZ52" s="1303">
        <f t="shared" si="71"/>
        <v>2042.4130999999907</v>
      </c>
      <c r="BA52" s="1303">
        <f>78683-3.4749</f>
        <v>78679.525099999999</v>
      </c>
      <c r="BB52" s="1303">
        <v>4649821.0999999996</v>
      </c>
      <c r="BC52" s="1303">
        <f t="shared" si="16"/>
        <v>378190.42509999999</v>
      </c>
      <c r="BD52" s="1776">
        <v>22096.7</v>
      </c>
      <c r="BE52" s="1303">
        <v>67100.899999999994</v>
      </c>
      <c r="BF52" s="1303">
        <v>17288.599999999999</v>
      </c>
      <c r="BG52" s="1303">
        <v>458620</v>
      </c>
      <c r="BH52" s="1303">
        <f t="shared" si="17"/>
        <v>565106.19999999995</v>
      </c>
      <c r="BI52" s="507" t="s">
        <v>569</v>
      </c>
      <c r="BJ52" s="1760">
        <v>2.23</v>
      </c>
      <c r="BK52" s="719">
        <v>1.53</v>
      </c>
      <c r="BL52" s="719">
        <v>2.37</v>
      </c>
      <c r="BM52" s="719">
        <v>2.3199999999999998</v>
      </c>
      <c r="BN52" s="719">
        <v>1.1200000000000001</v>
      </c>
      <c r="BO52" s="719" t="s">
        <v>295</v>
      </c>
      <c r="BP52" s="1777">
        <v>3843</v>
      </c>
      <c r="BQ52" s="1777">
        <v>1543</v>
      </c>
      <c r="BR52" s="1777">
        <v>5912</v>
      </c>
      <c r="BS52" s="1777">
        <v>63</v>
      </c>
      <c r="BT52" s="1777">
        <f t="shared" si="18"/>
        <v>11361</v>
      </c>
      <c r="BU52" s="719">
        <f>AP52/AV52*100</f>
        <v>115.40648268111899</v>
      </c>
      <c r="BV52" s="719">
        <f>AV52/BT52</f>
        <v>166.99040577413959</v>
      </c>
      <c r="BW52" s="719">
        <f t="shared" si="88"/>
        <v>192.71775371886278</v>
      </c>
      <c r="BX52" s="719">
        <f>(M52+BA52)/AV52*100</f>
        <v>5.4796927383724663</v>
      </c>
      <c r="BY52" s="719">
        <v>4</v>
      </c>
      <c r="BZ52" s="719">
        <v>6.1</v>
      </c>
      <c r="CA52" s="719">
        <v>11.89</v>
      </c>
      <c r="CB52" s="719">
        <f>CA52-BZ52</f>
        <v>5.7900000000000009</v>
      </c>
      <c r="CC52" s="719">
        <v>10.54</v>
      </c>
      <c r="CD52" s="719">
        <v>13.78</v>
      </c>
      <c r="CE52" s="719">
        <f t="shared" si="70"/>
        <v>3.24</v>
      </c>
    </row>
    <row r="53" spans="1:83" s="9" customFormat="1" ht="11.25" customHeight="1">
      <c r="I53" s="451" t="s">
        <v>1387</v>
      </c>
      <c r="J53" s="1892" t="s">
        <v>1451</v>
      </c>
      <c r="K53" s="1892"/>
      <c r="L53" s="1892"/>
      <c r="M53" s="1892"/>
      <c r="N53" s="1892"/>
      <c r="O53" s="1892"/>
      <c r="P53" s="1892"/>
      <c r="Q53" s="1892"/>
      <c r="R53" s="1544" t="s">
        <v>2459</v>
      </c>
      <c r="S53" s="1893" t="s">
        <v>186</v>
      </c>
      <c r="T53" s="1893"/>
      <c r="U53" s="1893"/>
      <c r="V53" s="1893"/>
      <c r="W53" s="1893"/>
      <c r="X53" s="1893"/>
      <c r="Y53" s="1893"/>
      <c r="Z53" s="453" t="s">
        <v>30</v>
      </c>
      <c r="AA53" s="1946" t="s">
        <v>1890</v>
      </c>
      <c r="AB53" s="1946"/>
      <c r="AC53" s="1946"/>
      <c r="AD53" s="1946"/>
      <c r="AE53" s="1946"/>
      <c r="AF53" s="1946"/>
      <c r="AG53" s="1946"/>
      <c r="AH53" s="1946"/>
      <c r="AI53" s="454" t="s">
        <v>1391</v>
      </c>
      <c r="AJ53" s="1955" t="s">
        <v>1238</v>
      </c>
      <c r="AK53" s="1955"/>
      <c r="AL53" s="1955"/>
      <c r="AM53" s="1955"/>
      <c r="AN53" s="1955"/>
      <c r="AO53" s="1955"/>
      <c r="AP53" s="1955"/>
      <c r="AQ53" s="455"/>
      <c r="AR53" s="456"/>
      <c r="AS53" s="456"/>
      <c r="AT53" s="456"/>
      <c r="AU53" s="456"/>
      <c r="AV53" s="456"/>
      <c r="AW53" s="456"/>
      <c r="AX53" s="230"/>
      <c r="AY53" s="457" t="s">
        <v>185</v>
      </c>
      <c r="AZ53" s="452" t="s">
        <v>1356</v>
      </c>
      <c r="BA53" s="450"/>
      <c r="BB53" s="450"/>
      <c r="BC53" s="450"/>
      <c r="BD53" s="450"/>
      <c r="BE53" s="450"/>
      <c r="BF53" s="450"/>
      <c r="BG53" s="450"/>
      <c r="BH53" s="450"/>
      <c r="BI53" s="458"/>
      <c r="BJ53" s="1892"/>
      <c r="BK53" s="1892"/>
      <c r="BL53" s="1892"/>
      <c r="BM53" s="1892"/>
      <c r="BN53" s="1892"/>
      <c r="BO53" s="1892"/>
      <c r="BP53" s="1892"/>
      <c r="BQ53" s="1892"/>
      <c r="BR53" s="1892"/>
      <c r="BS53" s="1892"/>
      <c r="BT53" s="450"/>
      <c r="BU53" s="451" t="s">
        <v>1017</v>
      </c>
      <c r="BV53" s="452" t="s">
        <v>1018</v>
      </c>
      <c r="BW53" s="452"/>
      <c r="BX53" s="452"/>
      <c r="BY53" s="452"/>
      <c r="BZ53" s="452"/>
      <c r="CA53" s="452"/>
      <c r="CB53" s="452"/>
      <c r="CC53" s="450"/>
      <c r="CD53" s="450"/>
      <c r="CE53" s="450"/>
    </row>
    <row r="54" spans="1:83" s="9" customFormat="1" ht="9" customHeight="1">
      <c r="I54" s="459"/>
      <c r="J54" s="1956" t="s">
        <v>2238</v>
      </c>
      <c r="K54" s="1956"/>
      <c r="L54" s="1956"/>
      <c r="M54" s="1956"/>
      <c r="N54" s="1956"/>
      <c r="O54" s="1956"/>
      <c r="P54" s="1956"/>
      <c r="Q54" s="1956"/>
      <c r="R54" s="459"/>
      <c r="S54" s="1893" t="s">
        <v>1211</v>
      </c>
      <c r="T54" s="1893"/>
      <c r="U54" s="459"/>
      <c r="V54" s="934"/>
      <c r="W54" s="934"/>
      <c r="X54" s="934"/>
      <c r="Y54" s="934"/>
      <c r="Z54" s="1058"/>
      <c r="AA54" s="652"/>
      <c r="AB54" s="652"/>
      <c r="AC54" s="652"/>
      <c r="AD54" s="652"/>
      <c r="AE54" s="652"/>
      <c r="AF54" s="652"/>
      <c r="AG54" s="652"/>
      <c r="AH54" s="652"/>
      <c r="AI54" s="452"/>
      <c r="AJ54" s="1894" t="s">
        <v>1256</v>
      </c>
      <c r="AK54" s="1894"/>
      <c r="AL54" s="1894"/>
      <c r="AM54" s="1894"/>
      <c r="AN54" s="1894"/>
      <c r="AO54" s="1894"/>
      <c r="AP54" s="1894"/>
      <c r="AQ54" s="460"/>
      <c r="AR54" s="946"/>
      <c r="AS54" s="456"/>
      <c r="AT54" s="456"/>
      <c r="AU54" s="456"/>
      <c r="AV54" s="460"/>
      <c r="AW54" s="468"/>
      <c r="AX54" s="468"/>
      <c r="AY54" s="459"/>
      <c r="AZ54" s="1893" t="s">
        <v>1565</v>
      </c>
      <c r="BA54" s="1893"/>
      <c r="BB54" s="1893"/>
      <c r="BC54" s="1893"/>
      <c r="BD54" s="1893"/>
      <c r="BE54" s="1893"/>
      <c r="BF54" s="1893"/>
      <c r="BG54" s="1893"/>
      <c r="BH54" s="1893"/>
      <c r="BI54" s="459"/>
      <c r="BJ54" s="452"/>
      <c r="BK54" s="452"/>
      <c r="BL54" s="452"/>
      <c r="BM54" s="452"/>
      <c r="BN54" s="452"/>
      <c r="BO54" s="452"/>
      <c r="BP54" s="452"/>
      <c r="BQ54" s="452"/>
      <c r="BR54" s="452"/>
      <c r="BS54" s="452"/>
      <c r="BT54" s="459"/>
      <c r="BU54" s="459"/>
      <c r="BV54" s="459" t="s">
        <v>1329</v>
      </c>
      <c r="BW54" s="456"/>
      <c r="BX54" s="456"/>
      <c r="BY54" s="456"/>
      <c r="BZ54" s="456"/>
      <c r="CA54" s="456"/>
      <c r="CB54" s="459"/>
      <c r="CC54" s="37"/>
      <c r="CD54" s="459"/>
      <c r="CE54" s="459"/>
    </row>
    <row r="55" spans="1:83" s="9" customFormat="1" ht="9" customHeight="1">
      <c r="I55" s="450"/>
      <c r="J55" s="1893" t="s">
        <v>1327</v>
      </c>
      <c r="K55" s="1893"/>
      <c r="L55" s="1893"/>
      <c r="M55" s="1893"/>
      <c r="N55" s="1893"/>
      <c r="O55" s="1893"/>
      <c r="P55" s="1893"/>
      <c r="Q55" s="1893"/>
      <c r="R55" s="946"/>
      <c r="S55" s="946"/>
      <c r="T55" s="946"/>
      <c r="U55" s="946"/>
      <c r="V55" s="1295"/>
      <c r="W55" s="934"/>
      <c r="X55" s="1716"/>
      <c r="Y55" s="934"/>
      <c r="Z55" s="1058"/>
      <c r="AA55" s="1895"/>
      <c r="AB55" s="1895"/>
      <c r="AC55" s="1895"/>
      <c r="AD55" s="1895"/>
      <c r="AE55" s="1895"/>
      <c r="AF55" s="1895"/>
      <c r="AG55" s="1895"/>
      <c r="AH55" s="1895"/>
      <c r="AI55" s="456"/>
      <c r="AJ55" s="479"/>
      <c r="AK55" s="479"/>
      <c r="AL55" s="456"/>
      <c r="AM55" s="456"/>
      <c r="AN55" s="456"/>
      <c r="AO55" s="456"/>
      <c r="AP55" s="460"/>
      <c r="AQ55" s="460"/>
      <c r="AR55" s="456"/>
      <c r="AS55" s="456"/>
      <c r="AT55" s="456"/>
      <c r="AU55" s="456"/>
      <c r="AV55" s="460"/>
      <c r="AW55" s="456"/>
      <c r="AX55" s="456"/>
      <c r="AY55" s="461"/>
      <c r="AZ55" s="1893" t="s">
        <v>1355</v>
      </c>
      <c r="BA55" s="1893"/>
      <c r="BB55" s="1893"/>
      <c r="BC55" s="1893"/>
      <c r="BD55" s="1893"/>
      <c r="BE55" s="1893"/>
      <c r="BF55" s="1893"/>
      <c r="BG55" s="1893"/>
      <c r="BH55" s="1893"/>
      <c r="BI55" s="459"/>
      <c r="BJ55" s="459"/>
      <c r="BK55" s="459"/>
      <c r="BL55" s="459"/>
      <c r="BM55" s="459"/>
      <c r="BN55" s="459"/>
      <c r="BO55" s="459"/>
      <c r="BP55" s="459"/>
      <c r="BQ55" s="459"/>
      <c r="BR55" s="459"/>
      <c r="BS55" s="63"/>
      <c r="BT55" s="456"/>
      <c r="BU55" s="459"/>
      <c r="BV55" s="497" t="s">
        <v>1961</v>
      </c>
      <c r="BW55" s="497"/>
      <c r="BX55" s="456"/>
      <c r="BY55" s="456"/>
      <c r="BZ55" s="456"/>
      <c r="CA55" s="456"/>
      <c r="CB55" s="459"/>
      <c r="CC55" s="459"/>
      <c r="CD55" s="459"/>
      <c r="CE55" s="459"/>
    </row>
    <row r="56" spans="1:83" s="9" customFormat="1" ht="9" customHeight="1">
      <c r="I56" s="451" t="s">
        <v>1386</v>
      </c>
      <c r="J56" s="452" t="s">
        <v>1258</v>
      </c>
      <c r="K56" s="452"/>
      <c r="L56" s="452"/>
      <c r="M56" s="450"/>
      <c r="N56" s="450"/>
      <c r="O56" s="450"/>
      <c r="P56" s="41" t="s">
        <v>1348</v>
      </c>
      <c r="Q56" s="860"/>
      <c r="R56" s="860"/>
      <c r="S56" s="1057"/>
      <c r="T56" s="450"/>
      <c r="U56" s="459"/>
      <c r="V56" s="1295"/>
      <c r="W56" s="934"/>
      <c r="X56" s="1716"/>
      <c r="Y56" s="934"/>
      <c r="Z56" s="1058"/>
      <c r="AA56" s="946"/>
      <c r="AB56" s="461"/>
      <c r="AC56" s="459"/>
      <c r="AD56" s="459"/>
      <c r="AE56" s="459"/>
      <c r="AF56" s="459"/>
      <c r="AG56" s="459"/>
      <c r="AH56" s="459"/>
      <c r="AI56" s="459"/>
      <c r="AJ56" s="479"/>
      <c r="AK56" s="479"/>
      <c r="AL56" s="459"/>
      <c r="AM56" s="459"/>
      <c r="AN56" s="459"/>
      <c r="AO56" s="459"/>
      <c r="AP56" s="459"/>
      <c r="AQ56" s="459"/>
      <c r="AR56" s="459"/>
      <c r="AS56" s="459"/>
      <c r="AT56" s="459"/>
      <c r="AU56" s="459"/>
      <c r="AV56" s="934"/>
      <c r="AW56" s="459"/>
      <c r="AX56" s="934"/>
      <c r="AY56" s="459"/>
      <c r="AZ56" s="1946" t="s">
        <v>1611</v>
      </c>
      <c r="BA56" s="1946"/>
      <c r="BB56" s="1946"/>
      <c r="BC56" s="1946"/>
      <c r="BD56" s="1946"/>
      <c r="BE56" s="1946"/>
      <c r="BF56" s="1946"/>
      <c r="BG56" s="1946"/>
      <c r="BH56" s="1946"/>
      <c r="BI56" s="459"/>
      <c r="BJ56" s="461"/>
      <c r="BK56" s="461"/>
      <c r="BL56" s="459"/>
      <c r="BM56" s="459"/>
      <c r="BN56" s="459"/>
      <c r="BO56" s="459"/>
      <c r="BP56" s="459"/>
      <c r="BQ56" s="459"/>
      <c r="BR56" s="459"/>
      <c r="BS56" s="63"/>
      <c r="BT56" s="459"/>
      <c r="BU56" s="451" t="s">
        <v>16</v>
      </c>
      <c r="BV56" s="461" t="s">
        <v>1258</v>
      </c>
      <c r="BW56" s="8"/>
      <c r="BX56" s="8"/>
      <c r="BY56" s="459"/>
      <c r="BZ56" s="459"/>
      <c r="CA56" s="459"/>
      <c r="CB56" s="459"/>
      <c r="CC56" s="459"/>
      <c r="CD56" s="459"/>
      <c r="CE56" s="459"/>
    </row>
    <row r="57" spans="1:8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V57" s="1295"/>
      <c r="W57" s="934"/>
      <c r="X57" s="1716"/>
      <c r="Y57" s="934"/>
      <c r="Z57" s="1058"/>
      <c r="AB57" s="230"/>
      <c r="AX57" s="38"/>
      <c r="AY57" s="9"/>
      <c r="AZ57" s="9"/>
      <c r="BA57" s="9"/>
      <c r="BB57" s="9"/>
      <c r="BC57" s="9"/>
      <c r="BD57" s="9"/>
      <c r="BE57" s="9"/>
      <c r="BF57" s="9"/>
      <c r="BG57" s="41"/>
      <c r="BH57" s="9"/>
      <c r="BV57" s="9"/>
      <c r="BW57" s="9"/>
      <c r="BX57" s="9"/>
      <c r="BY57" s="9"/>
    </row>
    <row r="58" spans="1:83" ht="12.75">
      <c r="A58" s="9"/>
      <c r="B58" s="9"/>
      <c r="C58" s="9"/>
      <c r="D58" s="9"/>
      <c r="E58" s="9"/>
      <c r="F58" s="9"/>
      <c r="G58" s="9"/>
      <c r="H58" s="9"/>
      <c r="I58" s="162"/>
      <c r="J58" s="468"/>
      <c r="K58" s="468"/>
      <c r="L58" s="468"/>
      <c r="M58" s="468"/>
      <c r="N58" s="468"/>
      <c r="O58" s="468"/>
      <c r="P58" s="468"/>
      <c r="Q58" s="468"/>
      <c r="R58" s="468"/>
      <c r="S58" s="468"/>
      <c r="T58" s="468"/>
      <c r="U58" s="468"/>
      <c r="V58" s="1295"/>
      <c r="W58" s="934"/>
      <c r="X58" s="1716"/>
      <c r="Y58" s="934"/>
      <c r="Z58" s="1058"/>
      <c r="AA58" s="230"/>
      <c r="AB58" s="468"/>
      <c r="AC58" s="558"/>
      <c r="AD58" s="230"/>
      <c r="AE58" s="230"/>
      <c r="AF58" s="468"/>
      <c r="AG58" s="468"/>
      <c r="AH58" s="230"/>
      <c r="AI58" s="479"/>
      <c r="AJ58" s="479"/>
      <c r="AK58" s="479"/>
      <c r="AL58" s="448"/>
      <c r="AM58" s="230"/>
      <c r="AN58" s="230"/>
      <c r="AO58" s="230"/>
      <c r="AP58" s="230"/>
      <c r="AQ58" s="162"/>
      <c r="AR58" s="468"/>
      <c r="AS58" s="468"/>
      <c r="AT58" s="468"/>
      <c r="AU58" s="468"/>
      <c r="AV58" s="468"/>
      <c r="AW58" s="468"/>
      <c r="AX58" s="230"/>
      <c r="AY58" s="230"/>
      <c r="AZ58" s="230"/>
      <c r="BA58" s="468"/>
      <c r="BB58" s="468"/>
      <c r="BC58" s="229"/>
      <c r="BD58" s="468"/>
      <c r="BE58" s="468"/>
      <c r="BF58" s="468"/>
      <c r="BG58" s="468"/>
      <c r="BH58" s="230"/>
      <c r="BI58" s="162"/>
      <c r="BJ58" s="256"/>
      <c r="BK58" s="256"/>
      <c r="BL58" s="256"/>
      <c r="BM58" s="256"/>
      <c r="BN58" s="256"/>
      <c r="BO58" s="256"/>
      <c r="BP58" s="256"/>
      <c r="BQ58" s="256"/>
      <c r="BR58" s="382"/>
      <c r="BS58" s="382"/>
      <c r="BT58" s="382"/>
      <c r="BU58" s="256"/>
      <c r="BV58" s="256"/>
      <c r="BW58" s="256"/>
      <c r="BX58" s="256"/>
      <c r="BY58" s="256"/>
      <c r="BZ58" s="926"/>
      <c r="CA58" s="926"/>
      <c r="CB58" s="926"/>
      <c r="CC58" s="926"/>
      <c r="CD58" s="256"/>
      <c r="CE58" s="256"/>
    </row>
    <row r="59" spans="1:83" ht="12.7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44"/>
      <c r="R59" s="9"/>
      <c r="S59" s="9"/>
      <c r="T59" s="9"/>
      <c r="U59" s="9"/>
      <c r="V59" s="1295"/>
      <c r="W59" s="934"/>
      <c r="X59" s="1716"/>
      <c r="Y59" s="934"/>
      <c r="Z59" s="1058"/>
      <c r="AA59" s="9"/>
      <c r="AB59" s="9"/>
      <c r="AC59" s="9"/>
      <c r="AD59" s="9"/>
      <c r="AE59" s="1503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144"/>
      <c r="AY59" s="9"/>
      <c r="AZ59" s="144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</row>
    <row r="60" spans="1:83">
      <c r="I60" s="9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295"/>
      <c r="W60" s="934"/>
      <c r="X60" s="1716"/>
      <c r="Y60" s="934"/>
      <c r="Z60" s="1058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786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44"/>
      <c r="CE60" s="144"/>
    </row>
    <row r="61" spans="1:83">
      <c r="I61" s="9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38"/>
      <c r="W61" s="934"/>
      <c r="X61" s="1716"/>
      <c r="Y61" s="934"/>
      <c r="Z61" s="1058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60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9"/>
      <c r="BF61" s="9"/>
      <c r="BG61" s="9"/>
      <c r="BH61" s="9"/>
      <c r="BI61" s="160"/>
      <c r="BJ61" s="9"/>
      <c r="BK61" s="9"/>
      <c r="BL61" s="9"/>
      <c r="BM61" s="9"/>
      <c r="BN61" s="9"/>
      <c r="BO61" s="9"/>
      <c r="BP61" s="9"/>
      <c r="BS61" s="789"/>
      <c r="BT61" s="9"/>
      <c r="BU61" s="9"/>
      <c r="BV61" s="9"/>
      <c r="BW61" s="9"/>
      <c r="BX61" s="9"/>
      <c r="BY61" s="9"/>
      <c r="BZ61" s="9"/>
      <c r="CA61" s="9"/>
      <c r="CB61" s="160"/>
      <c r="CC61" s="9"/>
      <c r="CD61" s="9"/>
      <c r="CE61" s="9"/>
    </row>
    <row r="62" spans="1:83"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934"/>
      <c r="X62" s="1716"/>
      <c r="Y62" s="934"/>
      <c r="Z62" s="105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85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175"/>
      <c r="BC62" s="38"/>
      <c r="BD62" s="38"/>
      <c r="BE62" s="38"/>
      <c r="BF62" s="38"/>
      <c r="BG62" s="38"/>
      <c r="BH62" s="38"/>
      <c r="BI62" s="85"/>
      <c r="BJ62" s="38"/>
      <c r="BK62" s="38"/>
      <c r="BL62" s="38"/>
      <c r="BM62" s="38"/>
      <c r="BN62" s="38"/>
      <c r="BO62" s="38"/>
      <c r="BP62" s="345"/>
      <c r="BQ62" s="345"/>
      <c r="BR62" s="38"/>
      <c r="BS62" s="789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</row>
    <row r="63" spans="1:83">
      <c r="V63" s="38"/>
      <c r="W63" s="934"/>
      <c r="X63" s="1716"/>
      <c r="Z63" s="1058"/>
      <c r="AE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U63" s="85"/>
      <c r="BV63" s="85"/>
      <c r="BW63" s="85"/>
      <c r="BX63" s="85"/>
    </row>
    <row r="64" spans="1:83">
      <c r="V64" s="38"/>
      <c r="W64" s="934"/>
      <c r="X64" s="1716"/>
      <c r="Z64" s="1058"/>
      <c r="AM64" s="38"/>
      <c r="AY64" s="9"/>
      <c r="AZ64" s="9"/>
      <c r="BA64" s="9"/>
      <c r="BB64" s="9"/>
      <c r="BC64" s="9"/>
      <c r="BD64" s="9"/>
      <c r="BE64" s="9"/>
      <c r="BF64" s="9"/>
      <c r="BG64" s="9"/>
      <c r="BH64" s="9"/>
    </row>
    <row r="65" spans="10:83">
      <c r="V65" s="38"/>
      <c r="W65" s="934"/>
      <c r="X65" s="1716"/>
      <c r="Z65" s="1058"/>
      <c r="AD65" s="38"/>
      <c r="AE65" s="38"/>
      <c r="AY65" s="9"/>
      <c r="AZ65" s="9"/>
      <c r="BA65" s="9"/>
      <c r="BB65" s="9"/>
      <c r="BC65" s="9"/>
      <c r="BD65" s="9"/>
      <c r="BE65" s="9"/>
      <c r="BF65" s="9"/>
      <c r="BG65" s="9"/>
      <c r="BH65" s="9"/>
    </row>
    <row r="66" spans="10:83">
      <c r="V66" s="38"/>
      <c r="W66" s="934"/>
      <c r="X66" s="1716"/>
      <c r="Z66" s="1058"/>
      <c r="AD66" s="38"/>
      <c r="AE66" s="38"/>
      <c r="AY66" s="9"/>
      <c r="AZ66" s="9"/>
      <c r="BA66" s="9"/>
      <c r="BB66" s="9"/>
      <c r="BC66" s="9"/>
      <c r="BD66" s="9"/>
      <c r="BE66" s="9"/>
      <c r="BF66" s="9"/>
      <c r="BG66" s="9"/>
      <c r="BH66" s="9"/>
    </row>
    <row r="67" spans="10:83">
      <c r="V67" s="38"/>
      <c r="W67" s="934"/>
      <c r="X67" s="1716"/>
      <c r="Z67" s="1058"/>
      <c r="AD67" s="38"/>
      <c r="AE67" s="38"/>
      <c r="AY67" s="9"/>
      <c r="AZ67" s="9"/>
      <c r="BA67" s="9"/>
      <c r="BB67" s="9"/>
      <c r="BC67" s="9"/>
      <c r="BD67" s="9"/>
      <c r="BE67" s="9"/>
      <c r="BF67" s="9"/>
      <c r="BG67" s="9"/>
      <c r="BH67" s="9"/>
    </row>
    <row r="68" spans="10:83">
      <c r="V68" s="38"/>
      <c r="W68" s="934"/>
      <c r="Z68" s="1058"/>
      <c r="AD68" s="38"/>
      <c r="AE68" s="38"/>
      <c r="AY68" s="9"/>
      <c r="AZ68" s="9"/>
      <c r="BA68" s="9"/>
      <c r="BB68" s="9"/>
      <c r="BC68" s="9"/>
      <c r="BD68" s="9"/>
      <c r="BE68" s="9"/>
      <c r="BF68" s="9"/>
      <c r="BG68" s="9"/>
      <c r="BH68" s="9"/>
    </row>
    <row r="69" spans="10:83">
      <c r="W69" s="934"/>
      <c r="AD69" s="38"/>
      <c r="AE69" s="38"/>
      <c r="AY69" s="9"/>
      <c r="AZ69" s="9"/>
      <c r="BA69" s="9"/>
      <c r="BB69" s="9"/>
      <c r="BC69" s="9"/>
      <c r="BD69" s="9"/>
      <c r="BE69" s="9"/>
      <c r="BF69" s="9"/>
      <c r="BG69" s="9"/>
      <c r="BH69" s="9"/>
    </row>
    <row r="70" spans="10:83">
      <c r="W70" s="934"/>
      <c r="AD70" s="38"/>
      <c r="AE70" s="38"/>
      <c r="AY70" s="9"/>
      <c r="AZ70" s="9"/>
      <c r="BA70" s="9"/>
      <c r="BB70" s="9"/>
      <c r="BC70" s="9"/>
      <c r="BD70" s="9"/>
      <c r="BE70" s="9"/>
      <c r="BF70" s="9"/>
      <c r="BG70" s="9"/>
      <c r="BH70" s="9"/>
    </row>
    <row r="71" spans="10:83">
      <c r="W71" s="934"/>
      <c r="AD71" s="38"/>
      <c r="AE71" s="38"/>
      <c r="AY71" s="9"/>
      <c r="AZ71" s="9"/>
      <c r="BA71" s="9"/>
      <c r="BB71" s="9"/>
      <c r="BC71" s="9"/>
      <c r="BD71" s="9"/>
      <c r="BE71" s="9"/>
      <c r="BF71" s="9"/>
      <c r="BG71" s="9"/>
      <c r="BH71" s="9"/>
    </row>
    <row r="72" spans="10:83"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934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</row>
    <row r="73" spans="10:83"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1716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</row>
    <row r="74" spans="10:83"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1716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</row>
    <row r="75" spans="10:83"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1716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</row>
    <row r="76" spans="10:83"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1716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</row>
    <row r="77" spans="10:83" ht="12.75" customHeight="1"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1716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</row>
    <row r="78" spans="10:83" ht="12" customHeight="1"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1716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</row>
    <row r="79" spans="10:83" ht="15" customHeight="1"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1716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</row>
    <row r="80" spans="10:83" ht="12" customHeight="1"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1716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</row>
    <row r="81" spans="10:83" ht="12" customHeight="1"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1716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</row>
    <row r="82" spans="10:83"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1716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</row>
    <row r="83" spans="10:83">
      <c r="W83" s="1716"/>
      <c r="AD83" s="38"/>
      <c r="AE83" s="38"/>
      <c r="AY83" s="9"/>
      <c r="AZ83" s="9"/>
      <c r="BA83" s="9"/>
      <c r="BB83" s="9"/>
      <c r="BC83" s="9"/>
      <c r="BD83" s="9"/>
      <c r="BE83" s="9"/>
      <c r="BF83" s="9"/>
      <c r="BG83" s="9"/>
      <c r="BH83" s="9"/>
    </row>
    <row r="84" spans="10:83">
      <c r="W84" s="1716"/>
      <c r="AD84" s="38"/>
      <c r="AE84" s="38"/>
      <c r="AY84" s="9"/>
      <c r="AZ84" s="9"/>
      <c r="BA84" s="9"/>
      <c r="BB84" s="9"/>
      <c r="BC84" s="9"/>
      <c r="BD84" s="9"/>
      <c r="BE84" s="9"/>
      <c r="BF84" s="9"/>
      <c r="BG84" s="9"/>
      <c r="BH84" s="9"/>
    </row>
    <row r="85" spans="10:83">
      <c r="W85" s="1716"/>
      <c r="AD85" s="38"/>
      <c r="AE85" s="38"/>
      <c r="AY85" s="9"/>
      <c r="AZ85" s="9"/>
      <c r="BA85" s="9"/>
      <c r="BB85" s="9"/>
      <c r="BC85" s="9"/>
      <c r="BD85" s="9"/>
      <c r="BE85" s="9"/>
      <c r="BF85" s="9"/>
      <c r="BG85" s="9"/>
      <c r="BH85" s="9"/>
    </row>
    <row r="86" spans="10:83">
      <c r="W86" s="1716"/>
      <c r="AD86" s="38"/>
      <c r="AE86" s="38"/>
      <c r="AY86" s="9"/>
      <c r="AZ86" s="9"/>
      <c r="BA86" s="9"/>
      <c r="BB86" s="9"/>
      <c r="BC86" s="9"/>
      <c r="BD86" s="9"/>
      <c r="BE86" s="9"/>
      <c r="BF86" s="9"/>
      <c r="BG86" s="9"/>
      <c r="BH86" s="9"/>
    </row>
    <row r="87" spans="10:83">
      <c r="W87" s="1716"/>
      <c r="AD87" s="38"/>
      <c r="AE87" s="38"/>
      <c r="AY87" s="9"/>
      <c r="AZ87" s="9"/>
      <c r="BA87" s="9"/>
      <c r="BB87" s="9"/>
      <c r="BC87" s="9"/>
      <c r="BD87" s="9"/>
      <c r="BE87" s="9"/>
      <c r="BF87" s="9"/>
      <c r="BG87" s="9"/>
      <c r="BH87" s="9"/>
    </row>
    <row r="88" spans="10:83">
      <c r="AD88" s="38"/>
      <c r="AE88" s="38"/>
      <c r="AY88" s="9"/>
      <c r="AZ88" s="9"/>
      <c r="BA88" s="9"/>
      <c r="BB88" s="9"/>
      <c r="BC88" s="9"/>
      <c r="BD88" s="9"/>
      <c r="BE88" s="9"/>
      <c r="BF88" s="9"/>
      <c r="BG88" s="9"/>
      <c r="BH88" s="9"/>
    </row>
    <row r="89" spans="10:83">
      <c r="AD89" s="38"/>
      <c r="AE89" s="38"/>
      <c r="AY89" s="9"/>
      <c r="AZ89" s="9"/>
      <c r="BA89" s="9"/>
      <c r="BB89" s="9"/>
      <c r="BC89" s="9"/>
      <c r="BD89" s="9"/>
      <c r="BE89" s="9"/>
      <c r="BF89" s="9"/>
      <c r="BG89" s="9"/>
      <c r="BH89" s="9"/>
    </row>
    <row r="90" spans="10:83">
      <c r="AD90" s="38"/>
      <c r="AE90" s="38"/>
      <c r="AY90" s="9"/>
      <c r="AZ90" s="9"/>
      <c r="BA90" s="9"/>
      <c r="BB90" s="9"/>
      <c r="BC90" s="9"/>
      <c r="BD90" s="9"/>
      <c r="BE90" s="9"/>
      <c r="BF90" s="9"/>
      <c r="BG90" s="9"/>
      <c r="BH90" s="9"/>
    </row>
    <row r="91" spans="10:83">
      <c r="AD91" s="38"/>
      <c r="AE91" s="38"/>
      <c r="AY91" s="9"/>
      <c r="AZ91" s="9"/>
      <c r="BA91" s="9"/>
      <c r="BB91" s="9"/>
      <c r="BC91" s="9"/>
      <c r="BD91" s="9"/>
      <c r="BE91" s="9"/>
      <c r="BF91" s="9"/>
      <c r="BG91" s="9"/>
      <c r="BH91" s="9"/>
    </row>
    <row r="92" spans="10:83">
      <c r="AD92" s="38"/>
      <c r="AE92" s="38"/>
      <c r="AY92" s="9"/>
      <c r="AZ92" s="9"/>
      <c r="BA92" s="9"/>
      <c r="BB92" s="9"/>
      <c r="BC92" s="9"/>
      <c r="BD92" s="9"/>
      <c r="BE92" s="9"/>
      <c r="BF92" s="9"/>
      <c r="BG92" s="9"/>
      <c r="BH92" s="9"/>
    </row>
    <row r="93" spans="10:83">
      <c r="AD93" s="38"/>
      <c r="AE93" s="38"/>
      <c r="AY93" s="9"/>
      <c r="AZ93" s="9"/>
      <c r="BA93" s="9"/>
      <c r="BB93" s="9"/>
      <c r="BC93" s="9"/>
      <c r="BD93" s="9"/>
      <c r="BE93" s="9"/>
      <c r="BF93" s="9"/>
      <c r="BG93" s="9"/>
      <c r="BH93" s="9"/>
    </row>
    <row r="94" spans="10:83">
      <c r="AD94" s="38"/>
      <c r="AE94" s="38"/>
      <c r="AY94" s="9"/>
      <c r="AZ94" s="9"/>
      <c r="BA94" s="9"/>
      <c r="BB94" s="9"/>
      <c r="BC94" s="9"/>
      <c r="BD94" s="9"/>
      <c r="BE94" s="9"/>
      <c r="BF94" s="9"/>
      <c r="BG94" s="9"/>
      <c r="BH94" s="9"/>
    </row>
    <row r="95" spans="10:83">
      <c r="AD95" s="38"/>
      <c r="AE95" s="38"/>
      <c r="AY95" s="9"/>
      <c r="AZ95" s="9"/>
      <c r="BA95" s="9"/>
      <c r="BB95" s="9"/>
      <c r="BC95" s="9"/>
      <c r="BD95" s="9"/>
      <c r="BE95" s="9"/>
      <c r="BF95" s="9"/>
      <c r="BG95" s="9"/>
      <c r="BH95" s="9"/>
    </row>
    <row r="96" spans="10:83">
      <c r="AD96" s="38"/>
      <c r="AE96" s="38"/>
      <c r="AY96" s="9"/>
      <c r="AZ96" s="9"/>
      <c r="BA96" s="9"/>
      <c r="BB96" s="9"/>
      <c r="BC96" s="9"/>
      <c r="BD96" s="9"/>
      <c r="BE96" s="9"/>
      <c r="BF96" s="9"/>
      <c r="BG96" s="9"/>
      <c r="BH96" s="9"/>
    </row>
    <row r="97" spans="30:60">
      <c r="AD97" s="38"/>
      <c r="AE97" s="38"/>
      <c r="AY97" s="9"/>
      <c r="AZ97" s="9"/>
      <c r="BA97" s="9"/>
      <c r="BB97" s="9"/>
      <c r="BC97" s="9"/>
      <c r="BD97" s="9"/>
      <c r="BE97" s="9"/>
      <c r="BF97" s="9"/>
      <c r="BG97" s="9"/>
      <c r="BH97" s="9"/>
    </row>
    <row r="98" spans="30:60">
      <c r="AD98" s="38"/>
      <c r="AE98" s="38"/>
      <c r="AY98" s="9"/>
      <c r="AZ98" s="9"/>
      <c r="BA98" s="9"/>
      <c r="BB98" s="9"/>
      <c r="BC98" s="9"/>
      <c r="BD98" s="9"/>
      <c r="BE98" s="9"/>
      <c r="BF98" s="9"/>
      <c r="BG98" s="9"/>
      <c r="BH98" s="9"/>
    </row>
    <row r="99" spans="30:60">
      <c r="AD99" s="38"/>
      <c r="AE99" s="38"/>
      <c r="AY99" s="9"/>
      <c r="AZ99" s="9"/>
      <c r="BA99" s="9"/>
      <c r="BB99" s="9"/>
      <c r="BC99" s="9"/>
      <c r="BD99" s="9"/>
      <c r="BE99" s="9"/>
      <c r="BF99" s="9"/>
      <c r="BG99" s="9"/>
      <c r="BH99" s="9"/>
    </row>
    <row r="100" spans="30:60">
      <c r="AD100" s="38"/>
      <c r="AE100" s="38"/>
      <c r="AY100" s="9"/>
      <c r="AZ100" s="9"/>
      <c r="BA100" s="9"/>
      <c r="BB100" s="9"/>
      <c r="BC100" s="9"/>
      <c r="BD100" s="9"/>
      <c r="BE100" s="9"/>
      <c r="BF100" s="9"/>
      <c r="BG100" s="9"/>
      <c r="BH100" s="9"/>
    </row>
    <row r="101" spans="30:60">
      <c r="AD101" s="38"/>
      <c r="AE101" s="38"/>
      <c r="AY101" s="9"/>
      <c r="AZ101" s="9"/>
      <c r="BA101" s="9"/>
      <c r="BB101" s="9"/>
      <c r="BC101" s="9"/>
      <c r="BD101" s="9"/>
      <c r="BE101" s="9"/>
      <c r="BF101" s="9"/>
      <c r="BG101" s="9"/>
      <c r="BH101" s="9"/>
    </row>
    <row r="102" spans="30:60">
      <c r="AD102" s="38"/>
      <c r="AE102" s="38"/>
      <c r="AY102" s="9"/>
      <c r="AZ102" s="9"/>
      <c r="BA102" s="9"/>
      <c r="BB102" s="9"/>
      <c r="BC102" s="9"/>
      <c r="BD102" s="9"/>
      <c r="BE102" s="9"/>
      <c r="BF102" s="9"/>
      <c r="BG102" s="9"/>
      <c r="BH102" s="9"/>
    </row>
    <row r="103" spans="30:60">
      <c r="AD103" s="38"/>
      <c r="AE103" s="38"/>
      <c r="AY103" s="9"/>
      <c r="AZ103" s="9"/>
      <c r="BA103" s="9"/>
      <c r="BB103" s="9"/>
      <c r="BC103" s="9"/>
      <c r="BD103" s="9"/>
      <c r="BE103" s="9"/>
      <c r="BF103" s="9"/>
      <c r="BG103" s="9"/>
      <c r="BH103" s="9"/>
    </row>
    <row r="104" spans="30:60">
      <c r="AD104" s="38"/>
      <c r="AE104" s="38"/>
      <c r="AY104" s="9"/>
      <c r="AZ104" s="9"/>
      <c r="BA104" s="9"/>
      <c r="BB104" s="9"/>
      <c r="BC104" s="9"/>
      <c r="BD104" s="9"/>
      <c r="BE104" s="9"/>
      <c r="BF104" s="9"/>
      <c r="BG104" s="9"/>
      <c r="BH104" s="9"/>
    </row>
    <row r="105" spans="30:60">
      <c r="AD105" s="38"/>
      <c r="AY105" s="9"/>
      <c r="AZ105" s="9"/>
      <c r="BA105" s="9"/>
      <c r="BB105" s="9"/>
      <c r="BC105" s="9"/>
      <c r="BD105" s="9"/>
      <c r="BE105" s="9"/>
      <c r="BF105" s="9"/>
      <c r="BG105" s="9"/>
      <c r="BH105" s="9"/>
    </row>
    <row r="106" spans="30:60">
      <c r="AD106" s="38"/>
      <c r="AY106" s="9"/>
      <c r="AZ106" s="9"/>
      <c r="BA106" s="9"/>
      <c r="BB106" s="9"/>
      <c r="BC106" s="9"/>
      <c r="BD106" s="9"/>
      <c r="BE106" s="9"/>
      <c r="BF106" s="9"/>
      <c r="BG106" s="9"/>
      <c r="BH106" s="9"/>
    </row>
    <row r="107" spans="30:60">
      <c r="AD107" s="38"/>
      <c r="AY107" s="9"/>
      <c r="AZ107" s="9"/>
      <c r="BA107" s="9"/>
      <c r="BB107" s="9"/>
      <c r="BC107" s="9"/>
      <c r="BD107" s="9"/>
      <c r="BE107" s="9"/>
      <c r="BF107" s="9"/>
      <c r="BG107" s="9"/>
      <c r="BH107" s="9"/>
    </row>
    <row r="108" spans="30:60">
      <c r="AY108" s="9"/>
      <c r="AZ108" s="9"/>
      <c r="BA108" s="9"/>
      <c r="BB108" s="9"/>
      <c r="BC108" s="9"/>
      <c r="BD108" s="9"/>
      <c r="BE108" s="9"/>
      <c r="BF108" s="9"/>
      <c r="BG108" s="9"/>
      <c r="BH108" s="9"/>
    </row>
    <row r="109" spans="30:60">
      <c r="AY109" s="9"/>
      <c r="AZ109" s="9"/>
      <c r="BA109" s="9"/>
      <c r="BB109" s="9"/>
      <c r="BC109" s="9"/>
      <c r="BD109" s="9"/>
      <c r="BE109" s="9"/>
      <c r="BF109" s="9"/>
      <c r="BG109" s="9"/>
      <c r="BH109" s="9"/>
    </row>
    <row r="110" spans="30:60">
      <c r="AY110" s="9"/>
      <c r="AZ110" s="9"/>
      <c r="BA110" s="9"/>
      <c r="BB110" s="9"/>
      <c r="BC110" s="9"/>
      <c r="BD110" s="9"/>
      <c r="BE110" s="9"/>
      <c r="BF110" s="9"/>
      <c r="BG110" s="9"/>
      <c r="BH110" s="9"/>
    </row>
  </sheetData>
  <customSheetViews>
    <customSheetView guid="{A374FC54-96E3-45F0-9C12-8450400C12DF}" scale="154" topLeftCell="B1">
      <pane ySplit="6" topLeftCell="A44" activePane="bottomLeft" state="frozen"/>
      <selection pane="bottomLeft" activeCell="AX52" sqref="AX52"/>
      <colBreaks count="1" manualBreakCount="1">
        <brk id="8" max="1048575" man="1"/>
      </colBreaks>
      <pageMargins left="0.62992125984252001" right="0.511811023622047" top="0.31496062992126" bottom="2.5590551E-2" header="0" footer="6.4960630000000005E-2"/>
      <pageSetup paperSize="132" orientation="portrait" useFirstPageNumber="1" r:id="rId1"/>
      <headerFooter differentFirst="1" alignWithMargins="0">
        <oddFooter>&amp;C&amp;"Times New Roman,Regular"&amp;8&amp;P</oddFooter>
      </headerFooter>
    </customSheetView>
  </customSheetViews>
  <mergeCells count="113">
    <mergeCell ref="AZ56:BH56"/>
    <mergeCell ref="O4:O5"/>
    <mergeCell ref="AA4:AA5"/>
    <mergeCell ref="O3:Q3"/>
    <mergeCell ref="AW4:AW5"/>
    <mergeCell ref="BF4:BG4"/>
    <mergeCell ref="BD4:BE4"/>
    <mergeCell ref="BC3:BC5"/>
    <mergeCell ref="AV4:AV5"/>
    <mergeCell ref="BA4:BA5"/>
    <mergeCell ref="V4:V5"/>
    <mergeCell ref="AT4:AT5"/>
    <mergeCell ref="AR4:AR5"/>
    <mergeCell ref="AO4:AO5"/>
    <mergeCell ref="R3:T3"/>
    <mergeCell ref="AV3:AX3"/>
    <mergeCell ref="R4:S4"/>
    <mergeCell ref="AJ53:AP53"/>
    <mergeCell ref="J54:Q54"/>
    <mergeCell ref="AZ55:BH55"/>
    <mergeCell ref="J53:Q53"/>
    <mergeCell ref="AZ54:BH54"/>
    <mergeCell ref="S53:Y53"/>
    <mergeCell ref="AA53:AH53"/>
    <mergeCell ref="CC1:CE1"/>
    <mergeCell ref="CD2:CE2"/>
    <mergeCell ref="BU1:BW1"/>
    <mergeCell ref="BP1:BT1"/>
    <mergeCell ref="BU2:BV2"/>
    <mergeCell ref="BV4:BV5"/>
    <mergeCell ref="BW4:BW5"/>
    <mergeCell ref="BN4:BN5"/>
    <mergeCell ref="BZ4:CB4"/>
    <mergeCell ref="BY4:BY5"/>
    <mergeCell ref="BU4:BU5"/>
    <mergeCell ref="BX4:BX5"/>
    <mergeCell ref="CC4:CE4"/>
    <mergeCell ref="BU3:CE3"/>
    <mergeCell ref="BJ3:BN3"/>
    <mergeCell ref="BO3:BO5"/>
    <mergeCell ref="BM4:BM5"/>
    <mergeCell ref="BS2:BT2"/>
    <mergeCell ref="BJ4:BJ5"/>
    <mergeCell ref="BT4:BT5"/>
    <mergeCell ref="BL4:BL5"/>
    <mergeCell ref="BK4:BK5"/>
    <mergeCell ref="BP3:BT3"/>
    <mergeCell ref="BP4:BS4"/>
    <mergeCell ref="C12:G13"/>
    <mergeCell ref="AY1:BE1"/>
    <mergeCell ref="AV1:AX1"/>
    <mergeCell ref="AW2:AX2"/>
    <mergeCell ref="BD3:BH3"/>
    <mergeCell ref="AX4:AX5"/>
    <mergeCell ref="BG2:BH2"/>
    <mergeCell ref="BF1:BH1"/>
    <mergeCell ref="AN1:AP1"/>
    <mergeCell ref="AO2:AP2"/>
    <mergeCell ref="AN4:AN5"/>
    <mergeCell ref="AP4:AP5"/>
    <mergeCell ref="AM3:AP3"/>
    <mergeCell ref="AS4:AS5"/>
    <mergeCell ref="AM4:AM5"/>
    <mergeCell ref="AQ3:AQ6"/>
    <mergeCell ref="K4:K5"/>
    <mergeCell ref="AY3:BA3"/>
    <mergeCell ref="BB3:BB5"/>
    <mergeCell ref="AZ4:AZ5"/>
    <mergeCell ref="AE1:AH1"/>
    <mergeCell ref="AI4:AI5"/>
    <mergeCell ref="X2:Y2"/>
    <mergeCell ref="AE4:AE5"/>
    <mergeCell ref="J3:L3"/>
    <mergeCell ref="AB4:AB5"/>
    <mergeCell ref="T4:T5"/>
    <mergeCell ref="U3:U5"/>
    <mergeCell ref="W4:W5"/>
    <mergeCell ref="BI3:BI6"/>
    <mergeCell ref="BH4:BH5"/>
    <mergeCell ref="AY4:AY5"/>
    <mergeCell ref="V3:Y3"/>
    <mergeCell ref="AJ4:AJ5"/>
    <mergeCell ref="AI3:AL3"/>
    <mergeCell ref="AE3:AH3"/>
    <mergeCell ref="AR3:AU3"/>
    <mergeCell ref="AF4:AF5"/>
    <mergeCell ref="AG4:AG5"/>
    <mergeCell ref="AU4:AU5"/>
    <mergeCell ref="Y4:Y5"/>
    <mergeCell ref="BJ53:BS53"/>
    <mergeCell ref="S54:T54"/>
    <mergeCell ref="AJ54:AP54"/>
    <mergeCell ref="J55:Q55"/>
    <mergeCell ref="AA55:AH55"/>
    <mergeCell ref="I1:Q1"/>
    <mergeCell ref="AA3:AD3"/>
    <mergeCell ref="Z3:Z6"/>
    <mergeCell ref="AC4:AC5"/>
    <mergeCell ref="AD4:AD5"/>
    <mergeCell ref="M3:M5"/>
    <mergeCell ref="N3:N5"/>
    <mergeCell ref="AK4:AK5"/>
    <mergeCell ref="AL4:AL5"/>
    <mergeCell ref="AI1:AJ1"/>
    <mergeCell ref="AH4:AH5"/>
    <mergeCell ref="AG2:AH2"/>
    <mergeCell ref="W1:Y1"/>
    <mergeCell ref="P2:Q2"/>
    <mergeCell ref="I3:I6"/>
    <mergeCell ref="J4:J5"/>
    <mergeCell ref="P4:P5"/>
    <mergeCell ref="L4:L5"/>
    <mergeCell ref="X4:X5"/>
  </mergeCells>
  <phoneticPr fontId="5" type="noConversion"/>
  <conditionalFormatting sqref="Z12:Z13 AQ12:AQ13 BI12:BI13 I12:I13">
    <cfRule type="expression" priority="139" stopIfTrue="1">
      <formula>MOD(row,0)=0</formula>
    </cfRule>
  </conditionalFormatting>
  <conditionalFormatting sqref="Z13 AQ13 BI13 I13">
    <cfRule type="expression" dxfId="8" priority="135" stopIfTrue="1">
      <formula>MOD(ROW(),2)=1</formula>
    </cfRule>
  </conditionalFormatting>
  <conditionalFormatting sqref="Z13 AQ13 BI13 I13">
    <cfRule type="expression" dxfId="7" priority="133" stopIfTrue="1">
      <formula>MOD(ROW(),2)=1</formula>
    </cfRule>
    <cfRule type="expression" priority="134" stopIfTrue="1">
      <formula>MOD(ROW(),2)=1</formula>
    </cfRule>
  </conditionalFormatting>
  <conditionalFormatting sqref="AQ13 Z13 BI13 I13">
    <cfRule type="expression" priority="131" stopIfTrue="1">
      <formula>MOD((((#REF!))),0)=0</formula>
    </cfRule>
  </conditionalFormatting>
  <conditionalFormatting sqref="Z13 AQ13 BI13">
    <cfRule type="expression" priority="100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useFirstPageNumber="1" r:id="rId2"/>
  <headerFooter differentFirst="1" alignWithMargins="0">
    <oddFooter>&amp;C&amp;"Times New Roman,Regular"&amp;8&amp;P</odd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1"/>
  <dimension ref="A1:AO75"/>
  <sheetViews>
    <sheetView zoomScale="130" zoomScaleNormal="130" workbookViewId="0">
      <pane xSplit="1" ySplit="5" topLeftCell="B36" activePane="bottomRight" state="frozen"/>
      <selection activeCell="G9" sqref="G9"/>
      <selection pane="topRight" activeCell="G9" sqref="G9"/>
      <selection pane="bottomLeft" activeCell="G9" sqref="G9"/>
      <selection pane="bottomRight" activeCell="W58" sqref="W58"/>
    </sheetView>
  </sheetViews>
  <sheetFormatPr defaultRowHeight="11.25"/>
  <cols>
    <col min="1" max="1" width="7.7109375" style="17" customWidth="1"/>
    <col min="2" max="2" width="5.7109375" style="8" customWidth="1"/>
    <col min="3" max="3" width="6.28515625" style="8" customWidth="1"/>
    <col min="4" max="4" width="5.28515625" style="8" customWidth="1"/>
    <col min="5" max="5" width="5.5703125" style="8" customWidth="1"/>
    <col min="6" max="7" width="6" style="8" customWidth="1"/>
    <col min="8" max="8" width="5.85546875" style="8" customWidth="1"/>
    <col min="9" max="9" width="6" style="8" customWidth="1"/>
    <col min="10" max="10" width="5.5703125" style="8" customWidth="1"/>
    <col min="11" max="11" width="6" style="8" customWidth="1"/>
    <col min="12" max="12" width="7.5703125" style="8" customWidth="1"/>
    <col min="13" max="13" width="5.28515625" style="8" customWidth="1"/>
    <col min="14" max="14" width="8" style="17" customWidth="1"/>
    <col min="15" max="15" width="5.42578125" style="8" customWidth="1"/>
    <col min="16" max="16" width="6.140625" style="8" customWidth="1"/>
    <col min="17" max="17" width="5.28515625" style="8" customWidth="1"/>
    <col min="18" max="18" width="5.7109375" style="8" customWidth="1"/>
    <col min="19" max="19" width="6.140625" style="8" customWidth="1"/>
    <col min="20" max="20" width="5.5703125" style="8" customWidth="1"/>
    <col min="21" max="21" width="5.42578125" style="8" customWidth="1"/>
    <col min="22" max="22" width="6.5703125" style="8" customWidth="1"/>
    <col min="23" max="23" width="5.85546875" style="8" customWidth="1"/>
    <col min="24" max="24" width="6" style="8" customWidth="1"/>
    <col min="25" max="25" width="6.42578125" style="8" customWidth="1"/>
    <col min="26" max="26" width="6" style="8" customWidth="1"/>
    <col min="27" max="27" width="7.85546875" style="17" customWidth="1"/>
    <col min="28" max="29" width="6" style="8" customWidth="1"/>
    <col min="30" max="30" width="5.7109375" style="8" customWidth="1"/>
    <col min="31" max="31" width="5.85546875" style="8" customWidth="1"/>
    <col min="32" max="32" width="6.42578125" style="8" customWidth="1"/>
    <col min="33" max="33" width="5.42578125" style="8" customWidth="1"/>
    <col min="34" max="34" width="5.85546875" style="8" customWidth="1"/>
    <col min="35" max="35" width="6.28515625" style="8" customWidth="1"/>
    <col min="36" max="36" width="5.85546875" style="8" customWidth="1"/>
    <col min="37" max="37" width="5.5703125" style="8" customWidth="1"/>
    <col min="38" max="39" width="6" style="8" customWidth="1"/>
    <col min="40" max="16384" width="9.140625" style="8"/>
  </cols>
  <sheetData>
    <row r="1" spans="1:39" s="21" customFormat="1" ht="35.25" customHeight="1">
      <c r="B1" s="2449" t="s">
        <v>57</v>
      </c>
      <c r="C1" s="2449"/>
      <c r="D1" s="2449"/>
      <c r="E1" s="2449"/>
      <c r="F1" s="2449"/>
      <c r="G1" s="2449"/>
      <c r="H1" s="2449"/>
      <c r="I1" s="2449"/>
      <c r="J1" s="1541"/>
      <c r="K1" s="2458" t="s">
        <v>606</v>
      </c>
      <c r="L1" s="2458"/>
      <c r="M1" s="2458"/>
      <c r="O1" s="2449" t="s">
        <v>17</v>
      </c>
      <c r="P1" s="2449"/>
      <c r="Q1" s="2449"/>
      <c r="R1" s="2449"/>
      <c r="S1" s="2449"/>
      <c r="T1" s="2449"/>
      <c r="U1" s="2449"/>
      <c r="V1" s="2449"/>
      <c r="W1" s="1541"/>
      <c r="X1" s="2458" t="s">
        <v>606</v>
      </c>
      <c r="Y1" s="2458"/>
      <c r="Z1" s="2458"/>
      <c r="AB1" s="2449" t="s">
        <v>18</v>
      </c>
      <c r="AC1" s="2449"/>
      <c r="AD1" s="2449"/>
      <c r="AE1" s="2449"/>
      <c r="AF1" s="2449"/>
      <c r="AG1" s="2449"/>
      <c r="AH1" s="2449"/>
      <c r="AI1" s="2449"/>
      <c r="AJ1" s="1541"/>
      <c r="AK1" s="2458" t="s">
        <v>610</v>
      </c>
      <c r="AL1" s="2458"/>
      <c r="AM1" s="2458"/>
    </row>
    <row r="2" spans="1:39" s="21" customFormat="1" ht="12" customHeight="1">
      <c r="B2" s="93"/>
      <c r="C2" s="93"/>
      <c r="D2" s="93"/>
      <c r="E2" s="93"/>
      <c r="F2" s="93"/>
      <c r="G2" s="93"/>
      <c r="H2" s="93"/>
      <c r="I2" s="93"/>
      <c r="J2" s="93"/>
      <c r="K2" s="2272" t="s">
        <v>513</v>
      </c>
      <c r="L2" s="2272"/>
      <c r="M2" s="2272"/>
      <c r="N2" s="74"/>
      <c r="O2" s="74"/>
      <c r="P2" s="74"/>
      <c r="Q2" s="74"/>
      <c r="R2" s="74"/>
      <c r="S2" s="74"/>
      <c r="T2" s="74"/>
      <c r="U2" s="74"/>
      <c r="V2" s="74"/>
      <c r="W2" s="74"/>
      <c r="X2" s="2450" t="s">
        <v>513</v>
      </c>
      <c r="Y2" s="2450"/>
      <c r="Z2" s="2450"/>
      <c r="AK2" s="2450" t="s">
        <v>513</v>
      </c>
      <c r="AL2" s="2450"/>
      <c r="AM2" s="2450"/>
    </row>
    <row r="3" spans="1:39" ht="12.75" customHeight="1">
      <c r="A3" s="2451" t="s">
        <v>487</v>
      </c>
      <c r="B3" s="2225" t="s">
        <v>1910</v>
      </c>
      <c r="C3" s="2226"/>
      <c r="D3" s="2226"/>
      <c r="E3" s="2226"/>
      <c r="F3" s="2226"/>
      <c r="G3" s="2226"/>
      <c r="H3" s="2226"/>
      <c r="I3" s="2226"/>
      <c r="J3" s="2226"/>
      <c r="K3" s="2226"/>
      <c r="L3" s="2226"/>
      <c r="M3" s="2227"/>
      <c r="N3" s="2451" t="s">
        <v>487</v>
      </c>
      <c r="O3" s="2225" t="s">
        <v>514</v>
      </c>
      <c r="P3" s="2226"/>
      <c r="Q3" s="2226"/>
      <c r="R3" s="2226"/>
      <c r="S3" s="2226"/>
      <c r="T3" s="2226"/>
      <c r="U3" s="2226"/>
      <c r="V3" s="2226"/>
      <c r="W3" s="2226"/>
      <c r="X3" s="2226"/>
      <c r="Y3" s="2226"/>
      <c r="Z3" s="2227"/>
      <c r="AA3" s="2451" t="s">
        <v>487</v>
      </c>
      <c r="AB3" s="2225" t="s">
        <v>514</v>
      </c>
      <c r="AC3" s="2226"/>
      <c r="AD3" s="2226"/>
      <c r="AE3" s="2226"/>
      <c r="AF3" s="2226"/>
      <c r="AG3" s="2226"/>
      <c r="AH3" s="2226"/>
      <c r="AI3" s="2226"/>
      <c r="AJ3" s="2226"/>
      <c r="AK3" s="2226"/>
      <c r="AL3" s="2226"/>
      <c r="AM3" s="2227"/>
    </row>
    <row r="4" spans="1:39" s="18" customFormat="1" ht="12.6" customHeight="1">
      <c r="A4" s="2451"/>
      <c r="B4" s="2452" t="s">
        <v>78</v>
      </c>
      <c r="C4" s="2452"/>
      <c r="D4" s="2453"/>
      <c r="E4" s="2454" t="s">
        <v>631</v>
      </c>
      <c r="F4" s="2452"/>
      <c r="G4" s="2453"/>
      <c r="H4" s="2454" t="s">
        <v>629</v>
      </c>
      <c r="I4" s="2452"/>
      <c r="J4" s="2453"/>
      <c r="K4" s="2454" t="s">
        <v>79</v>
      </c>
      <c r="L4" s="2452"/>
      <c r="M4" s="2453"/>
      <c r="N4" s="2451"/>
      <c r="O4" s="2454" t="s">
        <v>78</v>
      </c>
      <c r="P4" s="2452"/>
      <c r="Q4" s="2453"/>
      <c r="R4" s="2454" t="s">
        <v>631</v>
      </c>
      <c r="S4" s="2452"/>
      <c r="T4" s="2453"/>
      <c r="U4" s="2454" t="s">
        <v>629</v>
      </c>
      <c r="V4" s="2452"/>
      <c r="W4" s="2453"/>
      <c r="X4" s="2454" t="s">
        <v>79</v>
      </c>
      <c r="Y4" s="2452"/>
      <c r="Z4" s="2453"/>
      <c r="AA4" s="2451"/>
      <c r="AB4" s="2454" t="s">
        <v>78</v>
      </c>
      <c r="AC4" s="2452"/>
      <c r="AD4" s="2453"/>
      <c r="AE4" s="2454" t="s">
        <v>631</v>
      </c>
      <c r="AF4" s="2452"/>
      <c r="AG4" s="2453"/>
      <c r="AH4" s="2454" t="s">
        <v>629</v>
      </c>
      <c r="AI4" s="2452"/>
      <c r="AJ4" s="2453"/>
      <c r="AK4" s="2454" t="s">
        <v>79</v>
      </c>
      <c r="AL4" s="2452"/>
      <c r="AM4" s="2453"/>
    </row>
    <row r="5" spans="1:39" s="18" customFormat="1" ht="24.75" customHeight="1">
      <c r="A5" s="2451"/>
      <c r="B5" s="1539" t="s">
        <v>540</v>
      </c>
      <c r="C5" s="1025" t="s">
        <v>80</v>
      </c>
      <c r="D5" s="111" t="s">
        <v>638</v>
      </c>
      <c r="E5" s="1539" t="s">
        <v>540</v>
      </c>
      <c r="F5" s="1540" t="s">
        <v>80</v>
      </c>
      <c r="G5" s="111" t="s">
        <v>638</v>
      </c>
      <c r="H5" s="1539" t="s">
        <v>540</v>
      </c>
      <c r="I5" s="1540" t="s">
        <v>80</v>
      </c>
      <c r="J5" s="111" t="s">
        <v>638</v>
      </c>
      <c r="K5" s="1539" t="s">
        <v>540</v>
      </c>
      <c r="L5" s="1540" t="s">
        <v>80</v>
      </c>
      <c r="M5" s="111" t="s">
        <v>638</v>
      </c>
      <c r="N5" s="2451"/>
      <c r="O5" s="1539" t="s">
        <v>540</v>
      </c>
      <c r="P5" s="1540" t="s">
        <v>80</v>
      </c>
      <c r="Q5" s="111" t="s">
        <v>638</v>
      </c>
      <c r="R5" s="1539" t="s">
        <v>540</v>
      </c>
      <c r="S5" s="1540" t="s">
        <v>80</v>
      </c>
      <c r="T5" s="111" t="s">
        <v>638</v>
      </c>
      <c r="U5" s="1539" t="s">
        <v>540</v>
      </c>
      <c r="V5" s="1540" t="s">
        <v>80</v>
      </c>
      <c r="W5" s="111" t="s">
        <v>638</v>
      </c>
      <c r="X5" s="1539" t="s">
        <v>540</v>
      </c>
      <c r="Y5" s="1540" t="s">
        <v>80</v>
      </c>
      <c r="Z5" s="111" t="s">
        <v>638</v>
      </c>
      <c r="AA5" s="2451"/>
      <c r="AB5" s="1539" t="s">
        <v>540</v>
      </c>
      <c r="AC5" s="1540" t="s">
        <v>80</v>
      </c>
      <c r="AD5" s="111" t="s">
        <v>638</v>
      </c>
      <c r="AE5" s="1539" t="s">
        <v>540</v>
      </c>
      <c r="AF5" s="1540" t="s">
        <v>80</v>
      </c>
      <c r="AG5" s="111" t="s">
        <v>638</v>
      </c>
      <c r="AH5" s="1539" t="s">
        <v>540</v>
      </c>
      <c r="AI5" s="1540" t="s">
        <v>80</v>
      </c>
      <c r="AJ5" s="111" t="s">
        <v>638</v>
      </c>
      <c r="AK5" s="1539" t="s">
        <v>540</v>
      </c>
      <c r="AL5" s="1540" t="s">
        <v>80</v>
      </c>
      <c r="AM5" s="111" t="s">
        <v>638</v>
      </c>
    </row>
    <row r="6" spans="1:39" s="264" customFormat="1" ht="11.45" customHeight="1">
      <c r="A6" s="1167" t="s">
        <v>81</v>
      </c>
      <c r="B6" s="15">
        <v>0.16083333333333336</v>
      </c>
      <c r="C6" s="15">
        <v>0.2116666666666667</v>
      </c>
      <c r="D6" s="28">
        <v>0.13750000000000001</v>
      </c>
      <c r="E6" s="15">
        <v>0.33083333333333337</v>
      </c>
      <c r="F6" s="15">
        <v>0.33</v>
      </c>
      <c r="G6" s="28">
        <v>0.33916666666666667</v>
      </c>
      <c r="H6" s="15">
        <v>0.55583333333333329</v>
      </c>
      <c r="I6" s="15">
        <v>0.45</v>
      </c>
      <c r="J6" s="28">
        <v>0.6166666666666667</v>
      </c>
      <c r="K6" s="15">
        <v>0.89</v>
      </c>
      <c r="L6" s="15">
        <v>0.69666666666666666</v>
      </c>
      <c r="M6" s="28">
        <v>0.76916666666666655</v>
      </c>
      <c r="N6" s="1167" t="s">
        <v>81</v>
      </c>
      <c r="O6" s="15">
        <v>0.19583333333333333</v>
      </c>
      <c r="P6" s="15">
        <v>0.46083333333333337</v>
      </c>
      <c r="Q6" s="28">
        <v>0.27500000000000002</v>
      </c>
      <c r="R6" s="15">
        <v>0.25</v>
      </c>
      <c r="S6" s="15">
        <v>0.5575</v>
      </c>
      <c r="T6" s="28">
        <v>0.41833333333333328</v>
      </c>
      <c r="U6" s="15">
        <v>0.40416666666666673</v>
      </c>
      <c r="V6" s="15">
        <v>0.60250000000000015</v>
      </c>
      <c r="W6" s="28">
        <v>0.52750000000000019</v>
      </c>
      <c r="X6" s="15">
        <v>0.79083333333333339</v>
      </c>
      <c r="Y6" s="15">
        <v>0.78749999999999998</v>
      </c>
      <c r="Z6" s="28">
        <v>0.70083333333333331</v>
      </c>
      <c r="AA6" s="1167" t="s">
        <v>81</v>
      </c>
      <c r="AB6" s="15">
        <v>0.64916666666666656</v>
      </c>
      <c r="AC6" s="15">
        <v>0.12583333333333338</v>
      </c>
      <c r="AD6" s="28">
        <v>0.17166666666666666</v>
      </c>
      <c r="AE6" s="15">
        <v>0.80083333333333329</v>
      </c>
      <c r="AF6" s="15">
        <v>0.2383333333333334</v>
      </c>
      <c r="AG6" s="28">
        <v>0.30416666666666675</v>
      </c>
      <c r="AH6" s="15">
        <v>0.65083333333333337</v>
      </c>
      <c r="AI6" s="15">
        <v>0.34916666666666668</v>
      </c>
      <c r="AJ6" s="28">
        <v>0.44</v>
      </c>
      <c r="AK6" s="15">
        <v>0.81333333333333346</v>
      </c>
      <c r="AL6" s="15">
        <v>0.51416666666666677</v>
      </c>
      <c r="AM6" s="28">
        <v>0.57583333333333331</v>
      </c>
    </row>
    <row r="7" spans="1:39" s="264" customFormat="1" ht="11.45" customHeight="1">
      <c r="A7" s="310" t="s">
        <v>190</v>
      </c>
      <c r="B7" s="322">
        <v>0.16791666666666663</v>
      </c>
      <c r="C7" s="322">
        <v>0.24756944444444443</v>
      </c>
      <c r="D7" s="300">
        <v>0.43798611111111113</v>
      </c>
      <c r="E7" s="322">
        <v>0.33444444444444449</v>
      </c>
      <c r="F7" s="322">
        <v>0.39881944444444439</v>
      </c>
      <c r="G7" s="300">
        <v>0.64472222222222209</v>
      </c>
      <c r="H7" s="322">
        <v>0.50624999999999998</v>
      </c>
      <c r="I7" s="322">
        <v>0.66923611111111114</v>
      </c>
      <c r="J7" s="300">
        <v>0.94277777777777783</v>
      </c>
      <c r="K7" s="322">
        <v>0.73374999999999979</v>
      </c>
      <c r="L7" s="322">
        <v>0.93069444444444438</v>
      </c>
      <c r="M7" s="300">
        <v>1.0635416666666668</v>
      </c>
      <c r="N7" s="310" t="s">
        <v>190</v>
      </c>
      <c r="O7" s="322">
        <v>0.14000000000000004</v>
      </c>
      <c r="P7" s="322">
        <v>0.29643229166666668</v>
      </c>
      <c r="Q7" s="300">
        <v>0.40145833333333342</v>
      </c>
      <c r="R7" s="322">
        <v>0.19358333333333333</v>
      </c>
      <c r="S7" s="322">
        <v>0.41849999999999993</v>
      </c>
      <c r="T7" s="300">
        <v>0.53516666666666668</v>
      </c>
      <c r="U7" s="322">
        <v>0.28266666666666668</v>
      </c>
      <c r="V7" s="322">
        <v>0.55945833333333328</v>
      </c>
      <c r="W7" s="300">
        <v>0.64966666666666673</v>
      </c>
      <c r="X7" s="322">
        <v>0.5678333333333333</v>
      </c>
      <c r="Y7" s="322">
        <v>0.83166666666666655</v>
      </c>
      <c r="Z7" s="300">
        <v>0.87583333333333313</v>
      </c>
      <c r="AA7" s="310" t="s">
        <v>190</v>
      </c>
      <c r="AB7" s="322">
        <v>0.75583333333333336</v>
      </c>
      <c r="AC7" s="322">
        <v>0.28083333333333332</v>
      </c>
      <c r="AD7" s="300">
        <v>0.31277777777777777</v>
      </c>
      <c r="AE7" s="322">
        <v>1.0994444444444444</v>
      </c>
      <c r="AF7" s="322">
        <v>0.41625000000000001</v>
      </c>
      <c r="AG7" s="300">
        <v>0.53763888888888889</v>
      </c>
      <c r="AH7" s="322">
        <v>1.1913888888888888</v>
      </c>
      <c r="AI7" s="322">
        <v>0.5097222222222223</v>
      </c>
      <c r="AJ7" s="300">
        <v>0.62097222222222215</v>
      </c>
      <c r="AK7" s="322">
        <v>0.79916666666666647</v>
      </c>
      <c r="AL7" s="322">
        <v>0.54180555555555554</v>
      </c>
      <c r="AM7" s="300">
        <v>0.79249999999999998</v>
      </c>
    </row>
    <row r="8" spans="1:39" s="264" customFormat="1" ht="11.45" customHeight="1">
      <c r="A8" s="1167" t="s">
        <v>731</v>
      </c>
      <c r="B8" s="15">
        <v>0.16916666666666666</v>
      </c>
      <c r="C8" s="15">
        <v>0.33805555555555555</v>
      </c>
      <c r="D8" s="28">
        <v>0.63222222222222213</v>
      </c>
      <c r="E8" s="15">
        <v>0.36666666666666664</v>
      </c>
      <c r="F8" s="15">
        <v>0.63055555555555565</v>
      </c>
      <c r="G8" s="28">
        <v>0.89583333333333337</v>
      </c>
      <c r="H8" s="15">
        <v>0.62444444444444447</v>
      </c>
      <c r="I8" s="15">
        <v>0.93444444444444441</v>
      </c>
      <c r="J8" s="28">
        <v>1.141388888888889</v>
      </c>
      <c r="K8" s="15">
        <v>0.8783333333333333</v>
      </c>
      <c r="L8" s="15">
        <v>1.2255555555555555</v>
      </c>
      <c r="M8" s="28">
        <v>1.3674999999999999</v>
      </c>
      <c r="N8" s="1167" t="s">
        <v>731</v>
      </c>
      <c r="O8" s="15">
        <v>0.10250000000000002</v>
      </c>
      <c r="P8" s="15">
        <v>0.31416666666666665</v>
      </c>
      <c r="Q8" s="28">
        <v>0.57166666666666655</v>
      </c>
      <c r="R8" s="15">
        <v>0.21500000000000005</v>
      </c>
      <c r="S8" s="15">
        <v>0.50624999999999998</v>
      </c>
      <c r="T8" s="28">
        <v>0.72000000000000008</v>
      </c>
      <c r="U8" s="15">
        <v>0.34833333333333338</v>
      </c>
      <c r="V8" s="15">
        <v>0.65749999999999997</v>
      </c>
      <c r="W8" s="28">
        <v>0.81</v>
      </c>
      <c r="X8" s="15">
        <v>0.89416666666666655</v>
      </c>
      <c r="Y8" s="15">
        <v>0.95233333333333337</v>
      </c>
      <c r="Z8" s="28">
        <v>0.99500000000000011</v>
      </c>
      <c r="AA8" s="1167" t="s">
        <v>731</v>
      </c>
      <c r="AB8" s="15">
        <v>0.55875000000000019</v>
      </c>
      <c r="AC8" s="15">
        <v>0.42166666666666669</v>
      </c>
      <c r="AD8" s="28">
        <v>0.5</v>
      </c>
      <c r="AE8" s="15">
        <v>1.0566666666666666</v>
      </c>
      <c r="AF8" s="15">
        <v>0.65499999999999992</v>
      </c>
      <c r="AG8" s="28">
        <v>0.75</v>
      </c>
      <c r="AH8" s="15">
        <v>1.4295833333333332</v>
      </c>
      <c r="AI8" s="15">
        <v>0.99749999999999972</v>
      </c>
      <c r="AJ8" s="28">
        <v>0.9312499999999998</v>
      </c>
      <c r="AK8" s="15">
        <v>1.1666666666666667</v>
      </c>
      <c r="AL8" s="15">
        <v>0.94083333333333341</v>
      </c>
      <c r="AM8" s="28">
        <v>1.25</v>
      </c>
    </row>
    <row r="9" spans="1:39" s="264" customFormat="1" ht="11.45" customHeight="1">
      <c r="A9" s="310" t="s">
        <v>840</v>
      </c>
      <c r="B9" s="322">
        <v>0.16958333333333339</v>
      </c>
      <c r="C9" s="322">
        <v>0.21965277777777778</v>
      </c>
      <c r="D9" s="300">
        <v>3.6111111111111114E-3</v>
      </c>
      <c r="E9" s="322">
        <v>0.19888888888888887</v>
      </c>
      <c r="F9" s="322">
        <v>0.28486111111111112</v>
      </c>
      <c r="G9" s="300">
        <v>5.0833333333333341E-2</v>
      </c>
      <c r="H9" s="322">
        <v>0.35916666666666669</v>
      </c>
      <c r="I9" s="322">
        <v>0.44350694444444455</v>
      </c>
      <c r="J9" s="300">
        <v>0.12611111111111115</v>
      </c>
      <c r="K9" s="322">
        <v>0.59020833333333322</v>
      </c>
      <c r="L9" s="322">
        <v>0.70586805555555554</v>
      </c>
      <c r="M9" s="300">
        <v>0.26034722222222223</v>
      </c>
      <c r="N9" s="310" t="s">
        <v>840</v>
      </c>
      <c r="O9" s="322">
        <v>9.2082500000000012E-2</v>
      </c>
      <c r="P9" s="322">
        <v>0.24228124999999998</v>
      </c>
      <c r="Q9" s="300">
        <v>0.18372943333333333</v>
      </c>
      <c r="R9" s="322">
        <v>0.18142521929166663</v>
      </c>
      <c r="S9" s="322">
        <v>0.38397137278333332</v>
      </c>
      <c r="T9" s="300">
        <v>0.29373464912499997</v>
      </c>
      <c r="U9" s="322">
        <v>0.29680622806666668</v>
      </c>
      <c r="V9" s="322">
        <v>0.43682707018333344</v>
      </c>
      <c r="W9" s="300">
        <v>0.38601997368333335</v>
      </c>
      <c r="X9" s="322">
        <v>0.80951328947222212</v>
      </c>
      <c r="Y9" s="322">
        <v>0.69534501314999997</v>
      </c>
      <c r="Z9" s="300">
        <v>0.51850818421666667</v>
      </c>
      <c r="AA9" s="310" t="s">
        <v>840</v>
      </c>
      <c r="AB9" s="322">
        <v>0.55041666666666667</v>
      </c>
      <c r="AC9" s="322">
        <v>0.39874999999999999</v>
      </c>
      <c r="AD9" s="300">
        <v>0.5</v>
      </c>
      <c r="AE9" s="322">
        <v>1.4790416666666666</v>
      </c>
      <c r="AF9" s="322">
        <v>0.55916666666666681</v>
      </c>
      <c r="AG9" s="300">
        <v>0.75</v>
      </c>
      <c r="AH9" s="322">
        <v>1.4741041666666668</v>
      </c>
      <c r="AI9" s="322">
        <v>0.68750000000000011</v>
      </c>
      <c r="AJ9" s="300">
        <v>0.62416666666666665</v>
      </c>
      <c r="AK9" s="322">
        <v>1.2992333333333332</v>
      </c>
      <c r="AL9" s="322">
        <v>0.85916666666666675</v>
      </c>
      <c r="AM9" s="300">
        <v>1.25</v>
      </c>
    </row>
    <row r="10" spans="1:39" s="162" customFormat="1" ht="11.45" customHeight="1">
      <c r="A10" s="343" t="s">
        <v>1019</v>
      </c>
      <c r="B10" s="28">
        <v>6.9166666666666696E-2</v>
      </c>
      <c r="C10" s="28">
        <v>0.21207052083333333</v>
      </c>
      <c r="D10" s="28">
        <v>5.3333333333333337E-2</v>
      </c>
      <c r="E10" s="28">
        <v>4.8898611111111108E-2</v>
      </c>
      <c r="F10" s="28">
        <v>0.24257020833333334</v>
      </c>
      <c r="G10" s="28">
        <v>5.9166666666666666E-2</v>
      </c>
      <c r="H10" s="28">
        <v>0.10368437500000001</v>
      </c>
      <c r="I10" s="28">
        <v>0.331078125</v>
      </c>
      <c r="J10" s="28">
        <v>9.8393750000000002E-2</v>
      </c>
      <c r="K10" s="28">
        <v>0.28775562500000001</v>
      </c>
      <c r="L10" s="28">
        <v>0.54730156250000006</v>
      </c>
      <c r="M10" s="28">
        <v>0.19117562500000004</v>
      </c>
      <c r="N10" s="343" t="s">
        <v>1019</v>
      </c>
      <c r="O10" s="28">
        <v>0.23060208333333335</v>
      </c>
      <c r="P10" s="28">
        <v>0.28789062500000001</v>
      </c>
      <c r="Q10" s="28">
        <v>0.19963549999999999</v>
      </c>
      <c r="R10" s="28">
        <v>0.2548333333333333</v>
      </c>
      <c r="S10" s="28">
        <v>0.41539350876666664</v>
      </c>
      <c r="T10" s="28">
        <v>0.2763631944444444</v>
      </c>
      <c r="U10" s="28">
        <v>0.39922916666666658</v>
      </c>
      <c r="V10" s="28">
        <v>0.48461499999999996</v>
      </c>
      <c r="W10" s="28">
        <v>0.38448833333333332</v>
      </c>
      <c r="X10" s="28">
        <v>0.6540076388888888</v>
      </c>
      <c r="Y10" s="28">
        <v>0.80578854166666669</v>
      </c>
      <c r="Z10" s="28">
        <v>0.50327416666666669</v>
      </c>
      <c r="AA10" s="343" t="s">
        <v>1019</v>
      </c>
      <c r="AB10" s="28">
        <v>0.90791666666666659</v>
      </c>
      <c r="AC10" s="28">
        <v>0.38708333333333339</v>
      </c>
      <c r="AD10" s="28">
        <v>0.45583333333333326</v>
      </c>
      <c r="AE10" s="28">
        <v>1.1558333333333335</v>
      </c>
      <c r="AF10" s="28">
        <v>0.53583333333333349</v>
      </c>
      <c r="AG10" s="28">
        <v>0.66000000000000014</v>
      </c>
      <c r="AH10" s="28">
        <v>1.1683333333333334</v>
      </c>
      <c r="AI10" s="28">
        <v>0.61583333333333323</v>
      </c>
      <c r="AJ10" s="28">
        <v>0.76750000000000007</v>
      </c>
      <c r="AK10" s="28">
        <v>1.1204166666666668</v>
      </c>
      <c r="AL10" s="28">
        <v>0.79604166666666665</v>
      </c>
      <c r="AM10" s="28">
        <v>1.1550000000000002</v>
      </c>
    </row>
    <row r="11" spans="1:39" s="255" customFormat="1" ht="11.45" customHeight="1">
      <c r="A11" s="1538" t="s">
        <v>1070</v>
      </c>
      <c r="B11" s="447">
        <v>6.0833333333333323E-2</v>
      </c>
      <c r="C11" s="447">
        <v>0.2014565555</v>
      </c>
      <c r="D11" s="447">
        <v>0</v>
      </c>
      <c r="E11" s="447">
        <v>3.8953055555555553E-2</v>
      </c>
      <c r="F11" s="447">
        <v>0.25167252783333338</v>
      </c>
      <c r="G11" s="447">
        <v>1.7500000000000002E-2</v>
      </c>
      <c r="H11" s="447">
        <v>8.435333333333335E-2</v>
      </c>
      <c r="I11" s="447">
        <v>0.36996055550000001</v>
      </c>
      <c r="J11" s="447">
        <v>1.0833333333333334E-2</v>
      </c>
      <c r="K11" s="447">
        <v>0.25765302783333327</v>
      </c>
      <c r="L11" s="447">
        <v>0.57783030549999992</v>
      </c>
      <c r="M11" s="447">
        <v>5.1990729166666673E-2</v>
      </c>
      <c r="N11" s="1538" t="s">
        <v>1070</v>
      </c>
      <c r="O11" s="447">
        <v>0.417658549951267</v>
      </c>
      <c r="P11" s="447">
        <v>0.42778127485021789</v>
      </c>
      <c r="Q11" s="447">
        <v>0.25705915530303031</v>
      </c>
      <c r="R11" s="447">
        <v>0.39406351697994985</v>
      </c>
      <c r="S11" s="447">
        <v>0.5138648752314815</v>
      </c>
      <c r="T11" s="447">
        <v>0.27559262629540598</v>
      </c>
      <c r="U11" s="447">
        <v>0.71116524939227155</v>
      </c>
      <c r="V11" s="447">
        <v>0.68667745396825397</v>
      </c>
      <c r="W11" s="447">
        <v>0.4250588182539683</v>
      </c>
      <c r="X11" s="447">
        <v>0.81893196351991071</v>
      </c>
      <c r="Y11" s="447">
        <v>1.0508996562908497</v>
      </c>
      <c r="Z11" s="447">
        <v>0.52704765201465198</v>
      </c>
      <c r="AA11" s="1538" t="s">
        <v>1070</v>
      </c>
      <c r="AB11" s="447">
        <v>1.0156928895833335</v>
      </c>
      <c r="AC11" s="447">
        <v>0.41749176666666665</v>
      </c>
      <c r="AD11" s="447">
        <v>0.46336752083333338</v>
      </c>
      <c r="AE11" s="447">
        <v>1.1542176916666664</v>
      </c>
      <c r="AF11" s="447">
        <v>0.57261966666666686</v>
      </c>
      <c r="AG11" s="447">
        <v>0.58483106666666662</v>
      </c>
      <c r="AH11" s="447">
        <v>0.76716723611111093</v>
      </c>
      <c r="AI11" s="447">
        <v>0.67324468055555553</v>
      </c>
      <c r="AJ11" s="447">
        <v>0.98999999999999988</v>
      </c>
      <c r="AK11" s="447">
        <v>0.94661391388888882</v>
      </c>
      <c r="AL11" s="447">
        <v>0.87057560555555547</v>
      </c>
      <c r="AM11" s="447">
        <v>1.0833333333333333</v>
      </c>
    </row>
    <row r="12" spans="1:39" s="255" customFormat="1" ht="11.45" customHeight="1">
      <c r="A12" s="1537" t="s">
        <v>1193</v>
      </c>
      <c r="B12" s="558">
        <v>0.13249999999999998</v>
      </c>
      <c r="C12" s="558">
        <v>0.18583333333333332</v>
      </c>
      <c r="D12" s="558">
        <v>0</v>
      </c>
      <c r="E12" s="558">
        <v>0.19583333333333333</v>
      </c>
      <c r="F12" s="558">
        <v>0.24333333333333332</v>
      </c>
      <c r="G12" s="558">
        <v>0</v>
      </c>
      <c r="H12" s="558">
        <v>0.34833333333333333</v>
      </c>
      <c r="I12" s="558">
        <v>0.36833333333333335</v>
      </c>
      <c r="J12" s="558">
        <v>0</v>
      </c>
      <c r="K12" s="558">
        <v>0.53416666666666668</v>
      </c>
      <c r="L12" s="558">
        <v>0.53833333333333333</v>
      </c>
      <c r="M12" s="558">
        <v>0</v>
      </c>
      <c r="N12" s="1537" t="s">
        <v>1193</v>
      </c>
      <c r="O12" s="558">
        <v>0.43916666666666665</v>
      </c>
      <c r="P12" s="558">
        <v>0.4283333333333334</v>
      </c>
      <c r="Q12" s="558">
        <v>0.29750000000000004</v>
      </c>
      <c r="R12" s="558">
        <v>0.47166666666666668</v>
      </c>
      <c r="S12" s="558">
        <v>0.50166666666666659</v>
      </c>
      <c r="T12" s="558">
        <v>0.3066666666666667</v>
      </c>
      <c r="U12" s="558">
        <v>1.1066666666666667</v>
      </c>
      <c r="V12" s="558">
        <v>0.70416666666666661</v>
      </c>
      <c r="W12" s="558">
        <v>0.48750000000000004</v>
      </c>
      <c r="X12" s="558">
        <v>1.1833333333333333</v>
      </c>
      <c r="Y12" s="558">
        <v>0.90083333333333326</v>
      </c>
      <c r="Z12" s="558">
        <v>0.51250000000000007</v>
      </c>
      <c r="AA12" s="1537" t="s">
        <v>1193</v>
      </c>
      <c r="AB12" s="558">
        <v>1.0274999999999999</v>
      </c>
      <c r="AC12" s="558">
        <v>0.43500000000000005</v>
      </c>
      <c r="AD12" s="558">
        <v>0.51666666666666672</v>
      </c>
      <c r="AE12" s="558">
        <v>1.1783333333333332</v>
      </c>
      <c r="AF12" s="558">
        <v>0.65</v>
      </c>
      <c r="AG12" s="558">
        <v>0.63166666666666671</v>
      </c>
      <c r="AH12" s="558">
        <v>0.83250000000000002</v>
      </c>
      <c r="AI12" s="558">
        <v>0.71166666666666656</v>
      </c>
      <c r="AJ12" s="558">
        <v>0.9</v>
      </c>
      <c r="AK12" s="558">
        <v>0.9558333333333332</v>
      </c>
      <c r="AL12" s="558">
        <v>0.89583333333333337</v>
      </c>
      <c r="AM12" s="558">
        <v>1.0983333333333334</v>
      </c>
    </row>
    <row r="13" spans="1:39" s="255" customFormat="1" ht="11.45" customHeight="1">
      <c r="A13" s="1538" t="s">
        <v>1225</v>
      </c>
      <c r="B13" s="447">
        <v>0.46749999999999997</v>
      </c>
      <c r="C13" s="447">
        <v>3.1666666666666676E-2</v>
      </c>
      <c r="D13" s="447">
        <v>0</v>
      </c>
      <c r="E13" s="447">
        <v>0.56916666666666671</v>
      </c>
      <c r="F13" s="447">
        <v>0.2525</v>
      </c>
      <c r="G13" s="447">
        <v>0</v>
      </c>
      <c r="H13" s="447">
        <v>0.86916666666666675</v>
      </c>
      <c r="I13" s="447">
        <v>0.21083333333333334</v>
      </c>
      <c r="J13" s="447">
        <v>0</v>
      </c>
      <c r="K13" s="447">
        <v>1.095</v>
      </c>
      <c r="L13" s="447">
        <v>0.36166666666666664</v>
      </c>
      <c r="M13" s="447">
        <v>0</v>
      </c>
      <c r="N13" s="1538" t="s">
        <v>1225</v>
      </c>
      <c r="O13" s="447">
        <v>0.48500000000000004</v>
      </c>
      <c r="P13" s="447">
        <v>0.30583333333333335</v>
      </c>
      <c r="Q13" s="447">
        <v>0.32083333333333336</v>
      </c>
      <c r="R13" s="447">
        <v>0.85083333333333344</v>
      </c>
      <c r="S13" s="447">
        <v>0.37666666666666665</v>
      </c>
      <c r="T13" s="447">
        <v>0.25500000000000006</v>
      </c>
      <c r="U13" s="447">
        <v>0.90499999999999992</v>
      </c>
      <c r="V13" s="447">
        <v>0.50666666666666671</v>
      </c>
      <c r="W13" s="447">
        <v>0.38333333333333336</v>
      </c>
      <c r="X13" s="447">
        <v>1.0366666666666666</v>
      </c>
      <c r="Y13" s="447">
        <v>0.62916666666666676</v>
      </c>
      <c r="Z13" s="447">
        <v>0.46416666666666662</v>
      </c>
      <c r="AA13" s="1538" t="s">
        <v>1225</v>
      </c>
      <c r="AB13" s="447">
        <v>1.01</v>
      </c>
      <c r="AC13" s="447">
        <v>0.44416666666666665</v>
      </c>
      <c r="AD13" s="447">
        <v>0.49166666666666664</v>
      </c>
      <c r="AE13" s="447">
        <v>1.1283333333333334</v>
      </c>
      <c r="AF13" s="447">
        <v>0.58333333333333337</v>
      </c>
      <c r="AG13" s="447">
        <v>0.47666666666666657</v>
      </c>
      <c r="AH13" s="447">
        <v>0.86666666666666659</v>
      </c>
      <c r="AI13" s="447">
        <v>0.67249999999999999</v>
      </c>
      <c r="AJ13" s="447">
        <v>0.72916666666666663</v>
      </c>
      <c r="AK13" s="447">
        <v>1.0458333333333332</v>
      </c>
      <c r="AL13" s="447">
        <v>0.80000000000000016</v>
      </c>
      <c r="AM13" s="447">
        <v>0.9291666666666667</v>
      </c>
    </row>
    <row r="14" spans="1:39" s="255" customFormat="1" ht="11.45" customHeight="1">
      <c r="A14" s="1537" t="s">
        <v>1350</v>
      </c>
      <c r="B14" s="558">
        <v>1.0958333333333334</v>
      </c>
      <c r="C14" s="558">
        <v>0.17250000000000001</v>
      </c>
      <c r="D14" s="558">
        <v>0</v>
      </c>
      <c r="E14" s="558">
        <v>1.2591666666666668</v>
      </c>
      <c r="F14" s="558">
        <v>0.23833333333333337</v>
      </c>
      <c r="G14" s="558">
        <v>0</v>
      </c>
      <c r="H14" s="558">
        <v>1.7641666666666664</v>
      </c>
      <c r="I14" s="558">
        <v>0.40750000000000003</v>
      </c>
      <c r="J14" s="558">
        <v>0</v>
      </c>
      <c r="K14" s="558">
        <v>1.9741666666666668</v>
      </c>
      <c r="L14" s="558">
        <v>0.56000000000000005</v>
      </c>
      <c r="M14" s="558">
        <v>0</v>
      </c>
      <c r="N14" s="1537" t="s">
        <v>1350</v>
      </c>
      <c r="O14" s="558">
        <v>0.77499999999999991</v>
      </c>
      <c r="P14" s="558">
        <v>0.30499999999999999</v>
      </c>
      <c r="Q14" s="558">
        <v>0.16999999999999996</v>
      </c>
      <c r="R14" s="558">
        <v>1.6150000000000002</v>
      </c>
      <c r="S14" s="558">
        <v>0.38666666666666671</v>
      </c>
      <c r="T14" s="558">
        <v>0.17833333333333332</v>
      </c>
      <c r="U14" s="558">
        <v>0.98749999999999993</v>
      </c>
      <c r="V14" s="558">
        <v>0.5083333333333333</v>
      </c>
      <c r="W14" s="558">
        <v>0.24583333333333335</v>
      </c>
      <c r="X14" s="558">
        <v>1.0891666666666666</v>
      </c>
      <c r="Y14" s="558">
        <v>0.57500000000000007</v>
      </c>
      <c r="Z14" s="558">
        <v>0.31749999999999995</v>
      </c>
      <c r="AA14" s="1537" t="s">
        <v>1350</v>
      </c>
      <c r="AB14" s="558">
        <v>0.87833333333333341</v>
      </c>
      <c r="AC14" s="558">
        <v>0.53999999999999992</v>
      </c>
      <c r="AD14" s="558">
        <v>0.52083333333333337</v>
      </c>
      <c r="AE14" s="558">
        <v>0.79499999999999993</v>
      </c>
      <c r="AF14" s="558">
        <v>0.58083333333333342</v>
      </c>
      <c r="AG14" s="558">
        <v>0.38999999999999996</v>
      </c>
      <c r="AH14" s="558">
        <v>0.85083333333333322</v>
      </c>
      <c r="AI14" s="558">
        <v>0.66500000000000004</v>
      </c>
      <c r="AJ14" s="558">
        <v>0.57250000000000012</v>
      </c>
      <c r="AK14" s="558">
        <v>1.1216666666666666</v>
      </c>
      <c r="AL14" s="558">
        <v>0.76499999999999979</v>
      </c>
      <c r="AM14" s="558">
        <v>0.72166666666666668</v>
      </c>
    </row>
    <row r="15" spans="1:39" s="255" customFormat="1" ht="11.45" customHeight="1">
      <c r="A15" s="1538" t="s">
        <v>1466</v>
      </c>
      <c r="B15" s="447">
        <v>1.7266666666666666</v>
      </c>
      <c r="C15" s="447">
        <v>0.41750000000000004</v>
      </c>
      <c r="D15" s="447">
        <v>0</v>
      </c>
      <c r="E15" s="447">
        <v>1.8933333333333333</v>
      </c>
      <c r="F15" s="447">
        <v>0.51500000000000001</v>
      </c>
      <c r="G15" s="447">
        <v>0</v>
      </c>
      <c r="H15" s="447">
        <v>2.4766666666666661</v>
      </c>
      <c r="I15" s="447">
        <v>0.75499999999999989</v>
      </c>
      <c r="J15" s="447">
        <v>0</v>
      </c>
      <c r="K15" s="447">
        <v>2.6724999999999999</v>
      </c>
      <c r="L15" s="447">
        <v>0.89916666666666678</v>
      </c>
      <c r="M15" s="447">
        <v>0</v>
      </c>
      <c r="N15" s="1538" t="s">
        <v>1466</v>
      </c>
      <c r="O15" s="447">
        <v>1.3325</v>
      </c>
      <c r="P15" s="447">
        <v>0.35666666666666669</v>
      </c>
      <c r="Q15" s="447">
        <v>0.16249999999999998</v>
      </c>
      <c r="R15" s="447">
        <v>1.6400000000000003</v>
      </c>
      <c r="S15" s="447">
        <v>0.52083333333333337</v>
      </c>
      <c r="T15" s="447">
        <v>0.16749999999999998</v>
      </c>
      <c r="U15" s="447">
        <v>1.5008333333333335</v>
      </c>
      <c r="V15" s="447">
        <v>0.56500000000000006</v>
      </c>
      <c r="W15" s="447">
        <v>0.23916666666666667</v>
      </c>
      <c r="X15" s="447">
        <v>1.6074999999999999</v>
      </c>
      <c r="Y15" s="447">
        <v>0.69249999999999989</v>
      </c>
      <c r="Z15" s="447">
        <v>0.3116666666666667</v>
      </c>
      <c r="AA15" s="1538" t="s">
        <v>1466</v>
      </c>
      <c r="AB15" s="447">
        <v>1.0008333333333332</v>
      </c>
      <c r="AC15" s="447">
        <v>0.60750000000000004</v>
      </c>
      <c r="AD15" s="447">
        <v>0.54666666666666675</v>
      </c>
      <c r="AE15" s="447">
        <v>0.80083333333333329</v>
      </c>
      <c r="AF15" s="447">
        <v>0.63749999999999996</v>
      </c>
      <c r="AG15" s="447">
        <v>0.36333333333333334</v>
      </c>
      <c r="AH15" s="447">
        <v>1.0150000000000001</v>
      </c>
      <c r="AI15" s="447">
        <v>0.76250000000000007</v>
      </c>
      <c r="AJ15" s="447">
        <v>0.53000000000000014</v>
      </c>
      <c r="AK15" s="447">
        <v>1.280833333333333</v>
      </c>
      <c r="AL15" s="447">
        <v>0.83916666666666673</v>
      </c>
      <c r="AM15" s="447">
        <v>0.70000000000000007</v>
      </c>
    </row>
    <row r="16" spans="1:39" s="255" customFormat="1" ht="11.45" customHeight="1">
      <c r="A16" s="544" t="s">
        <v>1550</v>
      </c>
      <c r="B16" s="558">
        <v>1.2866666666666668</v>
      </c>
      <c r="C16" s="558">
        <v>0.34249999999999997</v>
      </c>
      <c r="D16" s="558">
        <v>0</v>
      </c>
      <c r="E16" s="558">
        <v>1.1883333333333332</v>
      </c>
      <c r="F16" s="558">
        <v>0.41916666666666669</v>
      </c>
      <c r="G16" s="558">
        <v>0</v>
      </c>
      <c r="H16" s="558">
        <v>1.4416666666666667</v>
      </c>
      <c r="I16" s="558">
        <v>0.5675</v>
      </c>
      <c r="J16" s="558">
        <v>0</v>
      </c>
      <c r="K16" s="558">
        <v>1.47</v>
      </c>
      <c r="L16" s="558">
        <v>0.66416666666666668</v>
      </c>
      <c r="M16" s="558">
        <v>0</v>
      </c>
      <c r="N16" s="544" t="s">
        <v>1550</v>
      </c>
      <c r="O16" s="558">
        <v>1.0566666666666669</v>
      </c>
      <c r="P16" s="558">
        <v>0.40333333333333338</v>
      </c>
      <c r="Q16" s="558">
        <v>0.22333333333333336</v>
      </c>
      <c r="R16" s="558">
        <v>1.1266666666666667</v>
      </c>
      <c r="S16" s="558">
        <v>0.55666666666666675</v>
      </c>
      <c r="T16" s="558">
        <v>0.19249999999999998</v>
      </c>
      <c r="U16" s="558">
        <v>1.1741666666666668</v>
      </c>
      <c r="V16" s="558">
        <v>0.53500000000000003</v>
      </c>
      <c r="W16" s="558">
        <v>0.255</v>
      </c>
      <c r="X16" s="558">
        <v>1.3241666666666667</v>
      </c>
      <c r="Y16" s="558">
        <v>0.6991666666666666</v>
      </c>
      <c r="Z16" s="558">
        <v>0.32</v>
      </c>
      <c r="AA16" s="544" t="s">
        <v>1550</v>
      </c>
      <c r="AB16" s="558">
        <v>0.82250000000000012</v>
      </c>
      <c r="AC16" s="558">
        <v>0.4941666666666667</v>
      </c>
      <c r="AD16" s="558">
        <v>0.52750000000000008</v>
      </c>
      <c r="AE16" s="558">
        <v>0.93583333333333352</v>
      </c>
      <c r="AF16" s="558">
        <v>0.6349999999999999</v>
      </c>
      <c r="AG16" s="558">
        <v>0.37916666666666671</v>
      </c>
      <c r="AH16" s="558">
        <v>0.9291666666666667</v>
      </c>
      <c r="AI16" s="558">
        <v>0.80750000000000011</v>
      </c>
      <c r="AJ16" s="558">
        <v>0.56666666666666676</v>
      </c>
      <c r="AK16" s="558">
        <v>1.1291666666666667</v>
      </c>
      <c r="AL16" s="558">
        <v>0.81083333333333341</v>
      </c>
      <c r="AM16" s="558">
        <v>0.75</v>
      </c>
    </row>
    <row r="17" spans="1:39" s="255" customFormat="1" ht="11.45" customHeight="1">
      <c r="A17" s="585" t="s">
        <v>1606</v>
      </c>
      <c r="B17" s="447">
        <v>0.13500000000000004</v>
      </c>
      <c r="C17" s="447">
        <v>5.2500000000000012E-2</v>
      </c>
      <c r="D17" s="447">
        <v>0</v>
      </c>
      <c r="E17" s="447">
        <v>0.18333333333333332</v>
      </c>
      <c r="F17" s="447">
        <v>7.4166666666666672E-2</v>
      </c>
      <c r="G17" s="447">
        <v>0</v>
      </c>
      <c r="H17" s="447">
        <v>0.18833333333333332</v>
      </c>
      <c r="I17" s="447">
        <v>0.10000000000000002</v>
      </c>
      <c r="J17" s="447">
        <v>0</v>
      </c>
      <c r="K17" s="447">
        <v>0.22583333333333333</v>
      </c>
      <c r="L17" s="447">
        <v>0.15250000000000002</v>
      </c>
      <c r="M17" s="447">
        <v>0</v>
      </c>
      <c r="N17" s="585" t="s">
        <v>1606</v>
      </c>
      <c r="O17" s="447">
        <v>0.27916666666666662</v>
      </c>
      <c r="P17" s="447">
        <v>0.12083333333333336</v>
      </c>
      <c r="Q17" s="447">
        <v>8.2500000000000018E-2</v>
      </c>
      <c r="R17" s="447">
        <v>0.46666666666666673</v>
      </c>
      <c r="S17" s="447">
        <v>0.27333333333333337</v>
      </c>
      <c r="T17" s="447">
        <v>0.14833333333333332</v>
      </c>
      <c r="U17" s="447">
        <v>0.46333333333333321</v>
      </c>
      <c r="V17" s="447">
        <v>0.31583333333333335</v>
      </c>
      <c r="W17" s="447">
        <v>0.22916666666666663</v>
      </c>
      <c r="X17" s="447">
        <v>0.69916666666666671</v>
      </c>
      <c r="Y17" s="447">
        <v>0.49</v>
      </c>
      <c r="Z17" s="447">
        <v>0.32</v>
      </c>
      <c r="AA17" s="585" t="s">
        <v>1606</v>
      </c>
      <c r="AB17" s="447">
        <v>0.48583333333333334</v>
      </c>
      <c r="AC17" s="447">
        <v>0.38250000000000001</v>
      </c>
      <c r="AD17" s="447">
        <v>0.54333333333333333</v>
      </c>
      <c r="AE17" s="447">
        <v>0.75083333333333346</v>
      </c>
      <c r="AF17" s="447">
        <v>0.46249999999999997</v>
      </c>
      <c r="AG17" s="447">
        <v>0.46249999999999997</v>
      </c>
      <c r="AH17" s="447">
        <v>0.57999999999999996</v>
      </c>
      <c r="AI17" s="447">
        <v>0.71999999999999986</v>
      </c>
      <c r="AJ17" s="447">
        <v>0.69499999999999995</v>
      </c>
      <c r="AK17" s="447">
        <v>0.6758333333333334</v>
      </c>
      <c r="AL17" s="447">
        <v>0.69750000000000012</v>
      </c>
      <c r="AM17" s="447">
        <v>0.92499999999999993</v>
      </c>
    </row>
    <row r="18" spans="1:39" s="255" customFormat="1" ht="11.45" customHeight="1">
      <c r="A18" s="570" t="s">
        <v>1927</v>
      </c>
      <c r="B18" s="552">
        <v>0.22071041666666669</v>
      </c>
      <c r="C18" s="552">
        <v>0.26952083333333332</v>
      </c>
      <c r="D18" s="552">
        <v>0</v>
      </c>
      <c r="E18" s="552">
        <v>0.38450166666666669</v>
      </c>
      <c r="F18" s="552">
        <v>0.39549374999999998</v>
      </c>
      <c r="G18" s="552">
        <v>0</v>
      </c>
      <c r="H18" s="552">
        <v>0.63203125000000004</v>
      </c>
      <c r="I18" s="552">
        <v>0.67972916666666672</v>
      </c>
      <c r="J18" s="552">
        <v>0</v>
      </c>
      <c r="K18" s="552">
        <v>0.89655624999999983</v>
      </c>
      <c r="L18" s="552">
        <v>0.42794375000000001</v>
      </c>
      <c r="M18" s="552">
        <v>0</v>
      </c>
      <c r="N18" s="570" t="s">
        <v>1927</v>
      </c>
      <c r="O18" s="552">
        <v>0.31532734749455343</v>
      </c>
      <c r="P18" s="552">
        <v>0.20017037878787883</v>
      </c>
      <c r="Q18" s="552">
        <v>3.4999999999999996E-2</v>
      </c>
      <c r="R18" s="552">
        <v>0.53182662782364398</v>
      </c>
      <c r="S18" s="552">
        <v>0.31519323717948705</v>
      </c>
      <c r="T18" s="552">
        <v>0.11994444444444451</v>
      </c>
      <c r="U18" s="552">
        <v>0.57585807870370376</v>
      </c>
      <c r="V18" s="552">
        <v>0.43620674464424458</v>
      </c>
      <c r="W18" s="552">
        <v>0.18409722222222216</v>
      </c>
      <c r="X18" s="552">
        <v>0.79956950202815014</v>
      </c>
      <c r="Y18" s="552">
        <v>0.44954711182336188</v>
      </c>
      <c r="Z18" s="552">
        <v>0.255</v>
      </c>
      <c r="AA18" s="570" t="s">
        <v>1927</v>
      </c>
      <c r="AB18" s="552">
        <v>0.42428055555555561</v>
      </c>
      <c r="AC18" s="552">
        <v>0.38284583333333333</v>
      </c>
      <c r="AD18" s="552">
        <v>0.53999999999999992</v>
      </c>
      <c r="AE18" s="552">
        <v>0.53083791666666669</v>
      </c>
      <c r="AF18" s="552">
        <v>0.47707499999999992</v>
      </c>
      <c r="AG18" s="552">
        <v>0.5</v>
      </c>
      <c r="AH18" s="552">
        <v>0.51206458333333338</v>
      </c>
      <c r="AI18" s="552">
        <v>0.64387083333333328</v>
      </c>
      <c r="AJ18" s="552">
        <v>0.75</v>
      </c>
      <c r="AK18" s="552">
        <v>0.57374375000000011</v>
      </c>
      <c r="AL18" s="552">
        <v>0.71373333333333344</v>
      </c>
      <c r="AM18" s="552">
        <v>1</v>
      </c>
    </row>
    <row r="19" spans="1:39" s="255" customFormat="1" ht="11.45" customHeight="1">
      <c r="A19" s="621" t="s">
        <v>2183</v>
      </c>
      <c r="B19" s="622">
        <v>2.81717254901961</v>
      </c>
      <c r="C19" s="622">
        <v>1.8811113636363599</v>
      </c>
      <c r="D19" s="622">
        <v>0</v>
      </c>
      <c r="E19" s="622">
        <v>3.15982352941176</v>
      </c>
      <c r="F19" s="622">
        <v>2.5495000000000001</v>
      </c>
      <c r="G19" s="622">
        <v>0</v>
      </c>
      <c r="H19" s="622">
        <v>3.9451955555555598</v>
      </c>
      <c r="I19" s="622">
        <v>3.0833078947368402</v>
      </c>
      <c r="J19" s="622">
        <v>0</v>
      </c>
      <c r="K19" s="622">
        <v>4.2595311111111096</v>
      </c>
      <c r="L19" s="622">
        <v>2.4236363636363598</v>
      </c>
      <c r="M19" s="622">
        <v>0</v>
      </c>
      <c r="N19" s="621" t="s">
        <v>2183</v>
      </c>
      <c r="O19" s="622">
        <v>2.0001386243386201</v>
      </c>
      <c r="P19" s="622">
        <v>1.5466645669291299</v>
      </c>
      <c r="Q19" s="622">
        <v>0.75281818181818205</v>
      </c>
      <c r="R19" s="622">
        <v>2.5074815789473699</v>
      </c>
      <c r="S19" s="622">
        <v>1.68806285714286</v>
      </c>
      <c r="T19" s="622">
        <v>0.79199350649350597</v>
      </c>
      <c r="U19" s="622">
        <v>2.7318236180904498</v>
      </c>
      <c r="V19" s="622">
        <v>1.9837176056338</v>
      </c>
      <c r="W19" s="622">
        <v>0.86837777777777803</v>
      </c>
      <c r="X19" s="622">
        <v>2.8690920212765998</v>
      </c>
      <c r="Y19" s="622">
        <v>1.9108186915887899</v>
      </c>
      <c r="Z19" s="622">
        <v>0.91788947368421003</v>
      </c>
      <c r="AA19" s="621" t="s">
        <v>2183</v>
      </c>
      <c r="AB19" s="622">
        <v>1.4918097560975601</v>
      </c>
      <c r="AC19" s="622">
        <v>1.0596965517241399</v>
      </c>
      <c r="AD19" s="622">
        <v>0.58391304347826101</v>
      </c>
      <c r="AE19" s="622">
        <v>1.78563157894737</v>
      </c>
      <c r="AF19" s="622">
        <v>1.1464483870967701</v>
      </c>
      <c r="AG19" s="622">
        <v>0.54166666666666696</v>
      </c>
      <c r="AH19" s="622">
        <v>1.8759152173913001</v>
      </c>
      <c r="AI19" s="622">
        <v>0.72546500000000003</v>
      </c>
      <c r="AJ19" s="622">
        <v>0.77083333333333304</v>
      </c>
      <c r="AK19" s="622">
        <v>1.76011956521739</v>
      </c>
      <c r="AL19" s="622">
        <v>0.70540000000000003</v>
      </c>
      <c r="AM19" s="622">
        <v>1</v>
      </c>
    </row>
    <row r="20" spans="1:39" s="255" customFormat="1" ht="11.45" customHeight="1">
      <c r="A20" s="544" t="s">
        <v>565</v>
      </c>
      <c r="B20" s="231">
        <v>1.1800999999999999</v>
      </c>
      <c r="C20" s="558">
        <v>0.89303999999999994</v>
      </c>
      <c r="D20" s="558">
        <v>0</v>
      </c>
      <c r="E20" s="558">
        <v>1.6161799999999999</v>
      </c>
      <c r="F20" s="558">
        <v>1.20712</v>
      </c>
      <c r="G20" s="558">
        <v>0</v>
      </c>
      <c r="H20" s="558">
        <v>2.5818750000000001</v>
      </c>
      <c r="I20" s="558">
        <v>2.0512000000000001</v>
      </c>
      <c r="J20" s="558">
        <v>0</v>
      </c>
      <c r="K20" s="558">
        <v>3.2277499999999999</v>
      </c>
      <c r="L20" s="558">
        <v>2.11</v>
      </c>
      <c r="M20" s="558">
        <v>0</v>
      </c>
      <c r="N20" s="544" t="s">
        <v>565</v>
      </c>
      <c r="O20" s="558">
        <v>1.0422</v>
      </c>
      <c r="P20" s="558">
        <v>0.54191818181818197</v>
      </c>
      <c r="Q20" s="558">
        <v>3.1666666666666697E-2</v>
      </c>
      <c r="R20" s="558">
        <v>1.38604117647059</v>
      </c>
      <c r="S20" s="558">
        <v>0.75642500000000001</v>
      </c>
      <c r="T20" s="558">
        <v>0.11650000000000001</v>
      </c>
      <c r="U20" s="558">
        <v>1.5527411764705901</v>
      </c>
      <c r="V20" s="558">
        <v>0.99038333333333295</v>
      </c>
      <c r="W20" s="558">
        <v>0.19500000000000001</v>
      </c>
      <c r="X20" s="558">
        <v>1.87797058823529</v>
      </c>
      <c r="Y20" s="558">
        <v>0.70601250000000004</v>
      </c>
      <c r="Z20" s="558">
        <v>0.28000000000000003</v>
      </c>
      <c r="AA20" s="544" t="s">
        <v>565</v>
      </c>
      <c r="AB20" s="558">
        <v>0.889066666666667</v>
      </c>
      <c r="AC20" s="558">
        <v>0.62339999999999995</v>
      </c>
      <c r="AD20" s="558">
        <v>0.56499999999999995</v>
      </c>
      <c r="AE20" s="558">
        <v>0.6794</v>
      </c>
      <c r="AF20" s="558">
        <v>0.63270000000000004</v>
      </c>
      <c r="AG20" s="558">
        <v>0.5</v>
      </c>
      <c r="AH20" s="558">
        <v>0.69264999999999999</v>
      </c>
      <c r="AI20" s="558">
        <v>0.58494999999999997</v>
      </c>
      <c r="AJ20" s="558">
        <v>0.75</v>
      </c>
      <c r="AK20" s="558">
        <v>0.64780000000000004</v>
      </c>
      <c r="AL20" s="558">
        <v>1</v>
      </c>
      <c r="AM20" s="558">
        <v>1</v>
      </c>
    </row>
    <row r="21" spans="1:39" s="255" customFormat="1" ht="11.45" customHeight="1">
      <c r="A21" s="585" t="s">
        <v>566</v>
      </c>
      <c r="B21" s="290">
        <v>2.2162999999999999</v>
      </c>
      <c r="C21" s="447">
        <v>1.5696000000000001</v>
      </c>
      <c r="D21" s="447">
        <v>0</v>
      </c>
      <c r="E21" s="447">
        <v>2.7491333333333299</v>
      </c>
      <c r="F21" s="447">
        <v>2.01046666666667</v>
      </c>
      <c r="G21" s="447">
        <v>0</v>
      </c>
      <c r="H21" s="447">
        <v>3.2964333333333302</v>
      </c>
      <c r="I21" s="447">
        <v>2.6147</v>
      </c>
      <c r="J21" s="447">
        <v>0</v>
      </c>
      <c r="K21" s="447">
        <v>3.8115000000000001</v>
      </c>
      <c r="L21" s="447">
        <v>2.4</v>
      </c>
      <c r="M21" s="447">
        <v>0</v>
      </c>
      <c r="N21" s="585" t="s">
        <v>566</v>
      </c>
      <c r="O21" s="447">
        <v>1.4382352941176499</v>
      </c>
      <c r="P21" s="447">
        <v>0.91134999999999999</v>
      </c>
      <c r="Q21" s="447">
        <v>0.02</v>
      </c>
      <c r="R21" s="447">
        <v>1.83765</v>
      </c>
      <c r="S21" s="447">
        <v>1.1552384615384601</v>
      </c>
      <c r="T21" s="447">
        <v>8.8333333333333305E-2</v>
      </c>
      <c r="U21" s="447">
        <v>2.2511055555555601</v>
      </c>
      <c r="V21" s="447">
        <v>1.4751769230769201</v>
      </c>
      <c r="W21" s="447">
        <v>0.130833333333333</v>
      </c>
      <c r="X21" s="447">
        <v>2.4270578947368402</v>
      </c>
      <c r="Y21" s="447">
        <v>1.37172727272727</v>
      </c>
      <c r="Z21" s="447">
        <v>0.17249999999999999</v>
      </c>
      <c r="AA21" s="585" t="s">
        <v>566</v>
      </c>
      <c r="AB21" s="447">
        <v>0.52</v>
      </c>
      <c r="AC21" s="447">
        <v>0.65480000000000005</v>
      </c>
      <c r="AD21" s="447">
        <v>0.56499999999999995</v>
      </c>
      <c r="AE21" s="447">
        <v>0.83487999999999996</v>
      </c>
      <c r="AF21" s="447">
        <v>0.77836666666666698</v>
      </c>
      <c r="AG21" s="447">
        <v>0.5</v>
      </c>
      <c r="AH21" s="447">
        <v>0.80047500000000005</v>
      </c>
      <c r="AI21" s="447">
        <v>0.55500000000000005</v>
      </c>
      <c r="AJ21" s="447">
        <v>0.75</v>
      </c>
      <c r="AK21" s="447">
        <v>0.67754999999999999</v>
      </c>
      <c r="AL21" s="447">
        <v>1</v>
      </c>
      <c r="AM21" s="447">
        <v>1</v>
      </c>
    </row>
    <row r="22" spans="1:39" s="255" customFormat="1" ht="11.45" customHeight="1">
      <c r="A22" s="544" t="s">
        <v>560</v>
      </c>
      <c r="B22" s="231">
        <v>1.6681333333333299</v>
      </c>
      <c r="C22" s="558">
        <v>1.3474333333333299</v>
      </c>
      <c r="D22" s="558">
        <v>0</v>
      </c>
      <c r="E22" s="558">
        <v>2.0122</v>
      </c>
      <c r="F22" s="558">
        <v>1.7768999999999999</v>
      </c>
      <c r="G22" s="558">
        <v>0</v>
      </c>
      <c r="H22" s="558">
        <v>3.5878999999999999</v>
      </c>
      <c r="I22" s="558">
        <v>3.3936000000000002</v>
      </c>
      <c r="J22" s="558">
        <v>0</v>
      </c>
      <c r="K22" s="558">
        <v>4.1275000000000004</v>
      </c>
      <c r="L22" s="558">
        <v>0</v>
      </c>
      <c r="M22" s="558">
        <v>0</v>
      </c>
      <c r="N22" s="544" t="s">
        <v>560</v>
      </c>
      <c r="O22" s="558">
        <v>1.6063833333333299</v>
      </c>
      <c r="P22" s="558">
        <v>1.2950999999999999</v>
      </c>
      <c r="Q22" s="558">
        <v>0.01</v>
      </c>
      <c r="R22" s="558">
        <v>1.9527214285714301</v>
      </c>
      <c r="S22" s="558">
        <v>1.3877222222222201</v>
      </c>
      <c r="T22" s="558">
        <v>0.105</v>
      </c>
      <c r="U22" s="558">
        <v>2.3097666666666701</v>
      </c>
      <c r="V22" s="558">
        <v>1.7390666666666701</v>
      </c>
      <c r="W22" s="558">
        <v>0.34720000000000001</v>
      </c>
      <c r="X22" s="558">
        <v>2.7059230769230802</v>
      </c>
      <c r="Y22" s="558">
        <v>1.8437714285714299</v>
      </c>
      <c r="Z22" s="558">
        <v>0.20499999999999999</v>
      </c>
      <c r="AA22" s="544" t="s">
        <v>560</v>
      </c>
      <c r="AB22" s="558">
        <v>0.52854999999999996</v>
      </c>
      <c r="AC22" s="558">
        <v>0.38750000000000001</v>
      </c>
      <c r="AD22" s="558">
        <v>0.56499999999999995</v>
      </c>
      <c r="AE22" s="558">
        <v>1.43333333333333</v>
      </c>
      <c r="AF22" s="558">
        <v>0.53705000000000003</v>
      </c>
      <c r="AG22" s="558">
        <v>0.5</v>
      </c>
      <c r="AH22" s="558">
        <v>1.6571</v>
      </c>
      <c r="AI22" s="558">
        <v>0.56820000000000004</v>
      </c>
      <c r="AJ22" s="558">
        <v>0.75</v>
      </c>
      <c r="AK22" s="558">
        <v>1.82303333333333</v>
      </c>
      <c r="AL22" s="558">
        <v>0.66249999999999998</v>
      </c>
      <c r="AM22" s="558">
        <v>1</v>
      </c>
    </row>
    <row r="23" spans="1:39" s="255" customFormat="1" ht="11.45" customHeight="1">
      <c r="A23" s="585" t="s">
        <v>567</v>
      </c>
      <c r="B23" s="1311">
        <v>3.1544249999999998</v>
      </c>
      <c r="C23" s="1311">
        <v>2.3609</v>
      </c>
      <c r="D23" s="1311">
        <v>0</v>
      </c>
      <c r="E23" s="1311">
        <v>3.7686250000000001</v>
      </c>
      <c r="F23" s="1311">
        <v>3.0812750000000002</v>
      </c>
      <c r="G23" s="1311">
        <v>0</v>
      </c>
      <c r="H23" s="1311">
        <v>4.2827000000000002</v>
      </c>
      <c r="I23" s="1311">
        <v>3.9324750000000002</v>
      </c>
      <c r="J23" s="1311">
        <v>0</v>
      </c>
      <c r="K23" s="1311">
        <v>4.8122499999999997</v>
      </c>
      <c r="L23" s="1311">
        <v>3.61</v>
      </c>
      <c r="M23" s="1311">
        <v>0</v>
      </c>
      <c r="N23" s="585" t="s">
        <v>567</v>
      </c>
      <c r="O23" s="1312">
        <v>1.86513529411765</v>
      </c>
      <c r="P23" s="1312">
        <v>1.27776666666667</v>
      </c>
      <c r="Q23" s="1312">
        <v>0.31133333333333302</v>
      </c>
      <c r="R23" s="1312">
        <v>2.4048941176470602</v>
      </c>
      <c r="S23" s="1312">
        <v>1.5547307692307699</v>
      </c>
      <c r="T23" s="1312">
        <v>0.45100000000000001</v>
      </c>
      <c r="U23" s="1312">
        <v>2.75549444444444</v>
      </c>
      <c r="V23" s="1312">
        <v>1.9285538461538501</v>
      </c>
      <c r="W23" s="1312">
        <v>0.73575000000000002</v>
      </c>
      <c r="X23" s="1312">
        <v>2.9853176470588201</v>
      </c>
      <c r="Y23" s="1312">
        <v>1.9206000000000001</v>
      </c>
      <c r="Z23" s="1312">
        <v>0.79428571428571404</v>
      </c>
      <c r="AA23" s="585" t="s">
        <v>567</v>
      </c>
      <c r="AB23" s="1313">
        <v>1.1800333333333299</v>
      </c>
      <c r="AC23" s="1313">
        <v>0.755</v>
      </c>
      <c r="AD23" s="1313">
        <v>0.56499999999999995</v>
      </c>
      <c r="AE23" s="1313">
        <v>1.4816400000000001</v>
      </c>
      <c r="AF23" s="1313">
        <v>0.82086666666666697</v>
      </c>
      <c r="AG23" s="1313">
        <v>0.5</v>
      </c>
      <c r="AH23" s="1313">
        <v>2.2874333333333299</v>
      </c>
      <c r="AI23" s="1313">
        <v>0.56999999999999995</v>
      </c>
      <c r="AJ23" s="1313">
        <v>0.75</v>
      </c>
      <c r="AK23" s="1313">
        <v>1.627075</v>
      </c>
      <c r="AL23" s="1313">
        <v>0.65934999999999999</v>
      </c>
      <c r="AM23" s="1313">
        <v>1</v>
      </c>
    </row>
    <row r="24" spans="1:39" s="255" customFormat="1" ht="11.45" customHeight="1">
      <c r="A24" s="544" t="s">
        <v>568</v>
      </c>
      <c r="B24" s="1319">
        <v>2.9272200000000002</v>
      </c>
      <c r="C24" s="1319">
        <v>2.2197399999999998</v>
      </c>
      <c r="D24" s="1319">
        <v>0</v>
      </c>
      <c r="E24" s="1319">
        <v>3.4677199999999999</v>
      </c>
      <c r="F24" s="1319">
        <v>2.6247600000000002</v>
      </c>
      <c r="G24" s="1319">
        <v>0</v>
      </c>
      <c r="H24" s="1319">
        <v>4.8097000000000003</v>
      </c>
      <c r="I24" s="1319">
        <v>4.0413500000000004</v>
      </c>
      <c r="J24" s="1319">
        <v>0</v>
      </c>
      <c r="K24" s="1319">
        <v>5.2746000000000004</v>
      </c>
      <c r="L24" s="1319">
        <v>4.3</v>
      </c>
      <c r="M24" s="1319">
        <v>0</v>
      </c>
      <c r="N24" s="544" t="s">
        <v>568</v>
      </c>
      <c r="O24" s="1320">
        <v>2.0389499999999998</v>
      </c>
      <c r="P24" s="1320">
        <v>1.5418499999999999</v>
      </c>
      <c r="Q24" s="1320">
        <v>0.42599999999999999</v>
      </c>
      <c r="R24" s="1320">
        <v>2.7240294117647101</v>
      </c>
      <c r="S24" s="1320">
        <v>1.6566384615384599</v>
      </c>
      <c r="T24" s="1320">
        <v>0.54314285714285704</v>
      </c>
      <c r="U24" s="1320">
        <v>2.9229833333333302</v>
      </c>
      <c r="V24" s="1320">
        <v>2.0389230769230799</v>
      </c>
      <c r="W24" s="1320">
        <v>0.78174999999999994</v>
      </c>
      <c r="X24" s="1320">
        <v>3.0679882352941199</v>
      </c>
      <c r="Y24" s="1320">
        <v>2.1520000000000001</v>
      </c>
      <c r="Z24" s="1320">
        <v>0.84214285714285697</v>
      </c>
      <c r="AA24" s="544" t="s">
        <v>568</v>
      </c>
      <c r="AB24" s="1321">
        <v>1.18</v>
      </c>
      <c r="AC24" s="1321">
        <v>0.82</v>
      </c>
      <c r="AD24" s="1321">
        <v>0.56499999999999995</v>
      </c>
      <c r="AE24" s="1321">
        <v>2.0303</v>
      </c>
      <c r="AF24" s="1321">
        <v>1.02</v>
      </c>
      <c r="AG24" s="1321">
        <v>0.5</v>
      </c>
      <c r="AH24" s="1321">
        <v>1.7730999999999999</v>
      </c>
      <c r="AI24" s="1321">
        <v>0.56999999999999995</v>
      </c>
      <c r="AJ24" s="1321">
        <v>0.75</v>
      </c>
      <c r="AK24" s="1321">
        <v>1.7448999999999999</v>
      </c>
      <c r="AL24" s="1321">
        <v>0.66069999999999995</v>
      </c>
      <c r="AM24" s="1321">
        <v>1</v>
      </c>
    </row>
    <row r="25" spans="1:39" s="255" customFormat="1" ht="11.45" customHeight="1">
      <c r="A25" s="585" t="s">
        <v>561</v>
      </c>
      <c r="B25" s="1333">
        <v>2.6480000000000001</v>
      </c>
      <c r="C25" s="1333">
        <v>1.9259999999999999</v>
      </c>
      <c r="D25" s="1333">
        <v>0</v>
      </c>
      <c r="E25" s="1333">
        <v>3.08</v>
      </c>
      <c r="F25" s="1333">
        <v>2.2519999999999998</v>
      </c>
      <c r="G25" s="1333">
        <v>0</v>
      </c>
      <c r="H25" s="1333">
        <v>4.2774999999999999</v>
      </c>
      <c r="I25" s="1333">
        <v>3.3675000000000002</v>
      </c>
      <c r="J25" s="1333">
        <v>0</v>
      </c>
      <c r="K25" s="1333">
        <v>4.5225</v>
      </c>
      <c r="L25" s="1333">
        <v>2.14</v>
      </c>
      <c r="M25" s="1333">
        <v>0</v>
      </c>
      <c r="N25" s="585" t="s">
        <v>561</v>
      </c>
      <c r="O25" s="1333">
        <v>2.0894117647058801</v>
      </c>
      <c r="P25" s="1333">
        <v>1.7581818181818201</v>
      </c>
      <c r="Q25" s="1333">
        <v>0.70499999999999996</v>
      </c>
      <c r="R25" s="1333">
        <v>2.7211764705882402</v>
      </c>
      <c r="S25" s="1333">
        <v>1.7823076923076899</v>
      </c>
      <c r="T25" s="1333">
        <v>0.75857142857142801</v>
      </c>
      <c r="U25" s="1333">
        <v>2.89611111111111</v>
      </c>
      <c r="V25" s="1333">
        <v>2.06</v>
      </c>
      <c r="W25" s="1333">
        <v>0.95125000000000004</v>
      </c>
      <c r="X25" s="1333">
        <v>3.1852941176470599</v>
      </c>
      <c r="Y25" s="1333">
        <v>1.9730000000000001</v>
      </c>
      <c r="Z25" s="1333">
        <v>1.0585714285714301</v>
      </c>
      <c r="AA25" s="585" t="s">
        <v>561</v>
      </c>
      <c r="AB25" s="1333">
        <v>1.5825</v>
      </c>
      <c r="AC25" s="1333">
        <v>0.94666666666666699</v>
      </c>
      <c r="AD25" s="1333">
        <v>0.56499999999999995</v>
      </c>
      <c r="AE25" s="1333">
        <v>2.0019999999999998</v>
      </c>
      <c r="AF25" s="1333">
        <v>1.03</v>
      </c>
      <c r="AG25" s="1333">
        <v>0.5</v>
      </c>
      <c r="AH25" s="1333">
        <v>1.8325</v>
      </c>
      <c r="AI25" s="1333">
        <v>0.85</v>
      </c>
      <c r="AJ25" s="1333">
        <v>0.75</v>
      </c>
      <c r="AK25" s="1333">
        <v>1.8574999999999999</v>
      </c>
      <c r="AL25" s="1333">
        <v>0.66</v>
      </c>
      <c r="AM25" s="1333">
        <v>1</v>
      </c>
    </row>
    <row r="26" spans="1:39" s="255" customFormat="1" ht="11.45" customHeight="1">
      <c r="A26" s="544" t="s">
        <v>569</v>
      </c>
      <c r="B26" s="1345">
        <v>3.1699250000000001</v>
      </c>
      <c r="C26" s="1345">
        <v>2.3282250000000002</v>
      </c>
      <c r="D26" s="1345">
        <v>0</v>
      </c>
      <c r="E26" s="1345">
        <v>3.5287999999999999</v>
      </c>
      <c r="F26" s="1345">
        <v>2.668825</v>
      </c>
      <c r="G26" s="1345">
        <v>0</v>
      </c>
      <c r="H26" s="1345">
        <v>3.8818000000000001</v>
      </c>
      <c r="I26" s="1345">
        <v>3.1211500000000001</v>
      </c>
      <c r="J26" s="1345">
        <v>0</v>
      </c>
      <c r="K26" s="1345">
        <v>4.0815250000000001</v>
      </c>
      <c r="L26" s="1345">
        <v>1.79</v>
      </c>
      <c r="M26" s="1345">
        <v>0</v>
      </c>
      <c r="N26" s="544" t="s">
        <v>569</v>
      </c>
      <c r="O26" s="1345">
        <v>2.1237294117647099</v>
      </c>
      <c r="P26" s="1345">
        <v>1.82094166666667</v>
      </c>
      <c r="Q26" s="1345">
        <v>0.857757142857143</v>
      </c>
      <c r="R26" s="1345">
        <v>2.8846500000000002</v>
      </c>
      <c r="S26" s="1345">
        <v>1.881375</v>
      </c>
      <c r="T26" s="1345">
        <v>1.01351428571429</v>
      </c>
      <c r="U26" s="1345">
        <v>3.0198411764705901</v>
      </c>
      <c r="V26" s="1345">
        <v>2.15513333333333</v>
      </c>
      <c r="W26" s="1345">
        <v>0.99677142857142897</v>
      </c>
      <c r="X26" s="1345">
        <v>3.11086666666667</v>
      </c>
      <c r="Y26" s="1345">
        <v>2.024375</v>
      </c>
      <c r="Z26" s="1345">
        <v>1.18183333333333</v>
      </c>
      <c r="AA26" s="544" t="s">
        <v>569</v>
      </c>
      <c r="AB26" s="1345">
        <v>1.5745</v>
      </c>
      <c r="AC26" s="1345">
        <v>1.39</v>
      </c>
      <c r="AD26" s="1345">
        <v>0.56499999999999995</v>
      </c>
      <c r="AE26" s="1345">
        <v>2.0478200000000002</v>
      </c>
      <c r="AF26" s="1345">
        <v>1.1466666666666701</v>
      </c>
      <c r="AG26" s="1345">
        <v>0.5</v>
      </c>
      <c r="AH26" s="1345">
        <v>1.9017999999999999</v>
      </c>
      <c r="AI26" s="1345">
        <v>0.85</v>
      </c>
      <c r="AJ26" s="1345">
        <v>0.75</v>
      </c>
      <c r="AK26" s="1345">
        <v>1.8611249999999999</v>
      </c>
      <c r="AL26" s="1345">
        <v>0.65959999999999996</v>
      </c>
      <c r="AM26" s="1345">
        <v>1</v>
      </c>
    </row>
    <row r="27" spans="1:39" s="255" customFormat="1" ht="11.45" customHeight="1">
      <c r="A27" s="585" t="s">
        <v>570</v>
      </c>
      <c r="B27" s="1333">
        <v>3.3087</v>
      </c>
      <c r="C27" s="1333">
        <v>2.6006499999999999</v>
      </c>
      <c r="D27" s="1333">
        <v>0</v>
      </c>
      <c r="E27" s="1333">
        <v>3.4351500000000001</v>
      </c>
      <c r="F27" s="1333">
        <v>2.8826499999999999</v>
      </c>
      <c r="G27" s="1333">
        <v>0</v>
      </c>
      <c r="H27" s="1333">
        <v>3.9281000000000001</v>
      </c>
      <c r="I27" s="1333">
        <v>3.2561749999999998</v>
      </c>
      <c r="J27" s="1333">
        <v>0</v>
      </c>
      <c r="K27" s="1333">
        <v>4.1534250000000004</v>
      </c>
      <c r="L27" s="1333">
        <v>1.91</v>
      </c>
      <c r="M27" s="1333">
        <v>0</v>
      </c>
      <c r="N27" s="585" t="s">
        <v>570</v>
      </c>
      <c r="O27" s="1333">
        <v>2.14007647058824</v>
      </c>
      <c r="P27" s="1333">
        <v>1.8339909090909099</v>
      </c>
      <c r="Q27" s="1333">
        <v>0.93308571428571396</v>
      </c>
      <c r="R27" s="1333">
        <v>2.7532058823529399</v>
      </c>
      <c r="S27" s="1333">
        <v>1.8150769230769199</v>
      </c>
      <c r="T27" s="1333">
        <v>0.92349999999999999</v>
      </c>
      <c r="U27" s="1333">
        <v>2.80540588235294</v>
      </c>
      <c r="V27" s="1333">
        <v>2.20777857142857</v>
      </c>
      <c r="W27" s="1333">
        <v>0.9911375</v>
      </c>
      <c r="X27" s="1333">
        <v>3.0229124999999999</v>
      </c>
      <c r="Y27" s="1333">
        <v>1.87838888888889</v>
      </c>
      <c r="Z27" s="1333">
        <v>0.99093750000000003</v>
      </c>
      <c r="AA27" s="585" t="s">
        <v>570</v>
      </c>
      <c r="AB27" s="1333">
        <v>1.632125</v>
      </c>
      <c r="AC27" s="1333">
        <v>1.0633333333333299</v>
      </c>
      <c r="AD27" s="1333">
        <v>0.56499999999999995</v>
      </c>
      <c r="AE27" s="1333">
        <v>2.1444200000000002</v>
      </c>
      <c r="AF27" s="1333">
        <v>1.575</v>
      </c>
      <c r="AG27" s="1333">
        <v>0.5</v>
      </c>
      <c r="AH27" s="1333">
        <v>2.0254500000000002</v>
      </c>
      <c r="AI27" s="1333">
        <v>0.85</v>
      </c>
      <c r="AJ27" s="1333">
        <v>0.75</v>
      </c>
      <c r="AK27" s="1333">
        <v>1.8911500000000001</v>
      </c>
      <c r="AL27" s="1333">
        <v>0.65959999999999996</v>
      </c>
      <c r="AM27" s="1333">
        <v>1</v>
      </c>
    </row>
    <row r="28" spans="1:39" s="255" customFormat="1" ht="11.45" customHeight="1">
      <c r="A28" s="544" t="s">
        <v>562</v>
      </c>
      <c r="B28" s="1319">
        <v>2.77</v>
      </c>
      <c r="C28" s="1319">
        <v>2.2559999999999998</v>
      </c>
      <c r="D28" s="1319">
        <v>0</v>
      </c>
      <c r="E28" s="1319">
        <v>3</v>
      </c>
      <c r="F28" s="1319">
        <v>2.4420000000000002</v>
      </c>
      <c r="G28" s="1319">
        <v>0</v>
      </c>
      <c r="H28" s="1319">
        <v>3.9275000000000002</v>
      </c>
      <c r="I28" s="1319">
        <v>3.3824999999999998</v>
      </c>
      <c r="J28" s="1319">
        <v>0</v>
      </c>
      <c r="K28" s="1319">
        <v>4.03</v>
      </c>
      <c r="L28" s="1319">
        <v>2.0299999999999998</v>
      </c>
      <c r="M28" s="1319">
        <v>0</v>
      </c>
      <c r="N28" s="544" t="s">
        <v>562</v>
      </c>
      <c r="O28" s="1319">
        <v>2.1506249999999998</v>
      </c>
      <c r="P28" s="1319">
        <v>1.90083333333333</v>
      </c>
      <c r="Q28" s="1319">
        <v>0.93500000000000005</v>
      </c>
      <c r="R28" s="1319">
        <v>2.6749999999999998</v>
      </c>
      <c r="S28" s="1319">
        <v>1.88916666666667</v>
      </c>
      <c r="T28" s="1319">
        <v>0.90444444444444405</v>
      </c>
      <c r="U28" s="1319">
        <v>2.6547058823529399</v>
      </c>
      <c r="V28" s="1319">
        <v>2.24384615384615</v>
      </c>
      <c r="W28" s="1319">
        <v>0.95222222222222197</v>
      </c>
      <c r="X28" s="1319">
        <v>2.78411764705882</v>
      </c>
      <c r="Y28" s="1319">
        <v>1.7390000000000001</v>
      </c>
      <c r="Z28" s="1319">
        <v>1.2888888888888901</v>
      </c>
      <c r="AA28" s="544" t="s">
        <v>562</v>
      </c>
      <c r="AB28" s="1319">
        <v>1.67</v>
      </c>
      <c r="AC28" s="1319">
        <v>1.51</v>
      </c>
      <c r="AD28" s="1319">
        <v>0.56499999999999995</v>
      </c>
      <c r="AE28" s="1319">
        <v>2.206</v>
      </c>
      <c r="AF28" s="1319">
        <v>1.575</v>
      </c>
      <c r="AG28" s="1319">
        <v>0.5</v>
      </c>
      <c r="AH28" s="1319">
        <v>2.0325000000000002</v>
      </c>
      <c r="AI28" s="1319">
        <v>0.93500000000000005</v>
      </c>
      <c r="AJ28" s="1319">
        <v>0.75</v>
      </c>
      <c r="AK28" s="1319">
        <v>2.0750000000000002</v>
      </c>
      <c r="AL28" s="1319">
        <v>0.65500000000000003</v>
      </c>
      <c r="AM28" s="1319">
        <v>1</v>
      </c>
    </row>
    <row r="29" spans="1:39" s="255" customFormat="1" ht="11.45" customHeight="1">
      <c r="A29" s="585" t="s">
        <v>571</v>
      </c>
      <c r="B29" s="1333">
        <v>2.9247399999999999</v>
      </c>
      <c r="C29" s="1333">
        <v>1.1712</v>
      </c>
      <c r="D29" s="1333">
        <v>0</v>
      </c>
      <c r="E29" s="1333">
        <v>3.1534399999999998</v>
      </c>
      <c r="F29" s="1333">
        <v>2.5663999999999998</v>
      </c>
      <c r="G29" s="1333">
        <v>0</v>
      </c>
      <c r="H29" s="1333">
        <v>4.0004999999999997</v>
      </c>
      <c r="I29" s="1333">
        <v>1.895</v>
      </c>
      <c r="J29" s="1333">
        <v>0</v>
      </c>
      <c r="K29" s="1333">
        <v>3.9727999999999999</v>
      </c>
      <c r="L29" s="1333">
        <v>2.13</v>
      </c>
      <c r="M29" s="1333">
        <v>0</v>
      </c>
      <c r="N29" s="585" t="s">
        <v>571</v>
      </c>
      <c r="O29" s="1333">
        <v>2.1764666666666699</v>
      </c>
      <c r="P29" s="1333">
        <v>1.46031111111111</v>
      </c>
      <c r="Q29" s="1333">
        <v>0.80018333333333302</v>
      </c>
      <c r="R29" s="1333">
        <v>2.93588571428571</v>
      </c>
      <c r="S29" s="1333">
        <v>1.97838</v>
      </c>
      <c r="T29" s="1333">
        <v>0.85156666666666703</v>
      </c>
      <c r="U29" s="1333">
        <v>3.0385399999999998</v>
      </c>
      <c r="V29" s="1333">
        <v>2.1226699999999998</v>
      </c>
      <c r="W29" s="1333">
        <v>0.85435000000000005</v>
      </c>
      <c r="X29" s="1333">
        <v>2.99763571428571</v>
      </c>
      <c r="Y29" s="1333">
        <v>2.0556999999999999</v>
      </c>
      <c r="Z29" s="1333">
        <v>0.72518333333333296</v>
      </c>
      <c r="AA29" s="585" t="s">
        <v>571</v>
      </c>
      <c r="AB29" s="1333">
        <v>1.7508250000000001</v>
      </c>
      <c r="AC29" s="1333">
        <v>1.5349999999999999</v>
      </c>
      <c r="AD29" s="1333">
        <v>0.56499999999999995</v>
      </c>
      <c r="AE29" s="1333">
        <v>2.21774</v>
      </c>
      <c r="AF29" s="1333">
        <v>1.72</v>
      </c>
      <c r="AG29" s="1333">
        <v>0.5</v>
      </c>
      <c r="AH29" s="1333">
        <v>2.0286499999999998</v>
      </c>
      <c r="AI29" s="1333">
        <v>0.90149999999999997</v>
      </c>
      <c r="AJ29" s="1333">
        <v>0.75</v>
      </c>
      <c r="AK29" s="1333">
        <v>2.0895000000000001</v>
      </c>
      <c r="AL29" s="1333">
        <v>0.65995000000000004</v>
      </c>
      <c r="AM29" s="1333">
        <v>1</v>
      </c>
    </row>
    <row r="30" spans="1:39" s="255" customFormat="1" ht="11.45" customHeight="1">
      <c r="A30" s="544" t="s">
        <v>572</v>
      </c>
      <c r="B30" s="1319">
        <v>3.81</v>
      </c>
      <c r="C30" s="1319">
        <v>1.7</v>
      </c>
      <c r="D30" s="1319">
        <v>0</v>
      </c>
      <c r="E30" s="1319">
        <v>4.0875000000000004</v>
      </c>
      <c r="F30" s="1319">
        <v>3.4175</v>
      </c>
      <c r="G30" s="1319">
        <v>0</v>
      </c>
      <c r="H30" s="1319">
        <v>4.1775000000000002</v>
      </c>
      <c r="I30" s="1319">
        <v>2.2400000000000002</v>
      </c>
      <c r="J30" s="1319">
        <v>0</v>
      </c>
      <c r="K30" s="1319">
        <v>4.1725000000000003</v>
      </c>
      <c r="L30" s="1319">
        <v>2.2400000000000002</v>
      </c>
      <c r="M30" s="1319">
        <v>0</v>
      </c>
      <c r="N30" s="544" t="s">
        <v>572</v>
      </c>
      <c r="O30" s="1319">
        <v>2.1459999999999999</v>
      </c>
      <c r="P30" s="1319">
        <v>1.81222222222222</v>
      </c>
      <c r="Q30" s="1319">
        <v>0.836666666666667</v>
      </c>
      <c r="R30" s="1319">
        <v>2.6521428571428598</v>
      </c>
      <c r="S30" s="1319">
        <v>2.02</v>
      </c>
      <c r="T30" s="1319">
        <v>0.90833333333333299</v>
      </c>
      <c r="U30" s="1319">
        <v>2.8660000000000001</v>
      </c>
      <c r="V30" s="1319">
        <v>2.145</v>
      </c>
      <c r="W30" s="1319">
        <v>0.91500000000000004</v>
      </c>
      <c r="X30" s="1319">
        <v>2.7530769230769199</v>
      </c>
      <c r="Y30" s="1319">
        <v>2.3242857142857098</v>
      </c>
      <c r="Z30" s="1319">
        <v>0.77833333333333299</v>
      </c>
      <c r="AA30" s="544" t="s">
        <v>572</v>
      </c>
      <c r="AB30" s="1319">
        <v>1.87</v>
      </c>
      <c r="AC30" s="1319">
        <v>1.56</v>
      </c>
      <c r="AD30" s="1319">
        <v>0.56499999999999995</v>
      </c>
      <c r="AE30" s="1319">
        <v>2.0649999999999999</v>
      </c>
      <c r="AF30" s="1319">
        <v>1.72</v>
      </c>
      <c r="AG30" s="1319">
        <v>0.5</v>
      </c>
      <c r="AH30" s="1319">
        <v>2.0274999999999999</v>
      </c>
      <c r="AI30" s="1319">
        <v>0.79500000000000004</v>
      </c>
      <c r="AJ30" s="1319">
        <v>0.75</v>
      </c>
      <c r="AK30" s="1319">
        <v>2.1524999999999999</v>
      </c>
      <c r="AL30" s="1319">
        <v>0.63</v>
      </c>
      <c r="AM30" s="1319">
        <v>1</v>
      </c>
    </row>
    <row r="31" spans="1:39" s="255" customFormat="1" ht="11.45" customHeight="1">
      <c r="A31" s="585" t="s">
        <v>563</v>
      </c>
      <c r="B31" s="1333">
        <v>4</v>
      </c>
      <c r="C31" s="1333">
        <v>2</v>
      </c>
      <c r="D31" s="1333">
        <v>0</v>
      </c>
      <c r="E31" s="1333">
        <v>4</v>
      </c>
      <c r="F31" s="1333">
        <v>3.75</v>
      </c>
      <c r="G31" s="1333">
        <v>0</v>
      </c>
      <c r="H31" s="1333">
        <v>4.25</v>
      </c>
      <c r="I31" s="1333">
        <v>2</v>
      </c>
      <c r="J31" s="1333">
        <v>0</v>
      </c>
      <c r="K31" s="1333">
        <v>4.75</v>
      </c>
      <c r="L31" s="1333">
        <v>2</v>
      </c>
      <c r="M31" s="1333">
        <v>0</v>
      </c>
      <c r="N31" s="585" t="s">
        <v>563</v>
      </c>
      <c r="O31" s="1333">
        <v>3.4615384615384599</v>
      </c>
      <c r="P31" s="1333">
        <v>2.5555555555555598</v>
      </c>
      <c r="Q31" s="1333">
        <v>2.2000000000000002</v>
      </c>
      <c r="R31" s="1333">
        <v>3.4615384615384599</v>
      </c>
      <c r="S31" s="1333">
        <v>2.6</v>
      </c>
      <c r="T31" s="1333">
        <v>2.8</v>
      </c>
      <c r="U31" s="1333">
        <v>3.9285714285714302</v>
      </c>
      <c r="V31" s="1333">
        <v>2.8</v>
      </c>
      <c r="W31" s="1333">
        <v>2.6</v>
      </c>
      <c r="X31" s="1333">
        <v>3.7692307692307701</v>
      </c>
      <c r="Y31" s="1333">
        <v>3.125</v>
      </c>
      <c r="Z31" s="1333">
        <v>2.4</v>
      </c>
      <c r="AA31" s="585" t="s">
        <v>563</v>
      </c>
      <c r="AB31" s="1333">
        <v>2.25</v>
      </c>
      <c r="AC31" s="1333">
        <v>2</v>
      </c>
      <c r="AD31" s="1333">
        <v>1</v>
      </c>
      <c r="AE31" s="1333">
        <v>2.2000000000000002</v>
      </c>
      <c r="AF31" s="1333">
        <v>1.6666666666666701</v>
      </c>
      <c r="AG31" s="1333">
        <v>1</v>
      </c>
      <c r="AH31" s="1333">
        <v>3.5</v>
      </c>
      <c r="AI31" s="1333">
        <v>1</v>
      </c>
      <c r="AJ31" s="1333">
        <v>1</v>
      </c>
      <c r="AK31" s="1333">
        <v>3</v>
      </c>
      <c r="AL31" s="1333">
        <v>1</v>
      </c>
      <c r="AM31" s="1333">
        <v>1</v>
      </c>
    </row>
    <row r="32" spans="1:39" s="255" customFormat="1" ht="14.25" customHeight="1">
      <c r="A32" s="570" t="s">
        <v>2345</v>
      </c>
      <c r="B32" s="1655">
        <v>3.7974085106383</v>
      </c>
      <c r="C32" s="1655">
        <v>3.7165897435897399</v>
      </c>
      <c r="D32" s="1655">
        <v>3.53978235294118</v>
      </c>
      <c r="E32" s="1655">
        <v>3.94682244897959</v>
      </c>
      <c r="F32" s="1655">
        <v>3.84361632653061</v>
      </c>
      <c r="G32" s="1655">
        <v>3.6967823529411801</v>
      </c>
      <c r="H32" s="1655">
        <v>4.0155583333333302</v>
      </c>
      <c r="I32" s="1655">
        <v>3.9551219512195099</v>
      </c>
      <c r="J32" s="1655">
        <v>3.62389411764706</v>
      </c>
      <c r="K32" s="1655">
        <v>3.9332937499999998</v>
      </c>
      <c r="L32" s="1655">
        <v>3.9066609756097601</v>
      </c>
      <c r="M32" s="1655">
        <v>3.1575470588235302</v>
      </c>
      <c r="N32" s="570" t="s">
        <v>2345</v>
      </c>
      <c r="O32" s="1655">
        <v>3.2881108695652199</v>
      </c>
      <c r="P32" s="1655">
        <v>2.9787982142857099</v>
      </c>
      <c r="Q32" s="1655">
        <v>2.2351999999999999</v>
      </c>
      <c r="R32" s="1655">
        <v>3.5833588888888901</v>
      </c>
      <c r="S32" s="1655">
        <v>3.12049787234043</v>
      </c>
      <c r="T32" s="1655">
        <v>2.33375825242718</v>
      </c>
      <c r="U32" s="1655">
        <v>3.70896354166667</v>
      </c>
      <c r="V32" s="1655">
        <v>3.0183157894736801</v>
      </c>
      <c r="W32" s="1655">
        <v>2.3466427184466001</v>
      </c>
      <c r="X32" s="1655">
        <v>3.9650945454545501</v>
      </c>
      <c r="Y32" s="1655">
        <v>3.2050150442477898</v>
      </c>
      <c r="Z32" s="1655">
        <v>2.2416427184466001</v>
      </c>
      <c r="AA32" s="570" t="s">
        <v>2345</v>
      </c>
      <c r="AB32" s="1655">
        <v>2.4610363636363601</v>
      </c>
      <c r="AC32" s="1655">
        <v>1.6897392857142901</v>
      </c>
      <c r="AD32" s="1655">
        <v>0.25</v>
      </c>
      <c r="AE32" s="1655">
        <v>2.7432280000000002</v>
      </c>
      <c r="AF32" s="1655">
        <v>1.91643928571429</v>
      </c>
      <c r="AG32" s="1655">
        <v>0.83589166666666703</v>
      </c>
      <c r="AH32" s="1655">
        <v>3.208682</v>
      </c>
      <c r="AI32" s="1655">
        <v>1.3811111111111101</v>
      </c>
      <c r="AJ32" s="1655">
        <v>0.991475</v>
      </c>
      <c r="AK32" s="1655">
        <v>3.4845280000000001</v>
      </c>
      <c r="AL32" s="1655">
        <v>1.7021052631578899</v>
      </c>
      <c r="AM32" s="1655">
        <v>1</v>
      </c>
    </row>
    <row r="33" spans="1:39" s="255" customFormat="1" ht="11.45" customHeight="1">
      <c r="A33" s="585" t="s">
        <v>565</v>
      </c>
      <c r="B33" s="1333">
        <v>3.1545000000000001</v>
      </c>
      <c r="C33" s="1333">
        <v>2.0283333333333302</v>
      </c>
      <c r="D33" s="1333">
        <v>1.55</v>
      </c>
      <c r="E33" s="1333">
        <v>3.3336199999999998</v>
      </c>
      <c r="F33" s="1333">
        <v>3.1493799999999998</v>
      </c>
      <c r="G33" s="1333">
        <v>1.45</v>
      </c>
      <c r="H33" s="1333">
        <v>4.2918000000000003</v>
      </c>
      <c r="I33" s="1333">
        <v>2.4516666666666702</v>
      </c>
      <c r="J33" s="1333">
        <v>1.27</v>
      </c>
      <c r="K33" s="1333">
        <v>4.4103500000000002</v>
      </c>
      <c r="L33" s="1333">
        <v>2.5716666666666699</v>
      </c>
      <c r="M33" s="1333">
        <v>0.76</v>
      </c>
      <c r="N33" s="585" t="s">
        <v>565</v>
      </c>
      <c r="O33" s="1333">
        <v>2.5941000000000001</v>
      </c>
      <c r="P33" s="1333">
        <v>2.1323727272727302</v>
      </c>
      <c r="Q33" s="1333">
        <v>1.5689249999999999</v>
      </c>
      <c r="R33" s="1333">
        <v>2.8828999999999998</v>
      </c>
      <c r="S33" s="1333">
        <v>2.1694384615384599</v>
      </c>
      <c r="T33" s="1333">
        <v>1.5008555555555601</v>
      </c>
      <c r="U33" s="1333">
        <v>3.1669055555555601</v>
      </c>
      <c r="V33" s="1333">
        <v>2.18428461538462</v>
      </c>
      <c r="W33" s="1333">
        <v>1.58056666666667</v>
      </c>
      <c r="X33" s="1333">
        <v>3.2953066666666699</v>
      </c>
      <c r="Y33" s="1333">
        <v>2.4331800000000001</v>
      </c>
      <c r="Z33" s="1333">
        <v>1.5437111111111099</v>
      </c>
      <c r="AA33" s="585" t="s">
        <v>565</v>
      </c>
      <c r="AB33" s="1333">
        <v>2.5284666666666702</v>
      </c>
      <c r="AC33" s="1333">
        <v>1.665</v>
      </c>
      <c r="AD33" s="1333">
        <v>0.25</v>
      </c>
      <c r="AE33" s="1333">
        <v>2.8730000000000002</v>
      </c>
      <c r="AF33" s="1333">
        <v>1.72</v>
      </c>
      <c r="AG33" s="1333">
        <v>0.5</v>
      </c>
      <c r="AH33" s="1333">
        <v>3.3585750000000001</v>
      </c>
      <c r="AI33" s="1333">
        <v>0.85</v>
      </c>
      <c r="AJ33" s="1333">
        <v>0.75</v>
      </c>
      <c r="AK33" s="1333">
        <v>3.4300999999999999</v>
      </c>
      <c r="AL33" s="1333">
        <v>1</v>
      </c>
      <c r="AM33" s="1333">
        <v>1</v>
      </c>
    </row>
    <row r="34" spans="1:39" s="255" customFormat="1" ht="11.45" customHeight="1">
      <c r="A34" s="544" t="s">
        <v>566</v>
      </c>
      <c r="B34" s="1345">
        <v>4.0119249999999997</v>
      </c>
      <c r="C34" s="1345">
        <v>3.57833333333333</v>
      </c>
      <c r="D34" s="1345">
        <v>3.21</v>
      </c>
      <c r="E34" s="1345">
        <v>4.1475999999999997</v>
      </c>
      <c r="F34" s="1345">
        <v>4.1350249999999997</v>
      </c>
      <c r="G34" s="1345">
        <v>3.05</v>
      </c>
      <c r="H34" s="1345">
        <v>4.2555500000000004</v>
      </c>
      <c r="I34" s="1345">
        <v>4.0650000000000004</v>
      </c>
      <c r="J34" s="1345">
        <v>2.74</v>
      </c>
      <c r="K34" s="1345">
        <v>4.2915999999999999</v>
      </c>
      <c r="L34" s="1345">
        <v>4.2149999999999999</v>
      </c>
      <c r="M34" s="1345">
        <v>1.77</v>
      </c>
      <c r="N34" s="544" t="s">
        <v>566</v>
      </c>
      <c r="O34" s="1345">
        <v>2.8407562500000001</v>
      </c>
      <c r="P34" s="1345">
        <v>2.4148499999999999</v>
      </c>
      <c r="Q34" s="1345">
        <v>1.6093999999999999</v>
      </c>
      <c r="R34" s="1345">
        <v>3.1495812500000002</v>
      </c>
      <c r="S34" s="1345">
        <v>2.3789250000000002</v>
      </c>
      <c r="T34" s="1345">
        <v>1.54056666666667</v>
      </c>
      <c r="U34" s="1345">
        <v>3.3771235294117599</v>
      </c>
      <c r="V34" s="1345">
        <v>2.3694583333333301</v>
      </c>
      <c r="W34" s="1345">
        <v>1.61194444444444</v>
      </c>
      <c r="X34" s="1345">
        <v>3.5563714285714298</v>
      </c>
      <c r="Y34" s="1345">
        <v>2.6325777777777799</v>
      </c>
      <c r="Z34" s="1345">
        <v>1.57694444444444</v>
      </c>
      <c r="AA34" s="544" t="s">
        <v>566</v>
      </c>
      <c r="AB34" s="1345">
        <v>2.1420499999999998</v>
      </c>
      <c r="AC34" s="1345">
        <v>1.45363333333333</v>
      </c>
      <c r="AD34" s="1345">
        <v>0.25</v>
      </c>
      <c r="AE34" s="1345">
        <v>2.3032249999999999</v>
      </c>
      <c r="AF34" s="1345">
        <v>1.8254999999999999</v>
      </c>
      <c r="AG34" s="1345">
        <v>0.5</v>
      </c>
      <c r="AH34" s="1345">
        <v>2.1575500000000001</v>
      </c>
      <c r="AI34" s="1345">
        <v>0.55500000000000005</v>
      </c>
      <c r="AJ34" s="1345">
        <v>0.75</v>
      </c>
      <c r="AK34" s="1345">
        <v>3.0726499999999999</v>
      </c>
      <c r="AL34" s="1345">
        <v>1</v>
      </c>
      <c r="AM34" s="1345">
        <v>1</v>
      </c>
    </row>
    <row r="35" spans="1:39" s="255" customFormat="1" ht="11.45" customHeight="1">
      <c r="A35" s="585" t="s">
        <v>560</v>
      </c>
      <c r="B35" s="1333">
        <v>3.5</v>
      </c>
      <c r="C35" s="1333">
        <v>3.6666666666666701</v>
      </c>
      <c r="D35" s="1333">
        <v>3</v>
      </c>
      <c r="E35" s="1333">
        <v>3.5</v>
      </c>
      <c r="F35" s="1333">
        <v>3.5</v>
      </c>
      <c r="G35" s="1333">
        <v>3</v>
      </c>
      <c r="H35" s="1333">
        <v>3.5</v>
      </c>
      <c r="I35" s="1333">
        <v>4</v>
      </c>
      <c r="J35" s="1333">
        <v>3</v>
      </c>
      <c r="K35" s="1333">
        <v>3.5</v>
      </c>
      <c r="L35" s="1333">
        <v>4</v>
      </c>
      <c r="M35" s="1333">
        <v>2</v>
      </c>
      <c r="N35" s="585" t="s">
        <v>560</v>
      </c>
      <c r="O35" s="1333">
        <v>3</v>
      </c>
      <c r="P35" s="1333">
        <v>2.7777777777777799</v>
      </c>
      <c r="Q35" s="1333">
        <v>2.8</v>
      </c>
      <c r="R35" s="1333">
        <v>3.5333333333333301</v>
      </c>
      <c r="S35" s="1333">
        <v>2.7</v>
      </c>
      <c r="T35" s="1333">
        <v>3</v>
      </c>
      <c r="U35" s="1333">
        <v>3.8125</v>
      </c>
      <c r="V35" s="1333">
        <v>2.8</v>
      </c>
      <c r="W35" s="1333">
        <v>2.8</v>
      </c>
      <c r="X35" s="1333">
        <v>3.78571428571429</v>
      </c>
      <c r="Y35" s="1333">
        <v>2.7777777777777799</v>
      </c>
      <c r="Z35" s="1333">
        <v>2.6</v>
      </c>
      <c r="AA35" s="585" t="s">
        <v>560</v>
      </c>
      <c r="AB35" s="1333">
        <v>2.25</v>
      </c>
      <c r="AC35" s="1333">
        <v>2</v>
      </c>
      <c r="AD35" s="1333">
        <v>0</v>
      </c>
      <c r="AE35" s="1333">
        <v>2.4</v>
      </c>
      <c r="AF35" s="1333">
        <v>2</v>
      </c>
      <c r="AG35" s="1333">
        <v>1</v>
      </c>
      <c r="AH35" s="1333">
        <v>3</v>
      </c>
      <c r="AI35" s="1333">
        <v>1.5</v>
      </c>
      <c r="AJ35" s="1333">
        <v>1</v>
      </c>
      <c r="AK35" s="1333">
        <v>3.8</v>
      </c>
      <c r="AL35" s="1333">
        <v>2</v>
      </c>
      <c r="AM35" s="1333">
        <v>1</v>
      </c>
    </row>
    <row r="36" spans="1:39" s="255" customFormat="1" ht="11.45" customHeight="1">
      <c r="A36" s="544" t="s">
        <v>567</v>
      </c>
      <c r="B36" s="1345">
        <v>3.5122749999999998</v>
      </c>
      <c r="C36" s="1345">
        <v>3.66333333333333</v>
      </c>
      <c r="D36" s="1345">
        <v>3.54</v>
      </c>
      <c r="E36" s="1345">
        <v>3.5832999999999999</v>
      </c>
      <c r="F36" s="1345">
        <v>3.51125</v>
      </c>
      <c r="G36" s="1345">
        <v>3.39</v>
      </c>
      <c r="H36" s="1345">
        <v>3.6463999999999999</v>
      </c>
      <c r="I36" s="1345">
        <v>3.8583333333333298</v>
      </c>
      <c r="J36" s="1345">
        <v>3.14</v>
      </c>
      <c r="K36" s="1345">
        <v>3.6182249999999998</v>
      </c>
      <c r="L36" s="1345">
        <v>3.8916666666666702</v>
      </c>
      <c r="M36" s="1345">
        <v>2.36</v>
      </c>
      <c r="N36" s="544" t="s">
        <v>567</v>
      </c>
      <c r="O36" s="1345">
        <v>2.9888294117647098</v>
      </c>
      <c r="P36" s="1345">
        <v>2.0522300000000002</v>
      </c>
      <c r="Q36" s="1345">
        <v>1.7444375000000001</v>
      </c>
      <c r="R36" s="1345">
        <v>3.1415250000000001</v>
      </c>
      <c r="S36" s="1345">
        <v>2.3578999999999999</v>
      </c>
      <c r="T36" s="1345">
        <v>1.6451111111111101</v>
      </c>
      <c r="U36" s="1345">
        <v>3.2763411764705901</v>
      </c>
      <c r="V36" s="1345">
        <v>2.3225250000000002</v>
      </c>
      <c r="W36" s="1345">
        <v>1.7189333333333301</v>
      </c>
      <c r="X36" s="1345">
        <v>3.5350666666666699</v>
      </c>
      <c r="Y36" s="1345">
        <v>2.3209399999999998</v>
      </c>
      <c r="Z36" s="1345">
        <v>1.6741222222222201</v>
      </c>
      <c r="AA36" s="544" t="s">
        <v>567</v>
      </c>
      <c r="AB36" s="1345">
        <v>2.1652</v>
      </c>
      <c r="AC36" s="1345">
        <v>1.71393333333333</v>
      </c>
      <c r="AD36" s="1345">
        <v>0.25</v>
      </c>
      <c r="AE36" s="1345">
        <v>2.4309599999999998</v>
      </c>
      <c r="AF36" s="1345">
        <v>1.4140333333333299</v>
      </c>
      <c r="AG36" s="1345">
        <v>0.5</v>
      </c>
      <c r="AH36" s="1345">
        <v>3.5136799999999999</v>
      </c>
      <c r="AI36" s="1345">
        <v>1.7350000000000001</v>
      </c>
      <c r="AJ36" s="1345">
        <v>0.75</v>
      </c>
      <c r="AK36" s="1345">
        <v>3.5808200000000001</v>
      </c>
      <c r="AL36" s="1345">
        <v>1.81</v>
      </c>
      <c r="AM36" s="1345">
        <v>1</v>
      </c>
    </row>
    <row r="37" spans="1:39" s="255" customFormat="1" ht="11.45" customHeight="1">
      <c r="A37" s="585" t="s">
        <v>568</v>
      </c>
      <c r="B37" s="1333">
        <v>3.5225</v>
      </c>
      <c r="C37" s="1333">
        <v>3.62666666666667</v>
      </c>
      <c r="D37" s="1333">
        <v>3.66</v>
      </c>
      <c r="E37" s="1333">
        <v>3.5775000000000001</v>
      </c>
      <c r="F37" s="1333">
        <v>3.44</v>
      </c>
      <c r="G37" s="1333">
        <v>3.55</v>
      </c>
      <c r="H37" s="1333">
        <v>3.6124999999999998</v>
      </c>
      <c r="I37" s="1333">
        <v>3.73</v>
      </c>
      <c r="J37" s="1333">
        <v>3.31</v>
      </c>
      <c r="K37" s="1333">
        <v>3.5325000000000002</v>
      </c>
      <c r="L37" s="1333">
        <v>3.70333333333333</v>
      </c>
      <c r="M37" s="1333">
        <v>2.64</v>
      </c>
      <c r="N37" s="585" t="s">
        <v>568</v>
      </c>
      <c r="O37" s="1333">
        <v>2.7716666666666701</v>
      </c>
      <c r="P37" s="1333">
        <v>2.0459999999999998</v>
      </c>
      <c r="Q37" s="1333">
        <v>1.74875</v>
      </c>
      <c r="R37" s="1333">
        <v>3.0882352941176499</v>
      </c>
      <c r="S37" s="1333">
        <v>2.23428571428571</v>
      </c>
      <c r="T37" s="1333">
        <v>1.66333333333333</v>
      </c>
      <c r="U37" s="1333">
        <v>3.3477777777777802</v>
      </c>
      <c r="V37" s="1333">
        <v>2.14846153846154</v>
      </c>
      <c r="W37" s="1333">
        <v>1.7222222222222201</v>
      </c>
      <c r="X37" s="1333">
        <v>3.6326666666666698</v>
      </c>
      <c r="Y37" s="1333">
        <v>2.2879999999999998</v>
      </c>
      <c r="Z37" s="1333">
        <v>1.6855555555555599</v>
      </c>
      <c r="AA37" s="585" t="s">
        <v>568</v>
      </c>
      <c r="AB37" s="1333">
        <v>2.2974999999999999</v>
      </c>
      <c r="AC37" s="1333">
        <v>1.2933333333333299</v>
      </c>
      <c r="AD37" s="1333">
        <v>0.25</v>
      </c>
      <c r="AE37" s="1333">
        <v>2.6659999999999999</v>
      </c>
      <c r="AF37" s="1333">
        <v>2.1533333333333302</v>
      </c>
      <c r="AG37" s="1333">
        <v>0.5</v>
      </c>
      <c r="AH37" s="1333">
        <v>3.5</v>
      </c>
      <c r="AI37" s="1333">
        <v>1.7350000000000001</v>
      </c>
      <c r="AJ37" s="1333">
        <v>0.75</v>
      </c>
      <c r="AK37" s="1333">
        <v>3.66</v>
      </c>
      <c r="AL37" s="1333">
        <v>1.81</v>
      </c>
      <c r="AM37" s="1333">
        <v>1</v>
      </c>
    </row>
    <row r="38" spans="1:39" s="255" customFormat="1" ht="11.45" customHeight="1">
      <c r="A38" s="544" t="s">
        <v>561</v>
      </c>
      <c r="B38" s="1345">
        <v>3.5354749999999999</v>
      </c>
      <c r="C38" s="1345">
        <v>3.6166666666666698</v>
      </c>
      <c r="D38" s="1345">
        <v>3.66</v>
      </c>
      <c r="E38" s="1345">
        <v>3.5557249999999998</v>
      </c>
      <c r="F38" s="1345">
        <v>3.4160499999999998</v>
      </c>
      <c r="G38" s="1345">
        <v>3.64</v>
      </c>
      <c r="H38" s="1345">
        <v>3.4929250000000001</v>
      </c>
      <c r="I38" s="1345">
        <v>3.6616666666666702</v>
      </c>
      <c r="J38" s="1345">
        <v>3.45</v>
      </c>
      <c r="K38" s="1345">
        <v>3.271525</v>
      </c>
      <c r="L38" s="1345">
        <v>3.56666666666667</v>
      </c>
      <c r="M38" s="1345">
        <v>2.86</v>
      </c>
      <c r="N38" s="544" t="s">
        <v>561</v>
      </c>
      <c r="O38" s="1345">
        <v>3.1166499999999999</v>
      </c>
      <c r="P38" s="1345">
        <v>2.8119999999999998</v>
      </c>
      <c r="Q38" s="1345">
        <v>2.0775000000000001</v>
      </c>
      <c r="R38" s="1345">
        <v>3.3787294117647102</v>
      </c>
      <c r="S38" s="1345">
        <v>2.7477642857142901</v>
      </c>
      <c r="T38" s="1345">
        <v>1.8825000000000001</v>
      </c>
      <c r="U38" s="1345">
        <v>3.5469277777777801</v>
      </c>
      <c r="V38" s="1345">
        <v>2.6159461538461501</v>
      </c>
      <c r="W38" s="1345">
        <v>1.8662333333333301</v>
      </c>
      <c r="X38" s="1345">
        <v>3.7933866666666698</v>
      </c>
      <c r="Y38" s="1345">
        <v>2.7233200000000002</v>
      </c>
      <c r="Z38" s="1345">
        <v>1.6875</v>
      </c>
      <c r="AA38" s="544" t="s">
        <v>561</v>
      </c>
      <c r="AB38" s="1345">
        <v>2.31</v>
      </c>
      <c r="AC38" s="1345">
        <v>1.2933333333333299</v>
      </c>
      <c r="AD38" s="1345">
        <v>0.25</v>
      </c>
      <c r="AE38" s="1345">
        <v>2.5361750000000001</v>
      </c>
      <c r="AF38" s="1345">
        <v>2.1545666666666698</v>
      </c>
      <c r="AG38" s="1345">
        <v>0.5</v>
      </c>
      <c r="AH38" s="1345">
        <v>3.0008249999999999</v>
      </c>
      <c r="AI38" s="1345">
        <v>1.7350000000000001</v>
      </c>
      <c r="AJ38" s="1345">
        <v>0.75</v>
      </c>
      <c r="AK38" s="1345">
        <v>3.2059000000000002</v>
      </c>
      <c r="AL38" s="1345">
        <v>1.81</v>
      </c>
      <c r="AM38" s="1345">
        <v>1</v>
      </c>
    </row>
    <row r="39" spans="1:39" s="255" customFormat="1" ht="11.45" customHeight="1">
      <c r="A39" s="585" t="s">
        <v>569</v>
      </c>
      <c r="B39" s="1333">
        <v>3.53565</v>
      </c>
      <c r="C39" s="1333">
        <v>3.6333333333333302</v>
      </c>
      <c r="D39" s="1333">
        <v>3.66</v>
      </c>
      <c r="E39" s="1333">
        <v>3.5268999999999999</v>
      </c>
      <c r="F39" s="1333">
        <v>3.395025</v>
      </c>
      <c r="G39" s="1333">
        <v>3.67</v>
      </c>
      <c r="H39" s="1333">
        <v>3.38565</v>
      </c>
      <c r="I39" s="1333">
        <v>3.57</v>
      </c>
      <c r="J39" s="1333">
        <v>3.55</v>
      </c>
      <c r="K39" s="1333">
        <v>3.1135000000000002</v>
      </c>
      <c r="L39" s="1333">
        <v>3.3333333333333299</v>
      </c>
      <c r="M39" s="1333">
        <v>3.04</v>
      </c>
      <c r="N39" s="585" t="s">
        <v>569</v>
      </c>
      <c r="O39" s="1333">
        <v>3.2963800000000001</v>
      </c>
      <c r="P39" s="1333">
        <v>2.9447777777777802</v>
      </c>
      <c r="Q39" s="1333">
        <v>2.3694285714285699</v>
      </c>
      <c r="R39" s="1333">
        <v>3.2654214285714298</v>
      </c>
      <c r="S39" s="1333">
        <v>3.0038909090909098</v>
      </c>
      <c r="T39" s="1333">
        <v>2.1142500000000002</v>
      </c>
      <c r="U39" s="1333">
        <v>3.4226533333333302</v>
      </c>
      <c r="V39" s="1333">
        <v>2.6766100000000002</v>
      </c>
      <c r="W39" s="1333">
        <v>2.1027499999999999</v>
      </c>
      <c r="X39" s="1333">
        <v>3.5869307692307699</v>
      </c>
      <c r="Y39" s="1333">
        <v>2.6008624999999999</v>
      </c>
      <c r="Z39" s="1333">
        <v>1.921125</v>
      </c>
      <c r="AA39" s="585" t="s">
        <v>569</v>
      </c>
      <c r="AB39" s="1333">
        <v>2.4811749999999999</v>
      </c>
      <c r="AC39" s="1333">
        <v>2.08</v>
      </c>
      <c r="AD39" s="1333">
        <v>0.25</v>
      </c>
      <c r="AE39" s="1333">
        <v>3.0851000000000002</v>
      </c>
      <c r="AF39" s="1333">
        <v>2.1896666666666702</v>
      </c>
      <c r="AG39" s="1333">
        <v>0.5</v>
      </c>
      <c r="AH39" s="1333">
        <v>3.5211800000000002</v>
      </c>
      <c r="AI39" s="1333">
        <v>0.85</v>
      </c>
      <c r="AJ39" s="1333">
        <v>0.75</v>
      </c>
      <c r="AK39" s="1333">
        <v>3.62568</v>
      </c>
      <c r="AL39" s="1333">
        <v>1.81</v>
      </c>
      <c r="AM39" s="1333">
        <v>1</v>
      </c>
    </row>
    <row r="40" spans="1:39" s="255" customFormat="1" ht="11.45" customHeight="1">
      <c r="A40" s="544" t="s">
        <v>570</v>
      </c>
      <c r="B40" s="1319">
        <v>4.144075</v>
      </c>
      <c r="C40" s="1319">
        <v>4.010675</v>
      </c>
      <c r="D40" s="1319">
        <v>3.78695</v>
      </c>
      <c r="E40" s="1319">
        <v>4.1357999999999997</v>
      </c>
      <c r="F40" s="1319">
        <v>4.01755</v>
      </c>
      <c r="G40" s="1319">
        <v>3.7963499999999999</v>
      </c>
      <c r="H40" s="1319">
        <v>4.015625</v>
      </c>
      <c r="I40" s="1319">
        <v>3.9727749999999999</v>
      </c>
      <c r="J40" s="1319">
        <v>3.7696499999999999</v>
      </c>
      <c r="K40" s="1319">
        <v>3.8071999999999999</v>
      </c>
      <c r="L40" s="1319">
        <v>3.8144999999999998</v>
      </c>
      <c r="M40" s="1319">
        <v>3.37575</v>
      </c>
      <c r="N40" s="544" t="s">
        <v>570</v>
      </c>
      <c r="O40" s="1319">
        <v>3.2136499999999999</v>
      </c>
      <c r="P40" s="1319">
        <v>2.6407400000000001</v>
      </c>
      <c r="Q40" s="1319">
        <v>2.0750000000000002</v>
      </c>
      <c r="R40" s="1319">
        <v>3.18515333333333</v>
      </c>
      <c r="S40" s="1319">
        <v>2.7571333333333299</v>
      </c>
      <c r="T40" s="1319">
        <v>1.88933333333333</v>
      </c>
      <c r="U40" s="1319">
        <v>3.4005937500000001</v>
      </c>
      <c r="V40" s="1319">
        <v>2.44227272727273</v>
      </c>
      <c r="W40" s="1319">
        <v>1.8899888888888901</v>
      </c>
      <c r="X40" s="1319">
        <v>3.7177785714285698</v>
      </c>
      <c r="Y40" s="1319">
        <v>2.3523777777777801</v>
      </c>
      <c r="Z40" s="1319">
        <v>1.7612000000000001</v>
      </c>
      <c r="AA40" s="544" t="s">
        <v>570</v>
      </c>
      <c r="AB40" s="1319">
        <v>2.948</v>
      </c>
      <c r="AC40" s="1319">
        <v>2.08</v>
      </c>
      <c r="AD40" s="1319">
        <v>0.25</v>
      </c>
      <c r="AE40" s="1319">
        <v>3.0007000000000001</v>
      </c>
      <c r="AF40" s="1319">
        <v>2.1896666666666702</v>
      </c>
      <c r="AG40" s="1319">
        <v>0.5</v>
      </c>
      <c r="AH40" s="1319">
        <v>3.6165600000000002</v>
      </c>
      <c r="AI40" s="1319">
        <v>0.85</v>
      </c>
      <c r="AJ40" s="1319">
        <v>0.75</v>
      </c>
      <c r="AK40" s="1319">
        <v>3.5756800000000002</v>
      </c>
      <c r="AL40" s="1319">
        <v>1.81</v>
      </c>
      <c r="AM40" s="1319">
        <v>1</v>
      </c>
    </row>
    <row r="41" spans="1:39" s="255" customFormat="1" ht="11.45" customHeight="1">
      <c r="A41" s="585" t="s">
        <v>562</v>
      </c>
      <c r="B41" s="1333">
        <v>4.1530750000000003</v>
      </c>
      <c r="C41" s="1333">
        <v>4.0124500000000003</v>
      </c>
      <c r="D41" s="1333">
        <v>3.7860499999999999</v>
      </c>
      <c r="E41" s="1333">
        <v>4.1292249999999999</v>
      </c>
      <c r="F41" s="1333">
        <v>4.0162000000000004</v>
      </c>
      <c r="G41" s="1333">
        <v>3.7969499999999998</v>
      </c>
      <c r="H41" s="1333">
        <v>4.0510000000000002</v>
      </c>
      <c r="I41" s="1333">
        <v>3.9606249999999998</v>
      </c>
      <c r="J41" s="1333">
        <v>3.8056999999999999</v>
      </c>
      <c r="K41" s="1333">
        <v>3.8905249999999998</v>
      </c>
      <c r="L41" s="1333">
        <v>3.8213750000000002</v>
      </c>
      <c r="M41" s="1333">
        <v>3.5118999999999998</v>
      </c>
      <c r="N41" s="585" t="s">
        <v>562</v>
      </c>
      <c r="O41" s="1333">
        <v>3.93942666666667</v>
      </c>
      <c r="P41" s="1333">
        <v>4.0812249999999999</v>
      </c>
      <c r="Q41" s="1333">
        <v>2.9871428571428602</v>
      </c>
      <c r="R41" s="1333">
        <v>3.91436428571429</v>
      </c>
      <c r="S41" s="1333">
        <v>4.0035454545454501</v>
      </c>
      <c r="T41" s="1333">
        <v>2.6517499999999998</v>
      </c>
      <c r="U41" s="1333">
        <v>3.96728666666667</v>
      </c>
      <c r="V41" s="1333">
        <v>3.8244888888888902</v>
      </c>
      <c r="W41" s="1333">
        <v>2.6389374999999999</v>
      </c>
      <c r="X41" s="1333">
        <v>4.2985153846153796</v>
      </c>
      <c r="Y41" s="1333">
        <v>3.8828624999999999</v>
      </c>
      <c r="Z41" s="1333">
        <v>2.4712000000000001</v>
      </c>
      <c r="AA41" s="585" t="s">
        <v>562</v>
      </c>
      <c r="AB41" s="1333">
        <v>1.9695</v>
      </c>
      <c r="AC41" s="1333">
        <v>0.5</v>
      </c>
      <c r="AD41" s="1333">
        <v>0.25</v>
      </c>
      <c r="AE41" s="1333">
        <v>2.15756666666667</v>
      </c>
      <c r="AF41" s="1333">
        <v>0.75</v>
      </c>
      <c r="AG41" s="1333">
        <v>0.5</v>
      </c>
      <c r="AH41" s="1333">
        <v>2.9148000000000001</v>
      </c>
      <c r="AI41" s="1333">
        <v>1.7350000000000001</v>
      </c>
      <c r="AJ41" s="1333">
        <v>0.75</v>
      </c>
      <c r="AK41" s="1333">
        <v>2.9414333333333298</v>
      </c>
      <c r="AL41" s="1333">
        <v>1.81</v>
      </c>
      <c r="AM41" s="1333">
        <v>1</v>
      </c>
    </row>
    <row r="42" spans="1:39" s="255" customFormat="1" ht="11.45" customHeight="1">
      <c r="A42" s="544" t="s">
        <v>571</v>
      </c>
      <c r="B42" s="1345">
        <v>4.1369499999999997</v>
      </c>
      <c r="C42" s="1345">
        <v>4.0743999999999998</v>
      </c>
      <c r="D42" s="1345">
        <v>3.7867000000000002</v>
      </c>
      <c r="E42" s="1345">
        <v>4.1327249999999998</v>
      </c>
      <c r="F42" s="1345">
        <v>3.9923999999999999</v>
      </c>
      <c r="G42" s="1345">
        <v>3.8029000000000002</v>
      </c>
      <c r="H42" s="1345">
        <v>4.0808749999999998</v>
      </c>
      <c r="I42" s="1345">
        <v>3.9215</v>
      </c>
      <c r="J42" s="1345">
        <v>3.8163999999999998</v>
      </c>
      <c r="K42" s="1345">
        <v>3.9781</v>
      </c>
      <c r="L42" s="1345">
        <v>3.8005</v>
      </c>
      <c r="M42" s="1345">
        <v>3.6133500000000001</v>
      </c>
      <c r="N42" s="544" t="s">
        <v>571</v>
      </c>
      <c r="O42" s="1345">
        <v>3.68054666666667</v>
      </c>
      <c r="P42" s="1345">
        <v>3.4938375000000002</v>
      </c>
      <c r="Q42" s="1345">
        <v>2.3679999999999999</v>
      </c>
      <c r="R42" s="1345">
        <v>3.6530214285714302</v>
      </c>
      <c r="S42" s="1345">
        <v>3.4101699999999999</v>
      </c>
      <c r="T42" s="1345">
        <v>2.1033374999999999</v>
      </c>
      <c r="U42" s="1345">
        <v>3.74060666666667</v>
      </c>
      <c r="V42" s="1345">
        <v>3.3287888888888899</v>
      </c>
      <c r="W42" s="1345">
        <v>2.11</v>
      </c>
      <c r="X42" s="1345">
        <v>4.0721846153846197</v>
      </c>
      <c r="Y42" s="1345">
        <v>3.3860250000000001</v>
      </c>
      <c r="Z42" s="1345">
        <v>2.0050249999999998</v>
      </c>
      <c r="AA42" s="544" t="s">
        <v>571</v>
      </c>
      <c r="AB42" s="1345">
        <v>2.656075</v>
      </c>
      <c r="AC42" s="1345">
        <v>2.08</v>
      </c>
      <c r="AD42" s="1345">
        <v>0.25</v>
      </c>
      <c r="AE42" s="1345">
        <v>3.271525</v>
      </c>
      <c r="AF42" s="1345">
        <v>1.97</v>
      </c>
      <c r="AG42" s="1345">
        <v>2.2653500000000002</v>
      </c>
      <c r="AH42" s="1345">
        <v>2.7681749999999998</v>
      </c>
      <c r="AI42" s="1345">
        <v>0.85</v>
      </c>
      <c r="AJ42" s="1345">
        <v>2.0738500000000002</v>
      </c>
      <c r="AK42" s="1345">
        <v>2.98245</v>
      </c>
      <c r="AL42" s="1345">
        <v>1</v>
      </c>
      <c r="AM42" s="1345">
        <v>1</v>
      </c>
    </row>
    <row r="43" spans="1:39" s="255" customFormat="1" ht="11.45" customHeight="1">
      <c r="A43" s="585" t="s">
        <v>572</v>
      </c>
      <c r="B43" s="1333">
        <v>3.6666666666666701</v>
      </c>
      <c r="C43" s="1333">
        <v>3.3333333333333299</v>
      </c>
      <c r="D43" s="1333">
        <v>3</v>
      </c>
      <c r="E43" s="1333">
        <v>4.75</v>
      </c>
      <c r="F43" s="1333">
        <v>4.75</v>
      </c>
      <c r="G43" s="1333">
        <v>4.5</v>
      </c>
      <c r="H43" s="1333">
        <v>4.75</v>
      </c>
      <c r="I43" s="1333">
        <v>4.75</v>
      </c>
      <c r="J43" s="1333">
        <v>4.5</v>
      </c>
      <c r="K43" s="1333">
        <v>4.75</v>
      </c>
      <c r="L43" s="1333">
        <v>4.75</v>
      </c>
      <c r="M43" s="1333">
        <v>4</v>
      </c>
      <c r="N43" s="585" t="s">
        <v>572</v>
      </c>
      <c r="O43" s="1333">
        <v>4.2222222222222197</v>
      </c>
      <c r="P43" s="1333">
        <v>4</v>
      </c>
      <c r="Q43" s="1333">
        <v>3</v>
      </c>
      <c r="R43" s="1333">
        <v>5.4545454545454497</v>
      </c>
      <c r="S43" s="1333">
        <v>5.2</v>
      </c>
      <c r="T43" s="1333">
        <v>4.1111111111111098</v>
      </c>
      <c r="U43" s="1333">
        <v>5.0833333333333304</v>
      </c>
      <c r="V43" s="1333">
        <v>5.2222222222222197</v>
      </c>
      <c r="W43" s="1333">
        <v>4.1111111111111098</v>
      </c>
      <c r="X43" s="1333">
        <v>5.9</v>
      </c>
      <c r="Y43" s="1333">
        <v>5.5555555555555598</v>
      </c>
      <c r="Z43" s="1333">
        <v>4</v>
      </c>
      <c r="AA43" s="585" t="s">
        <v>572</v>
      </c>
      <c r="AB43" s="1333">
        <v>4</v>
      </c>
      <c r="AC43" s="1333">
        <v>3</v>
      </c>
      <c r="AD43" s="1333">
        <v>0</v>
      </c>
      <c r="AE43" s="1333">
        <v>3.6666666666666701</v>
      </c>
      <c r="AF43" s="1333">
        <v>3</v>
      </c>
      <c r="AG43" s="1333">
        <v>0</v>
      </c>
      <c r="AH43" s="1333">
        <v>4</v>
      </c>
      <c r="AI43" s="1333">
        <v>0</v>
      </c>
      <c r="AJ43" s="1333">
        <v>0</v>
      </c>
      <c r="AK43" s="1333">
        <v>4.6666666666666696</v>
      </c>
      <c r="AL43" s="1333">
        <v>0</v>
      </c>
      <c r="AM43" s="1333">
        <v>0</v>
      </c>
    </row>
    <row r="44" spans="1:39" s="255" customFormat="1" ht="11.45" customHeight="1">
      <c r="A44" s="544" t="s">
        <v>563</v>
      </c>
      <c r="B44" s="1345">
        <v>5.1660000000000004</v>
      </c>
      <c r="C44" s="1345">
        <v>5.0389666666666697</v>
      </c>
      <c r="D44" s="1345">
        <v>4.5884499999999999</v>
      </c>
      <c r="E44" s="1345">
        <v>5.1427750000000003</v>
      </c>
      <c r="F44" s="1345">
        <v>4.974075</v>
      </c>
      <c r="G44" s="1345">
        <v>4.6514499999999996</v>
      </c>
      <c r="H44" s="1345">
        <v>5.1043750000000001</v>
      </c>
      <c r="I44" s="1345">
        <v>4.9325999999999999</v>
      </c>
      <c r="J44" s="1345">
        <v>4.6813500000000001</v>
      </c>
      <c r="K44" s="1345">
        <v>5.0359999999999996</v>
      </c>
      <c r="L44" s="1345">
        <v>4.8956499999999998</v>
      </c>
      <c r="M44" s="1345">
        <v>4.6231499999999999</v>
      </c>
      <c r="N44" s="544" t="s">
        <v>563</v>
      </c>
      <c r="O44" s="1345">
        <v>4.95428181818182</v>
      </c>
      <c r="P44" s="1345">
        <v>5.1563999999999997</v>
      </c>
      <c r="Q44" s="1345">
        <v>3.2605166666666698</v>
      </c>
      <c r="R44" s="1345">
        <v>5.2116142857142904</v>
      </c>
      <c r="S44" s="1345">
        <v>5.1606500000000004</v>
      </c>
      <c r="T44" s="1345">
        <v>3.84791818181818</v>
      </c>
      <c r="U44" s="1345">
        <v>4.9690266666666698</v>
      </c>
      <c r="V44" s="1345">
        <v>5.1490499999999999</v>
      </c>
      <c r="W44" s="1345">
        <v>3.8528818181818201</v>
      </c>
      <c r="X44" s="1345">
        <v>5.0790642857142902</v>
      </c>
      <c r="Y44" s="1345">
        <v>5.0530538461538503</v>
      </c>
      <c r="Z44" s="1345">
        <v>3.7590090909090899</v>
      </c>
      <c r="AA44" s="544" t="s">
        <v>563</v>
      </c>
      <c r="AB44" s="1345">
        <v>2.2812333333333301</v>
      </c>
      <c r="AC44" s="1345">
        <v>0.5</v>
      </c>
      <c r="AD44" s="1345">
        <v>0.25</v>
      </c>
      <c r="AE44" s="1345">
        <v>2.6130666666666702</v>
      </c>
      <c r="AF44" s="1345">
        <v>0.75</v>
      </c>
      <c r="AG44" s="1345">
        <v>0.5</v>
      </c>
      <c r="AH44" s="1345">
        <v>2.9306999999999999</v>
      </c>
      <c r="AI44" s="1345">
        <v>1.7350000000000001</v>
      </c>
      <c r="AJ44" s="1345">
        <v>0.75</v>
      </c>
      <c r="AK44" s="1345">
        <v>3.1422666666666701</v>
      </c>
      <c r="AL44" s="1345">
        <v>1.81</v>
      </c>
      <c r="AM44" s="1345">
        <v>1</v>
      </c>
    </row>
    <row r="45" spans="1:39" s="255" customFormat="1" ht="13.5" customHeight="1">
      <c r="A45" s="621" t="s">
        <v>2681</v>
      </c>
      <c r="B45" s="1333"/>
      <c r="C45" s="1333"/>
      <c r="D45" s="1333"/>
      <c r="E45" s="1333"/>
      <c r="F45" s="1333"/>
      <c r="G45" s="1333"/>
      <c r="H45" s="1333"/>
      <c r="I45" s="1333"/>
      <c r="J45" s="1333"/>
      <c r="K45" s="1333"/>
      <c r="L45" s="1333"/>
      <c r="M45" s="1333"/>
      <c r="N45" s="621" t="s">
        <v>2681</v>
      </c>
      <c r="O45" s="1333"/>
      <c r="P45" s="1333"/>
      <c r="Q45" s="1333"/>
      <c r="R45" s="1333"/>
      <c r="S45" s="1333"/>
      <c r="T45" s="1333"/>
      <c r="U45" s="1333"/>
      <c r="V45" s="1333"/>
      <c r="W45" s="1333"/>
      <c r="X45" s="1333"/>
      <c r="Y45" s="1333"/>
      <c r="Z45" s="1333"/>
      <c r="AA45" s="621" t="s">
        <v>2681</v>
      </c>
      <c r="AB45" s="1333"/>
      <c r="AC45" s="1333"/>
      <c r="AD45" s="1333"/>
      <c r="AE45" s="1333"/>
      <c r="AF45" s="1333"/>
      <c r="AG45" s="1333"/>
      <c r="AH45" s="1333"/>
      <c r="AI45" s="1333"/>
      <c r="AJ45" s="1333"/>
      <c r="AK45" s="1333"/>
      <c r="AL45" s="1333"/>
      <c r="AM45" s="1333"/>
    </row>
    <row r="46" spans="1:39" s="255" customFormat="1" ht="11.45" customHeight="1">
      <c r="A46" s="544" t="s">
        <v>565</v>
      </c>
      <c r="B46" s="1345">
        <v>5.16956666666667</v>
      </c>
      <c r="C46" s="1345">
        <v>4.9915333333333303</v>
      </c>
      <c r="D46" s="1345">
        <v>3.6126</v>
      </c>
      <c r="E46" s="1345">
        <v>5.0343749999999998</v>
      </c>
      <c r="F46" s="1345">
        <v>4.8780749999999999</v>
      </c>
      <c r="G46" s="1345">
        <v>3.6784333333333299</v>
      </c>
      <c r="H46" s="1345">
        <v>4.947025</v>
      </c>
      <c r="I46" s="1345">
        <v>4.8137749999999997</v>
      </c>
      <c r="J46" s="1345">
        <v>3.7364666666666699</v>
      </c>
      <c r="K46" s="1345">
        <v>4.8026999999999997</v>
      </c>
      <c r="L46" s="1345">
        <v>4.73325</v>
      </c>
      <c r="M46" s="1345">
        <v>3.7309666666666699</v>
      </c>
      <c r="N46" s="544" t="s">
        <v>565</v>
      </c>
      <c r="O46" s="1345">
        <v>4.8118916666666696</v>
      </c>
      <c r="P46" s="1345">
        <v>4.6291250000000002</v>
      </c>
      <c r="Q46" s="1345">
        <v>2.9321666666666699</v>
      </c>
      <c r="R46" s="1345">
        <v>5.4172857142857103</v>
      </c>
      <c r="S46" s="1345">
        <v>5.1455083333333302</v>
      </c>
      <c r="T46" s="1345">
        <v>3.96678</v>
      </c>
      <c r="U46" s="1345">
        <v>5.0134800000000004</v>
      </c>
      <c r="V46" s="1345">
        <v>5.0865818181818199</v>
      </c>
      <c r="W46" s="1345">
        <v>3.9213800000000001</v>
      </c>
      <c r="X46" s="1345">
        <v>5.0996499999999996</v>
      </c>
      <c r="Y46" s="1345">
        <v>4.9876583333333304</v>
      </c>
      <c r="Z46" s="1345">
        <v>3.7301199999999999</v>
      </c>
      <c r="AA46" s="544" t="s">
        <v>565</v>
      </c>
      <c r="AB46" s="1345">
        <v>2.93333333333333</v>
      </c>
      <c r="AC46" s="1345">
        <v>1.81</v>
      </c>
      <c r="AD46" s="1345">
        <v>0.25</v>
      </c>
      <c r="AE46" s="1345">
        <v>3.1428333333333298</v>
      </c>
      <c r="AF46" s="1345">
        <v>1.89605</v>
      </c>
      <c r="AG46" s="1345">
        <v>0.5</v>
      </c>
      <c r="AH46" s="1345">
        <v>2.7901333333333298</v>
      </c>
      <c r="AI46" s="1345">
        <v>0.85</v>
      </c>
      <c r="AJ46" s="1345">
        <v>0.75</v>
      </c>
      <c r="AK46" s="1345">
        <v>3.10896666666667</v>
      </c>
      <c r="AL46" s="1345">
        <v>1</v>
      </c>
      <c r="AM46" s="1345">
        <v>1</v>
      </c>
    </row>
    <row r="47" spans="1:39" s="255" customFormat="1" ht="11.45" customHeight="1">
      <c r="A47" s="585" t="s">
        <v>566</v>
      </c>
      <c r="B47" s="1333">
        <v>5.1390333333333302</v>
      </c>
      <c r="C47" s="1333">
        <v>4.8946333333333296</v>
      </c>
      <c r="D47" s="1333">
        <v>3.5764</v>
      </c>
      <c r="E47" s="1333">
        <v>4.7999000000000001</v>
      </c>
      <c r="F47" s="1333">
        <v>4.7067500000000004</v>
      </c>
      <c r="G47" s="1333">
        <v>3.59663333333333</v>
      </c>
      <c r="H47" s="1333">
        <v>4.6074999999999999</v>
      </c>
      <c r="I47" s="1333">
        <v>4.6124000000000001</v>
      </c>
      <c r="J47" s="1333">
        <v>3.6966000000000001</v>
      </c>
      <c r="K47" s="1333">
        <v>4.3525499999999999</v>
      </c>
      <c r="L47" s="1333">
        <v>4.4867499999999998</v>
      </c>
      <c r="M47" s="1333">
        <v>3.7426333333333299</v>
      </c>
      <c r="N47" s="585" t="s">
        <v>566</v>
      </c>
      <c r="O47" s="1333">
        <v>4.7751083333333302</v>
      </c>
      <c r="P47" s="1333">
        <v>4.6199888888888898</v>
      </c>
      <c r="Q47" s="1333">
        <v>2.9812857142857099</v>
      </c>
      <c r="R47" s="1333">
        <v>4.9425800000000004</v>
      </c>
      <c r="S47" s="1333">
        <v>4.7024307692307703</v>
      </c>
      <c r="T47" s="1333">
        <v>3.5796999999999999</v>
      </c>
      <c r="U47" s="1333">
        <v>4.6037812499999999</v>
      </c>
      <c r="V47" s="1333">
        <v>4.6600666666666699</v>
      </c>
      <c r="W47" s="1333">
        <v>3.5547090909090899</v>
      </c>
      <c r="X47" s="1333">
        <v>4.6447333333333303</v>
      </c>
      <c r="Y47" s="1333">
        <v>4.5978384615384602</v>
      </c>
      <c r="Z47" s="1333">
        <v>3.3920909090909102</v>
      </c>
      <c r="AA47" s="585" t="s">
        <v>566</v>
      </c>
      <c r="AB47" s="1333">
        <v>2.562875</v>
      </c>
      <c r="AC47" s="1333">
        <v>2.08</v>
      </c>
      <c r="AD47" s="1333">
        <v>0.25</v>
      </c>
      <c r="AE47" s="1333">
        <v>3.6611199999999999</v>
      </c>
      <c r="AF47" s="1333">
        <v>1.89605</v>
      </c>
      <c r="AG47" s="1333">
        <v>2.1688499999999999</v>
      </c>
      <c r="AH47" s="1333">
        <v>3.2853599999999998</v>
      </c>
      <c r="AI47" s="1333">
        <v>0.85</v>
      </c>
      <c r="AJ47" s="1333">
        <v>2.4653499999999999</v>
      </c>
      <c r="AK47" s="1333">
        <v>3.9967000000000001</v>
      </c>
      <c r="AL47" s="1333">
        <v>1</v>
      </c>
      <c r="AM47" s="1333">
        <v>1</v>
      </c>
    </row>
    <row r="48" spans="1:39" s="255" customFormat="1" ht="11.45" customHeight="1">
      <c r="A48" s="544" t="s">
        <v>560</v>
      </c>
      <c r="B48" s="1345">
        <v>4.9666666666666703</v>
      </c>
      <c r="C48" s="1345">
        <v>4.8666666666666698</v>
      </c>
      <c r="D48" s="1345">
        <v>3.5533333333333301</v>
      </c>
      <c r="E48" s="1345">
        <v>4.4524999999999997</v>
      </c>
      <c r="F48" s="1345">
        <v>4.58</v>
      </c>
      <c r="G48" s="1345">
        <v>3.5233333333333299</v>
      </c>
      <c r="H48" s="1345">
        <v>4.2</v>
      </c>
      <c r="I48" s="1345">
        <v>4.46</v>
      </c>
      <c r="J48" s="1345">
        <v>3.6533333333333302</v>
      </c>
      <c r="K48" s="1345">
        <v>3.875</v>
      </c>
      <c r="L48" s="1345">
        <v>4.2699999999999996</v>
      </c>
      <c r="M48" s="1345">
        <v>3.74</v>
      </c>
      <c r="N48" s="544" t="s">
        <v>560</v>
      </c>
      <c r="O48" s="1345">
        <v>4.7300000000000004</v>
      </c>
      <c r="P48" s="1345">
        <v>4.8122222222222204</v>
      </c>
      <c r="Q48" s="1345">
        <v>3.1614285714285701</v>
      </c>
      <c r="R48" s="1345">
        <v>4.8706250000000004</v>
      </c>
      <c r="S48" s="1345">
        <v>4.70571428571429</v>
      </c>
      <c r="T48" s="1345">
        <v>3.6416666666666702</v>
      </c>
      <c r="U48" s="1345">
        <v>4.52764705882353</v>
      </c>
      <c r="V48" s="1345">
        <v>4.7676923076923101</v>
      </c>
      <c r="W48" s="1345">
        <v>3.5883333333333298</v>
      </c>
      <c r="X48" s="1345">
        <v>4.5575000000000001</v>
      </c>
      <c r="Y48" s="1345">
        <v>4.6285714285714299</v>
      </c>
      <c r="Z48" s="1345">
        <v>3.3849999999999998</v>
      </c>
      <c r="AA48" s="544" t="s">
        <v>560</v>
      </c>
      <c r="AB48" s="1345">
        <v>3.05</v>
      </c>
      <c r="AC48" s="1345">
        <v>2.08</v>
      </c>
      <c r="AD48" s="1345">
        <v>0.25</v>
      </c>
      <c r="AE48" s="1345">
        <v>3.89</v>
      </c>
      <c r="AF48" s="1345">
        <v>1.895</v>
      </c>
      <c r="AG48" s="1345">
        <v>0.5</v>
      </c>
      <c r="AH48" s="1345">
        <v>3.56</v>
      </c>
      <c r="AI48" s="1345">
        <v>1.7350000000000001</v>
      </c>
      <c r="AJ48" s="1345">
        <v>0.75</v>
      </c>
      <c r="AK48" s="1345">
        <v>4.0599999999999996</v>
      </c>
      <c r="AL48" s="1345">
        <v>1.81</v>
      </c>
      <c r="AM48" s="1345">
        <v>1</v>
      </c>
    </row>
    <row r="49" spans="1:41" s="255" customFormat="1" ht="11.45" customHeight="1">
      <c r="A49" s="585" t="s">
        <v>567</v>
      </c>
      <c r="B49" s="1333">
        <v>4.7967000000000004</v>
      </c>
      <c r="C49" s="1333">
        <v>4.8071666666666699</v>
      </c>
      <c r="D49" s="1333">
        <v>3.4466666666666699</v>
      </c>
      <c r="E49" s="1333">
        <v>4.3926999999999996</v>
      </c>
      <c r="F49" s="1333">
        <v>4.4880500000000003</v>
      </c>
      <c r="G49" s="1333">
        <v>3.44363333333333</v>
      </c>
      <c r="H49" s="1333">
        <v>4.2055749999999996</v>
      </c>
      <c r="I49" s="1333">
        <v>4.3808249999999997</v>
      </c>
      <c r="J49" s="1333">
        <v>3.5790000000000002</v>
      </c>
      <c r="K49" s="1333">
        <v>3.9902250000000001</v>
      </c>
      <c r="L49" s="1333">
        <v>4.2134</v>
      </c>
      <c r="M49" s="1333">
        <v>3.71396666666667</v>
      </c>
      <c r="N49" s="585" t="s">
        <v>567</v>
      </c>
      <c r="O49" s="1333">
        <v>4.1333166666666701</v>
      </c>
      <c r="P49" s="1333">
        <v>3.9248500000000002</v>
      </c>
      <c r="Q49" s="1333">
        <v>2.7008999999999999</v>
      </c>
      <c r="R49" s="1333">
        <v>4.6265266666666696</v>
      </c>
      <c r="S49" s="1333">
        <v>4.35826153846154</v>
      </c>
      <c r="T49" s="1333">
        <v>3.3367181818181799</v>
      </c>
      <c r="U49" s="1333">
        <v>4.51268125</v>
      </c>
      <c r="V49" s="1333">
        <v>4.62845</v>
      </c>
      <c r="W49" s="1333">
        <v>3.2988272727272698</v>
      </c>
      <c r="X49" s="1333">
        <v>4.8381375000000002</v>
      </c>
      <c r="Y49" s="1333">
        <v>4.7903307692307697</v>
      </c>
      <c r="Z49" s="1333">
        <v>3.14236363636364</v>
      </c>
      <c r="AA49" s="585" t="s">
        <v>567</v>
      </c>
      <c r="AB49" s="1333">
        <v>3.4010333333333298</v>
      </c>
      <c r="AC49" s="1333">
        <v>2.87</v>
      </c>
      <c r="AD49" s="1333">
        <v>0</v>
      </c>
      <c r="AE49" s="1333">
        <v>3.8405999999999998</v>
      </c>
      <c r="AF49" s="1333">
        <v>2.8220999999999998</v>
      </c>
      <c r="AG49" s="1333">
        <v>0</v>
      </c>
      <c r="AH49" s="1333">
        <v>3.4137</v>
      </c>
      <c r="AI49" s="1333">
        <v>2.62</v>
      </c>
      <c r="AJ49" s="1333">
        <v>0</v>
      </c>
      <c r="AK49" s="1333">
        <v>3.8274333333333299</v>
      </c>
      <c r="AL49" s="1333">
        <v>2.62</v>
      </c>
      <c r="AM49" s="1333">
        <v>0</v>
      </c>
    </row>
    <row r="50" spans="1:41" s="255" customFormat="1" ht="11.45" customHeight="1" thickBot="1">
      <c r="A50" s="1773" t="s">
        <v>568</v>
      </c>
      <c r="B50" s="1774">
        <v>4.69586666666667</v>
      </c>
      <c r="C50" s="1774">
        <v>4.7277333333333296</v>
      </c>
      <c r="D50" s="1774">
        <v>3.3045666666666702</v>
      </c>
      <c r="E50" s="1774">
        <v>4.3407499999999999</v>
      </c>
      <c r="F50" s="1774">
        <v>4.4904000000000002</v>
      </c>
      <c r="G50" s="1774">
        <v>3.3125666666666702</v>
      </c>
      <c r="H50" s="1774">
        <v>4.2642499999999997</v>
      </c>
      <c r="I50" s="1774">
        <v>4.4045249999999996</v>
      </c>
      <c r="J50" s="1774">
        <v>3.4712666666666698</v>
      </c>
      <c r="K50" s="1774">
        <v>4.1870500000000002</v>
      </c>
      <c r="L50" s="1774">
        <v>4.3330000000000002</v>
      </c>
      <c r="M50" s="1774">
        <v>3.6627666666666698</v>
      </c>
      <c r="N50" s="1773" t="s">
        <v>568</v>
      </c>
      <c r="O50" s="1774">
        <v>4.0729583333333297</v>
      </c>
      <c r="P50" s="1774">
        <v>5.4267555555555598</v>
      </c>
      <c r="Q50" s="1774">
        <v>2.6264166666666702</v>
      </c>
      <c r="R50" s="1774">
        <v>4.4883866666666696</v>
      </c>
      <c r="S50" s="1774">
        <v>4.4543307692307703</v>
      </c>
      <c r="T50" s="1774">
        <v>3.1280000000000001</v>
      </c>
      <c r="U50" s="1774">
        <v>4.4474562500000001</v>
      </c>
      <c r="V50" s="1774">
        <v>4.76525833333333</v>
      </c>
      <c r="W50" s="1774">
        <v>3.077</v>
      </c>
      <c r="X50" s="1774">
        <v>4.9042750000000002</v>
      </c>
      <c r="Y50" s="1774">
        <v>4.9519076923076897</v>
      </c>
      <c r="Z50" s="1774">
        <v>2.9280909090909102</v>
      </c>
      <c r="AA50" s="1773" t="s">
        <v>568</v>
      </c>
      <c r="AB50" s="1774">
        <v>2.8154499999999998</v>
      </c>
      <c r="AC50" s="1774">
        <v>2.08</v>
      </c>
      <c r="AD50" s="1774">
        <v>0.25</v>
      </c>
      <c r="AE50" s="1774">
        <v>2.9290500000000002</v>
      </c>
      <c r="AF50" s="1774">
        <v>1.7860499999999999</v>
      </c>
      <c r="AG50" s="1774">
        <v>0.5</v>
      </c>
      <c r="AH50" s="1774">
        <v>2.9327000000000001</v>
      </c>
      <c r="AI50" s="1774">
        <v>1.7350000000000001</v>
      </c>
      <c r="AJ50" s="1774">
        <v>0.75</v>
      </c>
      <c r="AK50" s="1774">
        <v>3.2932250000000001</v>
      </c>
      <c r="AL50" s="1774">
        <v>1.81</v>
      </c>
      <c r="AM50" s="1774">
        <v>1</v>
      </c>
    </row>
    <row r="51" spans="1:41" ht="12.6" customHeight="1">
      <c r="A51" s="115" t="s">
        <v>373</v>
      </c>
      <c r="B51" s="2285" t="s">
        <v>1260</v>
      </c>
      <c r="C51" s="2285"/>
      <c r="D51" s="2285"/>
      <c r="E51" s="2285"/>
      <c r="F51" s="2285"/>
      <c r="G51" s="933"/>
      <c r="H51" s="908"/>
      <c r="I51" s="908"/>
      <c r="J51" s="908"/>
      <c r="K51" s="908"/>
      <c r="L51" s="908"/>
      <c r="M51" s="908"/>
      <c r="N51" s="115" t="s">
        <v>373</v>
      </c>
      <c r="O51" s="2285" t="s">
        <v>1260</v>
      </c>
      <c r="P51" s="2285"/>
      <c r="Q51" s="2285"/>
      <c r="R51" s="2285"/>
      <c r="S51" s="2285"/>
      <c r="T51" s="2285"/>
      <c r="AA51" s="115" t="s">
        <v>372</v>
      </c>
      <c r="AB51" s="2000" t="s">
        <v>1260</v>
      </c>
      <c r="AC51" s="2000"/>
      <c r="AD51" s="2000"/>
      <c r="AE51" s="2000"/>
      <c r="AF51" s="2000"/>
      <c r="AG51" s="26"/>
      <c r="AH51" s="26"/>
      <c r="AI51" s="26"/>
      <c r="AJ51" s="26"/>
      <c r="AK51" s="26"/>
      <c r="AL51" s="26"/>
    </row>
    <row r="52" spans="1:41" ht="12.6" customHeight="1">
      <c r="A52" s="42" t="s">
        <v>374</v>
      </c>
      <c r="B52" s="2455"/>
      <c r="C52" s="2455"/>
      <c r="D52" s="2455"/>
      <c r="E52" s="53"/>
      <c r="F52" s="53"/>
      <c r="G52" s="53"/>
      <c r="H52" s="908"/>
      <c r="I52" s="908"/>
      <c r="J52" s="908"/>
      <c r="K52" s="908"/>
      <c r="L52" s="908"/>
      <c r="M52" s="908"/>
      <c r="N52" s="112" t="s">
        <v>226</v>
      </c>
      <c r="O52" s="2456"/>
      <c r="P52" s="2456"/>
      <c r="Q52" s="2456"/>
      <c r="R52" s="785"/>
      <c r="S52" s="785"/>
      <c r="T52" s="116"/>
      <c r="U52" s="114"/>
      <c r="V52" s="114"/>
      <c r="W52" s="114"/>
      <c r="X52" s="114"/>
      <c r="Y52" s="114"/>
      <c r="Z52" s="114"/>
      <c r="AA52" s="17" t="s">
        <v>370</v>
      </c>
      <c r="AB52" s="2457"/>
      <c r="AC52" s="2457"/>
      <c r="AD52" s="2457"/>
      <c r="AE52" s="83"/>
      <c r="AF52" s="83"/>
      <c r="AG52" s="26"/>
      <c r="AH52" s="26"/>
      <c r="AI52" s="26"/>
      <c r="AJ52" s="26"/>
      <c r="AK52" s="26"/>
      <c r="AL52" s="26"/>
    </row>
    <row r="53" spans="1:41"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</row>
    <row r="54" spans="1:41"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</row>
    <row r="55" spans="1:41"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</row>
    <row r="56" spans="1:41"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</row>
    <row r="57" spans="1:41"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</row>
    <row r="58" spans="1:41"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</row>
    <row r="59" spans="1:41"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</row>
    <row r="60" spans="1:41"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</row>
    <row r="61" spans="1:41"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</row>
    <row r="62" spans="1:41"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</row>
    <row r="63" spans="1:41"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1346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1346"/>
      <c r="AB63" s="85"/>
      <c r="AC63" s="85"/>
      <c r="AD63" s="85"/>
      <c r="AE63" s="85"/>
      <c r="AF63" s="85"/>
      <c r="AG63" s="85"/>
      <c r="AH63" s="85"/>
      <c r="AI63" s="85"/>
      <c r="AJ63" s="85"/>
      <c r="AK63" s="85"/>
    </row>
    <row r="64" spans="1:41"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1346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1346"/>
      <c r="AB64" s="85"/>
      <c r="AC64" s="85"/>
      <c r="AD64" s="85"/>
      <c r="AE64" s="85"/>
      <c r="AF64" s="85"/>
      <c r="AG64" s="85"/>
      <c r="AH64" s="85"/>
      <c r="AI64" s="85"/>
      <c r="AJ64" s="85"/>
      <c r="AK64" s="85"/>
    </row>
    <row r="66" spans="2:37"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1346"/>
      <c r="O66" s="1346"/>
      <c r="P66" s="1346"/>
      <c r="Q66" s="1346"/>
      <c r="R66" s="1346"/>
      <c r="S66" s="1346"/>
      <c r="T66" s="1346"/>
      <c r="U66" s="1346"/>
      <c r="V66" s="1346"/>
      <c r="W66" s="1346"/>
      <c r="X66" s="1346"/>
      <c r="Y66" s="1346"/>
      <c r="Z66" s="1346"/>
      <c r="AA66" s="1346"/>
      <c r="AB66" s="1346"/>
      <c r="AC66" s="1346"/>
      <c r="AD66" s="1346"/>
      <c r="AE66" s="1346"/>
      <c r="AF66" s="1346"/>
      <c r="AG66" s="1346"/>
      <c r="AH66" s="1346"/>
      <c r="AI66" s="1346"/>
      <c r="AJ66" s="1346"/>
      <c r="AK66" s="1346"/>
    </row>
    <row r="67" spans="2:37"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1346"/>
      <c r="O67" s="1346"/>
      <c r="P67" s="1346"/>
      <c r="Q67" s="1346"/>
      <c r="R67" s="1346"/>
      <c r="S67" s="1346"/>
      <c r="T67" s="1346"/>
      <c r="U67" s="1346"/>
      <c r="V67" s="1346"/>
      <c r="W67" s="1346"/>
      <c r="X67" s="1346"/>
      <c r="Y67" s="1346"/>
      <c r="Z67" s="1346"/>
      <c r="AA67" s="1346"/>
      <c r="AB67" s="1346"/>
      <c r="AC67" s="1346"/>
      <c r="AD67" s="1346"/>
      <c r="AE67" s="1346"/>
      <c r="AF67" s="1346"/>
      <c r="AG67" s="1346"/>
      <c r="AH67" s="1346"/>
      <c r="AI67" s="1346"/>
      <c r="AJ67" s="1346"/>
      <c r="AK67" s="1346"/>
    </row>
    <row r="68" spans="2:37"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1346"/>
      <c r="O68" s="1346"/>
      <c r="P68" s="1346"/>
      <c r="Q68" s="1346"/>
      <c r="R68" s="1346"/>
      <c r="S68" s="1346"/>
      <c r="T68" s="1346"/>
      <c r="U68" s="1346"/>
      <c r="V68" s="1346"/>
      <c r="W68" s="1346"/>
      <c r="X68" s="1346"/>
      <c r="Y68" s="1346"/>
      <c r="Z68" s="1346"/>
      <c r="AA68" s="1346"/>
      <c r="AB68" s="1346"/>
      <c r="AC68" s="1346"/>
      <c r="AD68" s="1346"/>
      <c r="AE68" s="1346"/>
      <c r="AF68" s="1346"/>
      <c r="AG68" s="1346"/>
      <c r="AH68" s="1346"/>
      <c r="AI68" s="1346"/>
      <c r="AJ68" s="1346"/>
      <c r="AK68" s="1346"/>
    </row>
    <row r="69" spans="2:37"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1346"/>
      <c r="O69" s="1346"/>
      <c r="P69" s="1346"/>
      <c r="Q69" s="1346"/>
      <c r="R69" s="1346"/>
      <c r="S69" s="1346"/>
      <c r="T69" s="1346"/>
      <c r="U69" s="1346"/>
      <c r="V69" s="1346"/>
      <c r="W69" s="1346"/>
      <c r="X69" s="1346"/>
      <c r="Y69" s="1346"/>
      <c r="Z69" s="1346"/>
      <c r="AA69" s="1346"/>
      <c r="AB69" s="1346"/>
      <c r="AC69" s="1346"/>
      <c r="AD69" s="1346"/>
      <c r="AE69" s="1346"/>
      <c r="AF69" s="1346"/>
      <c r="AG69" s="1346"/>
      <c r="AH69" s="1346"/>
      <c r="AI69" s="1346"/>
      <c r="AJ69" s="1346"/>
      <c r="AK69" s="1346"/>
    </row>
    <row r="70" spans="2:37"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1346"/>
      <c r="O70" s="1346"/>
      <c r="P70" s="1346"/>
      <c r="Q70" s="1346"/>
      <c r="R70" s="1346"/>
      <c r="S70" s="1346"/>
      <c r="T70" s="1346"/>
      <c r="U70" s="1346"/>
      <c r="V70" s="1346"/>
      <c r="W70" s="1346"/>
      <c r="X70" s="1346"/>
      <c r="Y70" s="1346"/>
      <c r="Z70" s="1346"/>
      <c r="AA70" s="1346"/>
      <c r="AB70" s="1346"/>
      <c r="AC70" s="1346"/>
      <c r="AD70" s="1346"/>
      <c r="AE70" s="1346"/>
      <c r="AF70" s="1346"/>
      <c r="AG70" s="1346"/>
      <c r="AH70" s="1346"/>
      <c r="AI70" s="1346"/>
      <c r="AJ70" s="1346"/>
      <c r="AK70" s="1346"/>
    </row>
    <row r="71" spans="2:37"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1346"/>
      <c r="O71" s="1346"/>
      <c r="P71" s="1346"/>
      <c r="Q71" s="1346"/>
      <c r="R71" s="1346"/>
      <c r="S71" s="1346"/>
      <c r="T71" s="1346"/>
      <c r="U71" s="1346"/>
      <c r="V71" s="1346"/>
      <c r="W71" s="1346"/>
      <c r="X71" s="1346"/>
      <c r="Y71" s="1346"/>
      <c r="Z71" s="1346"/>
      <c r="AA71" s="1346"/>
      <c r="AB71" s="1346"/>
      <c r="AC71" s="1346"/>
      <c r="AD71" s="1346"/>
      <c r="AE71" s="1346"/>
      <c r="AF71" s="1346"/>
      <c r="AG71" s="1346"/>
      <c r="AH71" s="1346"/>
      <c r="AI71" s="1346"/>
      <c r="AJ71" s="1346"/>
      <c r="AK71" s="1346"/>
    </row>
    <row r="72" spans="2:37"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1346"/>
      <c r="O72" s="1346"/>
      <c r="P72" s="1346"/>
      <c r="Q72" s="1346"/>
      <c r="R72" s="1346"/>
      <c r="S72" s="1346"/>
      <c r="T72" s="1346"/>
      <c r="U72" s="1346"/>
      <c r="V72" s="1346"/>
      <c r="W72" s="1346"/>
      <c r="X72" s="1346"/>
      <c r="Y72" s="1346"/>
      <c r="Z72" s="1346"/>
      <c r="AA72" s="1346"/>
      <c r="AB72" s="1346"/>
      <c r="AC72" s="1346"/>
      <c r="AD72" s="1346"/>
      <c r="AE72" s="1346"/>
      <c r="AF72" s="1346"/>
      <c r="AG72" s="1346"/>
      <c r="AH72" s="1346"/>
      <c r="AI72" s="1346"/>
      <c r="AJ72" s="1346"/>
      <c r="AK72" s="1346"/>
    </row>
    <row r="73" spans="2:37"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1346"/>
      <c r="O73" s="1346"/>
      <c r="P73" s="1346"/>
      <c r="Q73" s="1346"/>
      <c r="R73" s="1346"/>
      <c r="S73" s="1346"/>
      <c r="T73" s="1346"/>
      <c r="U73" s="1346"/>
      <c r="V73" s="1346"/>
      <c r="W73" s="1346"/>
      <c r="X73" s="1346"/>
      <c r="Y73" s="1346"/>
      <c r="Z73" s="1346"/>
      <c r="AA73" s="1346"/>
      <c r="AB73" s="1346"/>
      <c r="AC73" s="1346"/>
      <c r="AD73" s="1346"/>
      <c r="AE73" s="1346"/>
      <c r="AF73" s="1346"/>
      <c r="AG73" s="1346"/>
      <c r="AH73" s="1346"/>
      <c r="AI73" s="1346"/>
      <c r="AJ73" s="1346"/>
      <c r="AK73" s="1346"/>
    </row>
    <row r="74" spans="2:37"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</row>
    <row r="75" spans="2:37"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</row>
  </sheetData>
  <customSheetViews>
    <customSheetView guid="{A374FC54-96E3-45F0-9C12-8450400C12DF}" scale="130">
      <pane xSplit="1" ySplit="5" topLeftCell="B38" activePane="bottomRight" state="frozen"/>
      <selection pane="bottomRight" activeCell="L51" sqref="L51"/>
      <pageMargins left="0.59055118110236204" right="0.511811023622047" top="0.511811023622047" bottom="0.511811023622047" header="0" footer="0.43307086614173201"/>
      <pageSetup paperSize="132" firstPageNumber="75" orientation="portrait" useFirstPageNumber="1" r:id="rId1"/>
      <headerFooter>
        <oddFooter>&amp;C&amp;"Times New Roman,Regular"&amp;8&amp;P</oddFooter>
      </headerFooter>
    </customSheetView>
  </customSheetViews>
  <mergeCells count="33">
    <mergeCell ref="B52:D52"/>
    <mergeCell ref="O52:Q52"/>
    <mergeCell ref="AB52:AD52"/>
    <mergeCell ref="AK2:AM2"/>
    <mergeCell ref="K1:M1"/>
    <mergeCell ref="X1:Z1"/>
    <mergeCell ref="U4:W4"/>
    <mergeCell ref="X4:Z4"/>
    <mergeCell ref="AB3:AM3"/>
    <mergeCell ref="AK1:AM1"/>
    <mergeCell ref="AA3:AA5"/>
    <mergeCell ref="R4:T4"/>
    <mergeCell ref="AK4:AM4"/>
    <mergeCell ref="AB4:AD4"/>
    <mergeCell ref="AH4:AJ4"/>
    <mergeCell ref="AE4:AG4"/>
    <mergeCell ref="A3:A5"/>
    <mergeCell ref="B3:M3"/>
    <mergeCell ref="N3:N5"/>
    <mergeCell ref="O3:Z3"/>
    <mergeCell ref="B4:D4"/>
    <mergeCell ref="O4:Q4"/>
    <mergeCell ref="K4:M4"/>
    <mergeCell ref="H4:J4"/>
    <mergeCell ref="E4:G4"/>
    <mergeCell ref="B51:F51"/>
    <mergeCell ref="O51:T51"/>
    <mergeCell ref="AB51:AF51"/>
    <mergeCell ref="B1:I1"/>
    <mergeCell ref="O1:V1"/>
    <mergeCell ref="AB1:AI1"/>
    <mergeCell ref="K2:M2"/>
    <mergeCell ref="X2:Z2"/>
  </mergeCells>
  <phoneticPr fontId="43" type="noConversion"/>
  <pageMargins left="0.59055118110236204" right="0.511811023622047" top="0.511811023622047" bottom="0.511811023622047" header="0" footer="0.43307086614173201"/>
  <pageSetup paperSize="448" firstPageNumber="79" orientation="portrait" useFirstPageNumber="1" r:id="rId2"/>
  <headerFooter>
    <oddFooter>&amp;C&amp;"Times New Roman,Regular"&amp;8&amp;P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O51"/>
  <sheetViews>
    <sheetView showWhiteSpace="0" topLeftCell="A31" zoomScale="130" zoomScaleNormal="130" workbookViewId="0">
      <selection activeCell="M60" sqref="M60"/>
    </sheetView>
  </sheetViews>
  <sheetFormatPr defaultColWidth="9.140625" defaultRowHeight="11.25"/>
  <cols>
    <col min="1" max="1" width="7.7109375" style="8" customWidth="1"/>
    <col min="2" max="2" width="9.28515625" style="8" customWidth="1"/>
    <col min="3" max="3" width="10.85546875" style="8" customWidth="1"/>
    <col min="4" max="4" width="11.42578125" style="8" customWidth="1"/>
    <col min="5" max="5" width="12.28515625" style="8" customWidth="1"/>
    <col min="6" max="6" width="12.85546875" style="8" customWidth="1"/>
    <col min="7" max="7" width="14.85546875" style="8" customWidth="1"/>
    <col min="8" max="16384" width="9.140625" style="8"/>
  </cols>
  <sheetData>
    <row r="1" spans="1:15" s="33" customFormat="1" ht="34.5" customHeight="1">
      <c r="B1" s="2459" t="s">
        <v>1411</v>
      </c>
      <c r="C1" s="2459"/>
      <c r="D1" s="2459"/>
      <c r="E1" s="2459"/>
      <c r="F1" s="2460" t="s">
        <v>349</v>
      </c>
      <c r="G1" s="2460"/>
    </row>
    <row r="2" spans="1:15" ht="11.25" customHeight="1">
      <c r="A2" s="2461"/>
      <c r="B2" s="2461"/>
      <c r="C2" s="2461"/>
      <c r="D2" s="2461"/>
      <c r="E2" s="2461"/>
      <c r="F2" s="2462" t="s">
        <v>513</v>
      </c>
      <c r="G2" s="2462"/>
      <c r="I2" s="33"/>
      <c r="J2" s="33"/>
      <c r="K2" s="33"/>
      <c r="L2" s="33"/>
    </row>
    <row r="3" spans="1:15" s="39" customFormat="1" ht="15.75" customHeight="1">
      <c r="A3" s="2463" t="s">
        <v>487</v>
      </c>
      <c r="B3" s="2464" t="s">
        <v>515</v>
      </c>
      <c r="C3" s="2465"/>
      <c r="D3" s="2465"/>
      <c r="E3" s="2465" t="s">
        <v>518</v>
      </c>
      <c r="F3" s="2465"/>
      <c r="G3" s="2465"/>
    </row>
    <row r="4" spans="1:15" s="39" customFormat="1" ht="14.25" customHeight="1">
      <c r="A4" s="2463"/>
      <c r="B4" s="1527" t="s">
        <v>516</v>
      </c>
      <c r="C4" s="1531" t="s">
        <v>517</v>
      </c>
      <c r="D4" s="1518" t="s">
        <v>486</v>
      </c>
      <c r="E4" s="1519" t="s">
        <v>516</v>
      </c>
      <c r="F4" s="1519" t="s">
        <v>517</v>
      </c>
      <c r="G4" s="1519" t="s">
        <v>486</v>
      </c>
    </row>
    <row r="5" spans="1:15" ht="13.5" customHeight="1">
      <c r="A5" s="243">
        <v>2009</v>
      </c>
      <c r="B5" s="14">
        <v>19</v>
      </c>
      <c r="C5" s="14">
        <v>0.05</v>
      </c>
      <c r="D5" s="14">
        <v>4.3883333333333336</v>
      </c>
      <c r="E5" s="14">
        <v>19</v>
      </c>
      <c r="F5" s="14">
        <v>0.05</v>
      </c>
      <c r="G5" s="14">
        <v>4.3883333333333336</v>
      </c>
    </row>
    <row r="6" spans="1:15" ht="13.5" customHeight="1">
      <c r="A6" s="1524">
        <v>2010</v>
      </c>
      <c r="B6" s="322">
        <v>190</v>
      </c>
      <c r="C6" s="322">
        <v>2</v>
      </c>
      <c r="D6" s="322">
        <v>8.0549999999999997</v>
      </c>
      <c r="E6" s="322">
        <v>190</v>
      </c>
      <c r="F6" s="322">
        <v>2</v>
      </c>
      <c r="G6" s="322">
        <v>8.0549999999999997</v>
      </c>
    </row>
    <row r="7" spans="1:15" s="164" customFormat="1" ht="13.5" customHeight="1">
      <c r="A7" s="1523">
        <v>2011</v>
      </c>
      <c r="B7" s="15">
        <v>24</v>
      </c>
      <c r="C7" s="15">
        <v>3</v>
      </c>
      <c r="D7" s="15">
        <v>11.16</v>
      </c>
      <c r="E7" s="15">
        <v>24</v>
      </c>
      <c r="F7" s="15">
        <v>3</v>
      </c>
      <c r="G7" s="15">
        <v>11.16</v>
      </c>
    </row>
    <row r="8" spans="1:15" s="164" customFormat="1" ht="13.5" customHeight="1">
      <c r="A8" s="1524">
        <v>2012</v>
      </c>
      <c r="B8" s="322">
        <v>22</v>
      </c>
      <c r="C8" s="322">
        <v>3</v>
      </c>
      <c r="D8" s="322">
        <v>12.822499999999998</v>
      </c>
      <c r="E8" s="322">
        <v>22</v>
      </c>
      <c r="F8" s="322">
        <v>3</v>
      </c>
      <c r="G8" s="322">
        <v>12.822499999999998</v>
      </c>
    </row>
    <row r="9" spans="1:15" s="162" customFormat="1" ht="13.5" customHeight="1">
      <c r="A9" s="142">
        <v>2013</v>
      </c>
      <c r="B9" s="28">
        <v>13</v>
      </c>
      <c r="C9" s="28">
        <v>5.0999999999999996</v>
      </c>
      <c r="D9" s="28">
        <v>7.775833333333332</v>
      </c>
      <c r="E9" s="28">
        <v>13</v>
      </c>
      <c r="F9" s="28">
        <v>5.0999999999999996</v>
      </c>
      <c r="G9" s="28">
        <v>7.775833333333332</v>
      </c>
    </row>
    <row r="10" spans="1:15" s="162" customFormat="1" ht="13.5" customHeight="1">
      <c r="A10" s="312">
        <v>2014</v>
      </c>
      <c r="B10" s="300">
        <v>9.9</v>
      </c>
      <c r="C10" s="300">
        <v>5</v>
      </c>
      <c r="D10" s="300">
        <v>7.1399999999999979</v>
      </c>
      <c r="E10" s="300">
        <v>9.9</v>
      </c>
      <c r="F10" s="300">
        <v>5</v>
      </c>
      <c r="G10" s="300">
        <v>7.1399999999999979</v>
      </c>
    </row>
    <row r="11" spans="1:15" s="162" customFormat="1" ht="13.5" customHeight="1">
      <c r="A11" s="142">
        <v>2015</v>
      </c>
      <c r="B11" s="28">
        <v>9.9</v>
      </c>
      <c r="C11" s="28">
        <v>1.25</v>
      </c>
      <c r="D11" s="28">
        <v>6.1983333333333333</v>
      </c>
      <c r="E11" s="28">
        <v>9.9</v>
      </c>
      <c r="F11" s="28">
        <v>1.25</v>
      </c>
      <c r="G11" s="28">
        <v>6.145833333333333</v>
      </c>
    </row>
    <row r="12" spans="1:15" s="462" customFormat="1" ht="13.5" customHeight="1">
      <c r="A12" s="398">
        <v>2016</v>
      </c>
      <c r="B12" s="300">
        <v>5</v>
      </c>
      <c r="C12" s="300">
        <v>1</v>
      </c>
      <c r="D12" s="300">
        <v>3.6691666666666669</v>
      </c>
      <c r="E12" s="300">
        <v>5</v>
      </c>
      <c r="F12" s="300">
        <v>1</v>
      </c>
      <c r="G12" s="300">
        <v>3.6691666666666669</v>
      </c>
      <c r="H12" s="162"/>
      <c r="I12" s="245"/>
      <c r="J12" s="162"/>
      <c r="K12" s="162"/>
      <c r="L12" s="162"/>
      <c r="M12" s="162"/>
      <c r="N12" s="162"/>
      <c r="O12" s="162"/>
    </row>
    <row r="13" spans="1:15" s="462" customFormat="1" ht="13.5" customHeight="1">
      <c r="A13" s="384">
        <v>2017</v>
      </c>
      <c r="B13" s="28">
        <v>4.5</v>
      </c>
      <c r="C13" s="28">
        <v>1.5</v>
      </c>
      <c r="D13" s="28">
        <v>3.7674999999999996</v>
      </c>
      <c r="E13" s="28">
        <v>4.5</v>
      </c>
      <c r="F13" s="28">
        <v>1.5</v>
      </c>
      <c r="G13" s="28">
        <v>3.7674999999999996</v>
      </c>
      <c r="H13" s="162"/>
      <c r="I13" s="245"/>
      <c r="J13" s="162"/>
      <c r="K13" s="162"/>
      <c r="L13" s="162"/>
      <c r="M13" s="162"/>
      <c r="N13" s="162"/>
      <c r="O13" s="162"/>
    </row>
    <row r="14" spans="1:15" s="162" customFormat="1" ht="13.5" customHeight="1">
      <c r="A14" s="398">
        <v>2018</v>
      </c>
      <c r="B14" s="300">
        <v>5.5</v>
      </c>
      <c r="C14" s="300">
        <v>0.1</v>
      </c>
      <c r="D14" s="300">
        <v>3.6691666666666669</v>
      </c>
      <c r="E14" s="300">
        <v>5.5</v>
      </c>
      <c r="F14" s="300">
        <v>0.1</v>
      </c>
      <c r="G14" s="300">
        <v>3.6691666666666669</v>
      </c>
    </row>
    <row r="15" spans="1:15" s="9" customFormat="1" ht="13.5" customHeight="1">
      <c r="A15" s="384">
        <v>2019</v>
      </c>
      <c r="B15" s="28">
        <v>5.5</v>
      </c>
      <c r="C15" s="28">
        <v>0.75</v>
      </c>
      <c r="D15" s="28">
        <v>4.4274999999999993</v>
      </c>
      <c r="E15" s="28">
        <v>5.5</v>
      </c>
      <c r="F15" s="28">
        <v>0.75</v>
      </c>
      <c r="G15" s="28">
        <v>4.4274999999999993</v>
      </c>
    </row>
    <row r="16" spans="1:15" s="162" customFormat="1" ht="13.5" customHeight="1">
      <c r="A16" s="398">
        <v>2020</v>
      </c>
      <c r="B16" s="300">
        <v>5.5</v>
      </c>
      <c r="C16" s="300">
        <v>0.3</v>
      </c>
      <c r="D16" s="300">
        <v>4.0091666666666663</v>
      </c>
      <c r="E16" s="300">
        <v>5.5</v>
      </c>
      <c r="F16" s="300">
        <v>0.3</v>
      </c>
      <c r="G16" s="300">
        <v>4.0091666666666663</v>
      </c>
    </row>
    <row r="17" spans="1:7" s="162" customFormat="1" ht="13.5" customHeight="1">
      <c r="A17" s="891">
        <v>2021</v>
      </c>
      <c r="B17" s="143">
        <v>5.25</v>
      </c>
      <c r="C17" s="143">
        <v>1</v>
      </c>
      <c r="D17" s="143">
        <v>2.1041666666666665</v>
      </c>
      <c r="E17" s="143">
        <v>5.25</v>
      </c>
      <c r="F17" s="143">
        <v>1</v>
      </c>
      <c r="G17" s="143">
        <v>2.1041666666666665</v>
      </c>
    </row>
    <row r="18" spans="1:7" s="162" customFormat="1" ht="13.5" customHeight="1">
      <c r="A18" s="1525">
        <v>2022</v>
      </c>
      <c r="B18" s="303">
        <v>7.75</v>
      </c>
      <c r="C18" s="303">
        <v>1</v>
      </c>
      <c r="D18" s="303">
        <v>4.6524999999999999</v>
      </c>
      <c r="E18" s="303">
        <v>7.75</v>
      </c>
      <c r="F18" s="303">
        <v>1</v>
      </c>
      <c r="G18" s="303">
        <v>4.6524999999999999</v>
      </c>
    </row>
    <row r="19" spans="1:7" s="162" customFormat="1" ht="13.5" customHeight="1">
      <c r="A19" s="891">
        <v>2023</v>
      </c>
      <c r="B19" s="143">
        <f>MAX(B20:B31)</f>
        <v>9.75</v>
      </c>
      <c r="C19" s="143">
        <f>MIN(C20:C31)</f>
        <v>4.25</v>
      </c>
      <c r="D19" s="143">
        <f>AVERAGE(D20:D31)</f>
        <v>6.6816666666666658</v>
      </c>
      <c r="E19" s="143">
        <f>MAX(E20:E31)</f>
        <v>9.75</v>
      </c>
      <c r="F19" s="143">
        <f>MIN(F20:F31)</f>
        <v>4.25</v>
      </c>
      <c r="G19" s="143">
        <f>AVERAGE(G20:G31)</f>
        <v>6.6816666666666658</v>
      </c>
    </row>
    <row r="20" spans="1:7" s="162" customFormat="1" ht="13.5" customHeight="1">
      <c r="A20" s="398" t="s">
        <v>569</v>
      </c>
      <c r="B20" s="295">
        <v>7.5</v>
      </c>
      <c r="C20" s="295">
        <v>5.25</v>
      </c>
      <c r="D20" s="295">
        <v>6.66</v>
      </c>
      <c r="E20" s="295">
        <v>7.5</v>
      </c>
      <c r="F20" s="295">
        <v>5.25</v>
      </c>
      <c r="G20" s="295">
        <v>6.66</v>
      </c>
    </row>
    <row r="21" spans="1:7" s="162" customFormat="1" ht="13.5" customHeight="1">
      <c r="A21" s="384" t="s">
        <v>570</v>
      </c>
      <c r="B21" s="256">
        <v>7.5</v>
      </c>
      <c r="C21" s="256">
        <v>5</v>
      </c>
      <c r="D21" s="256">
        <v>6.15</v>
      </c>
      <c r="E21" s="256">
        <v>7.5</v>
      </c>
      <c r="F21" s="256">
        <v>5</v>
      </c>
      <c r="G21" s="256">
        <v>6.15</v>
      </c>
    </row>
    <row r="22" spans="1:7" s="162" customFormat="1" ht="13.5" customHeight="1">
      <c r="A22" s="398" t="s">
        <v>562</v>
      </c>
      <c r="B22" s="295">
        <v>7.5</v>
      </c>
      <c r="C22" s="295">
        <v>5</v>
      </c>
      <c r="D22" s="295">
        <v>6.03</v>
      </c>
      <c r="E22" s="295">
        <v>7.5</v>
      </c>
      <c r="F22" s="295">
        <v>5</v>
      </c>
      <c r="G22" s="295">
        <v>6.03</v>
      </c>
    </row>
    <row r="23" spans="1:7" s="162" customFormat="1" ht="13.5" customHeight="1">
      <c r="A23" s="384" t="s">
        <v>571</v>
      </c>
      <c r="B23" s="256">
        <v>7.5</v>
      </c>
      <c r="C23" s="256">
        <v>5</v>
      </c>
      <c r="D23" s="256">
        <v>6.04</v>
      </c>
      <c r="E23" s="256">
        <v>7.5</v>
      </c>
      <c r="F23" s="256">
        <v>5</v>
      </c>
      <c r="G23" s="256">
        <v>6.04</v>
      </c>
    </row>
    <row r="24" spans="1:7" s="162" customFormat="1" ht="13.5" customHeight="1">
      <c r="A24" s="398" t="s">
        <v>572</v>
      </c>
      <c r="B24" s="295">
        <v>7.5</v>
      </c>
      <c r="C24" s="295">
        <v>5</v>
      </c>
      <c r="D24" s="295">
        <v>6.03</v>
      </c>
      <c r="E24" s="295">
        <v>7.5</v>
      </c>
      <c r="F24" s="295">
        <v>5</v>
      </c>
      <c r="G24" s="295">
        <v>6.03</v>
      </c>
    </row>
    <row r="25" spans="1:7" s="162" customFormat="1" ht="13.5" customHeight="1">
      <c r="A25" s="384" t="s">
        <v>563</v>
      </c>
      <c r="B25" s="256">
        <v>7.5</v>
      </c>
      <c r="C25" s="256">
        <v>4.5</v>
      </c>
      <c r="D25" s="256">
        <v>6.06</v>
      </c>
      <c r="E25" s="256">
        <v>7.5</v>
      </c>
      <c r="F25" s="256">
        <v>4.5</v>
      </c>
      <c r="G25" s="256">
        <v>6.06</v>
      </c>
    </row>
    <row r="26" spans="1:7" s="162" customFormat="1" ht="13.5" customHeight="1">
      <c r="A26" s="398" t="s">
        <v>565</v>
      </c>
      <c r="B26" s="295">
        <v>8</v>
      </c>
      <c r="C26" s="295">
        <v>5.5</v>
      </c>
      <c r="D26" s="295">
        <v>6.3</v>
      </c>
      <c r="E26" s="295">
        <v>8</v>
      </c>
      <c r="F26" s="295">
        <v>5.5</v>
      </c>
      <c r="G26" s="295">
        <v>6.3</v>
      </c>
    </row>
    <row r="27" spans="1:7" s="162" customFormat="1" ht="13.5" customHeight="1">
      <c r="A27" s="384" t="s">
        <v>566</v>
      </c>
      <c r="B27" s="256">
        <v>8</v>
      </c>
      <c r="C27" s="256">
        <v>4.25</v>
      </c>
      <c r="D27" s="256">
        <v>6.28</v>
      </c>
      <c r="E27" s="256">
        <v>8</v>
      </c>
      <c r="F27" s="256">
        <v>4.25</v>
      </c>
      <c r="G27" s="256">
        <v>6.28</v>
      </c>
    </row>
    <row r="28" spans="1:7" s="162" customFormat="1" ht="13.5" customHeight="1">
      <c r="A28" s="398" t="s">
        <v>560</v>
      </c>
      <c r="B28" s="295">
        <v>7.75</v>
      </c>
      <c r="C28" s="295">
        <v>5.5</v>
      </c>
      <c r="D28" s="295">
        <v>6.41</v>
      </c>
      <c r="E28" s="295">
        <v>7.75</v>
      </c>
      <c r="F28" s="295">
        <v>5.5</v>
      </c>
      <c r="G28" s="295">
        <v>6.41</v>
      </c>
    </row>
    <row r="29" spans="1:7" s="162" customFormat="1" ht="13.5" customHeight="1">
      <c r="A29" s="384" t="s">
        <v>567</v>
      </c>
      <c r="B29" s="256">
        <v>8.75</v>
      </c>
      <c r="C29" s="256">
        <v>6</v>
      </c>
      <c r="D29" s="256">
        <v>7.35</v>
      </c>
      <c r="E29" s="256">
        <v>8.75</v>
      </c>
      <c r="F29" s="256">
        <v>6</v>
      </c>
      <c r="G29" s="256">
        <v>7.35</v>
      </c>
    </row>
    <row r="30" spans="1:7" s="162" customFormat="1" ht="13.5" customHeight="1">
      <c r="A30" s="398" t="s">
        <v>568</v>
      </c>
      <c r="B30" s="295">
        <v>9.25</v>
      </c>
      <c r="C30" s="295">
        <v>7.25</v>
      </c>
      <c r="D30" s="295">
        <v>8.0299999999999994</v>
      </c>
      <c r="E30" s="295">
        <v>9.25</v>
      </c>
      <c r="F30" s="295">
        <v>7.25</v>
      </c>
      <c r="G30" s="295">
        <v>8.0299999999999994</v>
      </c>
    </row>
    <row r="31" spans="1:7" s="162" customFormat="1" ht="13.5" customHeight="1">
      <c r="A31" s="384" t="s">
        <v>561</v>
      </c>
      <c r="B31" s="256">
        <v>9.75</v>
      </c>
      <c r="C31" s="256">
        <v>7.25</v>
      </c>
      <c r="D31" s="256">
        <v>8.84</v>
      </c>
      <c r="E31" s="256">
        <v>9.75</v>
      </c>
      <c r="F31" s="256">
        <v>7.25</v>
      </c>
      <c r="G31" s="256">
        <v>8.84</v>
      </c>
    </row>
    <row r="32" spans="1:7" s="162" customFormat="1" ht="13.5" customHeight="1">
      <c r="A32" s="1525">
        <v>2024</v>
      </c>
      <c r="B32" s="303">
        <f>MAX(B33:B44)</f>
        <v>11</v>
      </c>
      <c r="C32" s="303">
        <f>MIN(C33:C44)</f>
        <v>6.75</v>
      </c>
      <c r="D32" s="303">
        <f>AVERAGE(D33:D44)</f>
        <v>9.2416666666666654</v>
      </c>
      <c r="E32" s="303">
        <f>MAX(E33:E44)</f>
        <v>11</v>
      </c>
      <c r="F32" s="303">
        <f>MIN(F33:F44)</f>
        <v>6.75</v>
      </c>
      <c r="G32" s="303">
        <f>AVERAGE(G33:G44)</f>
        <v>9.2416666666666654</v>
      </c>
    </row>
    <row r="33" spans="1:7" s="162" customFormat="1" ht="13.5" customHeight="1">
      <c r="A33" s="384" t="s">
        <v>569</v>
      </c>
      <c r="B33" s="256">
        <v>10</v>
      </c>
      <c r="C33" s="256">
        <v>7.75</v>
      </c>
      <c r="D33" s="256">
        <v>9.3800000000000008</v>
      </c>
      <c r="E33" s="256">
        <v>10</v>
      </c>
      <c r="F33" s="256">
        <v>7.75</v>
      </c>
      <c r="G33" s="256">
        <v>9.3800000000000008</v>
      </c>
    </row>
    <row r="34" spans="1:7" s="162" customFormat="1" ht="13.5" customHeight="1">
      <c r="A34" s="398" t="s">
        <v>570</v>
      </c>
      <c r="B34" s="295">
        <v>9.5</v>
      </c>
      <c r="C34" s="295">
        <v>8</v>
      </c>
      <c r="D34" s="295">
        <v>9.3000000000000007</v>
      </c>
      <c r="E34" s="295">
        <v>9.5</v>
      </c>
      <c r="F34" s="295">
        <v>8</v>
      </c>
      <c r="G34" s="295">
        <v>9.3000000000000007</v>
      </c>
    </row>
    <row r="35" spans="1:7" s="162" customFormat="1" ht="13.5" customHeight="1">
      <c r="A35" s="384" t="s">
        <v>562</v>
      </c>
      <c r="B35" s="256">
        <v>9.5</v>
      </c>
      <c r="C35" s="256">
        <v>6.75</v>
      </c>
      <c r="D35" s="256">
        <v>8.75</v>
      </c>
      <c r="E35" s="256">
        <v>9.5</v>
      </c>
      <c r="F35" s="256">
        <v>6.75</v>
      </c>
      <c r="G35" s="256">
        <v>8.75</v>
      </c>
    </row>
    <row r="36" spans="1:7" s="162" customFormat="1" ht="13.5" customHeight="1">
      <c r="A36" s="398" t="s">
        <v>571</v>
      </c>
      <c r="B36" s="295">
        <v>9.5</v>
      </c>
      <c r="C36" s="295">
        <v>7.9</v>
      </c>
      <c r="D36" s="295">
        <v>8.81</v>
      </c>
      <c r="E36" s="295">
        <v>9.5</v>
      </c>
      <c r="F36" s="295">
        <v>7.9</v>
      </c>
      <c r="G36" s="295">
        <v>8.81</v>
      </c>
    </row>
    <row r="37" spans="1:7" s="162" customFormat="1" ht="13.5" customHeight="1">
      <c r="A37" s="87" t="s">
        <v>572</v>
      </c>
      <c r="B37" s="256">
        <v>10</v>
      </c>
      <c r="C37" s="256">
        <v>8</v>
      </c>
      <c r="D37" s="256">
        <v>9.08</v>
      </c>
      <c r="E37" s="256">
        <v>10</v>
      </c>
      <c r="F37" s="256">
        <v>8</v>
      </c>
      <c r="G37" s="256">
        <v>9.08</v>
      </c>
    </row>
    <row r="38" spans="1:7" s="162" customFormat="1" ht="13.5" customHeight="1">
      <c r="A38" s="1656" t="s">
        <v>563</v>
      </c>
      <c r="B38" s="295">
        <v>10</v>
      </c>
      <c r="C38" s="295">
        <v>8.5</v>
      </c>
      <c r="D38" s="295">
        <v>9.08</v>
      </c>
      <c r="E38" s="295">
        <v>10</v>
      </c>
      <c r="F38" s="295">
        <v>8.5</v>
      </c>
      <c r="G38" s="295">
        <v>9.08</v>
      </c>
    </row>
    <row r="39" spans="1:7" s="162" customFormat="1" ht="13.5" customHeight="1">
      <c r="A39" s="1665" t="s">
        <v>565</v>
      </c>
      <c r="B39" s="256">
        <v>10</v>
      </c>
      <c r="C39" s="256">
        <v>7.75</v>
      </c>
      <c r="D39" s="256">
        <v>8.86</v>
      </c>
      <c r="E39" s="256">
        <v>10</v>
      </c>
      <c r="F39" s="256">
        <v>7.75</v>
      </c>
      <c r="G39" s="256">
        <v>8.86</v>
      </c>
    </row>
    <row r="40" spans="1:7" s="162" customFormat="1" ht="13.5" customHeight="1">
      <c r="A40" s="1656" t="s">
        <v>566</v>
      </c>
      <c r="B40" s="295">
        <v>10.5</v>
      </c>
      <c r="C40" s="295">
        <v>8.3000000000000007</v>
      </c>
      <c r="D40" s="295">
        <v>8.7799999999999994</v>
      </c>
      <c r="E40" s="295">
        <v>10.5</v>
      </c>
      <c r="F40" s="295">
        <v>8.3000000000000007</v>
      </c>
      <c r="G40" s="295">
        <v>8.7799999999999994</v>
      </c>
    </row>
    <row r="41" spans="1:7" s="162" customFormat="1" ht="13.5" customHeight="1">
      <c r="A41" s="1665" t="s">
        <v>560</v>
      </c>
      <c r="B41" s="256">
        <v>10.5</v>
      </c>
      <c r="C41" s="256">
        <v>8.5</v>
      </c>
      <c r="D41" s="256">
        <v>9.14</v>
      </c>
      <c r="E41" s="256">
        <v>10.5</v>
      </c>
      <c r="F41" s="256">
        <v>8.5</v>
      </c>
      <c r="G41" s="256">
        <v>9.14</v>
      </c>
    </row>
    <row r="42" spans="1:7" s="162" customFormat="1" ht="13.5" customHeight="1">
      <c r="A42" s="1656" t="s">
        <v>567</v>
      </c>
      <c r="B42" s="295">
        <v>11</v>
      </c>
      <c r="C42" s="295">
        <v>9</v>
      </c>
      <c r="D42" s="295">
        <v>9.66</v>
      </c>
      <c r="E42" s="295">
        <v>11</v>
      </c>
      <c r="F42" s="295">
        <v>9</v>
      </c>
      <c r="G42" s="295">
        <v>9.66</v>
      </c>
    </row>
    <row r="43" spans="1:7" s="162" customFormat="1" ht="13.5" customHeight="1">
      <c r="A43" s="1665" t="s">
        <v>568</v>
      </c>
      <c r="B43" s="256">
        <v>11</v>
      </c>
      <c r="C43" s="256">
        <v>8.9499999999999993</v>
      </c>
      <c r="D43" s="256">
        <v>9.99</v>
      </c>
      <c r="E43" s="256">
        <v>11</v>
      </c>
      <c r="F43" s="256">
        <v>8.9499999999999993</v>
      </c>
      <c r="G43" s="256">
        <v>9.99</v>
      </c>
    </row>
    <row r="44" spans="1:7" s="162" customFormat="1" ht="13.5" customHeight="1">
      <c r="A44" s="1656" t="s">
        <v>561</v>
      </c>
      <c r="B44" s="295">
        <v>11</v>
      </c>
      <c r="C44" s="295">
        <v>8.75</v>
      </c>
      <c r="D44" s="295">
        <v>10.07</v>
      </c>
      <c r="E44" s="295">
        <v>11</v>
      </c>
      <c r="F44" s="295">
        <v>8.75</v>
      </c>
      <c r="G44" s="295">
        <v>10.07</v>
      </c>
    </row>
    <row r="45" spans="1:7" s="162" customFormat="1" ht="13.5" customHeight="1">
      <c r="A45" s="1750">
        <v>2025</v>
      </c>
      <c r="B45" s="256"/>
      <c r="C45" s="256"/>
      <c r="D45" s="256"/>
      <c r="E45" s="256"/>
      <c r="F45" s="256"/>
      <c r="G45" s="256"/>
    </row>
    <row r="46" spans="1:7" s="162" customFormat="1" ht="13.5" customHeight="1">
      <c r="A46" s="1656" t="s">
        <v>569</v>
      </c>
      <c r="B46" s="295">
        <v>11</v>
      </c>
      <c r="C46" s="295">
        <v>9</v>
      </c>
      <c r="D46" s="295">
        <v>10.08</v>
      </c>
      <c r="E46" s="295">
        <v>11</v>
      </c>
      <c r="F46" s="295">
        <v>9</v>
      </c>
      <c r="G46" s="295">
        <v>10.08</v>
      </c>
    </row>
    <row r="47" spans="1:7" s="162" customFormat="1" ht="13.5" customHeight="1" thickBot="1">
      <c r="A47" s="1792" t="s">
        <v>570</v>
      </c>
      <c r="B47" s="719">
        <v>11</v>
      </c>
      <c r="C47" s="719">
        <v>9.5</v>
      </c>
      <c r="D47" s="719">
        <v>10.039999999999999</v>
      </c>
      <c r="E47" s="719">
        <v>11</v>
      </c>
      <c r="F47" s="719">
        <v>9.5</v>
      </c>
      <c r="G47" s="719">
        <v>10.039999999999999</v>
      </c>
    </row>
    <row r="48" spans="1:7">
      <c r="A48" s="115" t="s">
        <v>376</v>
      </c>
      <c r="B48" s="697" t="s">
        <v>1267</v>
      </c>
      <c r="C48" s="697"/>
      <c r="D48" s="697"/>
      <c r="E48" s="697"/>
      <c r="F48" s="63"/>
      <c r="G48" s="9"/>
    </row>
    <row r="51" spans="2:7">
      <c r="B51" s="85"/>
      <c r="C51" s="85"/>
      <c r="D51" s="85"/>
      <c r="E51" s="85"/>
      <c r="F51" s="85"/>
      <c r="G51" s="85"/>
    </row>
  </sheetData>
  <customSheetViews>
    <customSheetView guid="{A374FC54-96E3-45F0-9C12-8450400C12DF}" scale="130" topLeftCell="A34">
      <selection activeCell="F55" sqref="F55"/>
      <pageMargins left="0.62992125984252001" right="0.511811023622047" top="0.39370078740157499" bottom="0.118110236220472" header="0.25" footer="0"/>
      <pageSetup paperSize="132" firstPageNumber="78" orientation="portrait" useFirstPageNumber="1" r:id="rId1"/>
      <headerFooter alignWithMargins="0">
        <oddFooter>&amp;C&amp;"Times New Roman,Regular"&amp;8 78</oddFooter>
      </headerFooter>
    </customSheetView>
  </customSheetViews>
  <mergeCells count="7">
    <mergeCell ref="B1:E1"/>
    <mergeCell ref="F1:G1"/>
    <mergeCell ref="A2:E2"/>
    <mergeCell ref="F2:G2"/>
    <mergeCell ref="A3:A4"/>
    <mergeCell ref="B3:D3"/>
    <mergeCell ref="E3:G3"/>
  </mergeCells>
  <phoneticPr fontId="43" type="noConversion"/>
  <pageMargins left="0.62992125984252001" right="0.511811023622047" top="0.39370078740157499" bottom="0.118110236220472" header="0.25" footer="0"/>
  <pageSetup paperSize="448" firstPageNumber="82" orientation="portrait" useFirstPageNumber="1" r:id="rId2"/>
  <headerFooter alignWithMargins="0">
    <oddFooter xml:space="preserve">&amp;C&amp;"Times New Roman,Regular"&amp;8 82
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AE67"/>
  <sheetViews>
    <sheetView zoomScale="150" zoomScaleNormal="150" workbookViewId="0">
      <pane xSplit="1" ySplit="6" topLeftCell="B34" activePane="bottomRight" state="frozen"/>
      <selection activeCell="F85" sqref="F85"/>
      <selection pane="topRight" activeCell="F85" sqref="F85"/>
      <selection pane="bottomLeft" activeCell="F85" sqref="F85"/>
      <selection pane="bottomRight" activeCell="L48" sqref="L48"/>
    </sheetView>
  </sheetViews>
  <sheetFormatPr defaultColWidth="9.140625" defaultRowHeight="11.25"/>
  <cols>
    <col min="1" max="1" width="9" style="9" customWidth="1"/>
    <col min="2" max="2" width="11.42578125" style="9" customWidth="1"/>
    <col min="3" max="3" width="12.28515625" style="9" customWidth="1"/>
    <col min="4" max="4" width="11.42578125" style="9" customWidth="1"/>
    <col min="5" max="5" width="10.5703125" style="9" customWidth="1"/>
    <col min="6" max="6" width="9.28515625" style="9" customWidth="1"/>
    <col min="7" max="7" width="11.28515625" style="9" customWidth="1"/>
    <col min="8" max="8" width="10.28515625" style="9" customWidth="1"/>
    <col min="9" max="9" width="11.7109375" style="9" customWidth="1"/>
    <col min="10" max="10" width="11.140625" style="9" customWidth="1"/>
    <col min="11" max="11" width="11.42578125" style="9" customWidth="1"/>
    <col min="12" max="12" width="10.85546875" style="9" customWidth="1"/>
    <col min="13" max="13" width="10.7109375" style="9" customWidth="1"/>
    <col min="14" max="14" width="11.140625" style="9" customWidth="1"/>
    <col min="15" max="15" width="16.42578125" style="9" customWidth="1"/>
    <col min="16" max="16" width="15.7109375" style="9" customWidth="1"/>
    <col min="17" max="17" width="13" style="9" customWidth="1"/>
    <col min="18" max="18" width="14.28515625" style="9" customWidth="1"/>
    <col min="19" max="19" width="15.7109375" style="9" customWidth="1"/>
    <col min="20" max="20" width="7.5703125" style="9" customWidth="1"/>
    <col min="21" max="21" width="8.85546875" style="9" customWidth="1"/>
    <col min="22" max="22" width="11.7109375" style="9" customWidth="1"/>
    <col min="23" max="23" width="7.5703125" style="9" customWidth="1"/>
    <col min="24" max="24" width="8.42578125" style="9" customWidth="1"/>
    <col min="25" max="25" width="7.7109375" style="9" customWidth="1"/>
    <col min="26" max="26" width="9.42578125" style="9" customWidth="1"/>
    <col min="27" max="27" width="8.140625" style="9" customWidth="1"/>
    <col min="28" max="28" width="8.7109375" style="9" customWidth="1"/>
    <col min="29" max="29" width="9.140625" style="9"/>
    <col min="30" max="30" width="12.42578125" style="9" customWidth="1"/>
    <col min="31" max="16384" width="9.140625" style="9"/>
  </cols>
  <sheetData>
    <row r="1" spans="1:28" ht="16.5" customHeight="1"/>
    <row r="2" spans="1:28" s="347" customFormat="1" ht="27.75" customHeight="1">
      <c r="A2" s="2480" t="s">
        <v>1033</v>
      </c>
      <c r="B2" s="2480"/>
      <c r="C2" s="2480"/>
      <c r="D2" s="2480"/>
      <c r="E2" s="2480"/>
      <c r="F2" s="2469" t="s">
        <v>1111</v>
      </c>
      <c r="G2" s="2469"/>
      <c r="H2" s="962"/>
      <c r="I2" s="2469" t="s">
        <v>860</v>
      </c>
      <c r="J2" s="2469"/>
      <c r="K2" s="2469"/>
      <c r="L2" s="2469"/>
      <c r="M2" s="2469"/>
      <c r="N2" s="2469"/>
      <c r="O2" s="2473" t="s">
        <v>829</v>
      </c>
      <c r="P2" s="2473"/>
      <c r="Q2" s="2473"/>
      <c r="R2" s="2469" t="s">
        <v>1111</v>
      </c>
      <c r="S2" s="2469"/>
      <c r="T2" s="2480" t="s">
        <v>828</v>
      </c>
      <c r="U2" s="2480"/>
      <c r="V2" s="2480"/>
      <c r="W2" s="2480"/>
      <c r="X2" s="2480"/>
      <c r="Y2" s="2480"/>
      <c r="Z2" s="2469" t="s">
        <v>1112</v>
      </c>
      <c r="AA2" s="2469"/>
      <c r="AB2" s="2469"/>
    </row>
    <row r="3" spans="1:28" s="42" customFormat="1" ht="21.75" customHeight="1">
      <c r="A3" s="2481" t="s">
        <v>829</v>
      </c>
      <c r="B3" s="2481"/>
      <c r="C3" s="2481"/>
      <c r="D3" s="2481"/>
      <c r="E3" s="2481"/>
      <c r="F3" s="2477" t="s">
        <v>24</v>
      </c>
      <c r="G3" s="2477"/>
      <c r="H3" s="70"/>
      <c r="K3" s="67"/>
      <c r="L3" s="67"/>
      <c r="M3" s="2470"/>
      <c r="N3" s="2470"/>
      <c r="O3" s="119"/>
      <c r="P3" s="119"/>
      <c r="R3" s="2470" t="s">
        <v>24</v>
      </c>
      <c r="S3" s="2470"/>
      <c r="T3" s="2472" t="s">
        <v>1034</v>
      </c>
      <c r="U3" s="2472"/>
      <c r="V3" s="2472"/>
      <c r="W3" s="2472"/>
      <c r="X3" s="2472"/>
      <c r="Y3" s="2472"/>
      <c r="Z3" s="2472"/>
      <c r="AA3" s="2470" t="s">
        <v>24</v>
      </c>
      <c r="AB3" s="2470"/>
    </row>
    <row r="4" spans="1:28" s="137" customFormat="1" ht="16.5" customHeight="1">
      <c r="A4" s="2478" t="s">
        <v>487</v>
      </c>
      <c r="B4" s="2479" t="s">
        <v>827</v>
      </c>
      <c r="C4" s="2479"/>
      <c r="D4" s="2479"/>
      <c r="E4" s="2479"/>
      <c r="F4" s="2479"/>
      <c r="G4" s="2479"/>
      <c r="H4" s="2235" t="s">
        <v>487</v>
      </c>
      <c r="I4" s="2348" t="s">
        <v>863</v>
      </c>
      <c r="J4" s="2474"/>
      <c r="K4" s="2474"/>
      <c r="L4" s="2474"/>
      <c r="M4" s="2474"/>
      <c r="N4" s="2474"/>
      <c r="O4" s="2474"/>
      <c r="P4" s="2474"/>
      <c r="Q4" s="2474"/>
      <c r="R4" s="2475"/>
      <c r="S4" s="2235" t="s">
        <v>487</v>
      </c>
      <c r="T4" s="2463" t="s">
        <v>487</v>
      </c>
      <c r="U4" s="2348" t="s">
        <v>75</v>
      </c>
      <c r="V4" s="2474"/>
      <c r="W4" s="2474"/>
      <c r="X4" s="2475"/>
      <c r="Y4" s="2474" t="s">
        <v>76</v>
      </c>
      <c r="Z4" s="2474"/>
      <c r="AA4" s="2474"/>
      <c r="AB4" s="2475"/>
    </row>
    <row r="5" spans="1:28" s="121" customFormat="1" ht="12.75" customHeight="1">
      <c r="A5" s="2236"/>
      <c r="B5" s="2476" t="s">
        <v>830</v>
      </c>
      <c r="C5" s="2476"/>
      <c r="D5" s="2476"/>
      <c r="E5" s="2476"/>
      <c r="F5" s="2465" t="s">
        <v>859</v>
      </c>
      <c r="G5" s="2465"/>
      <c r="H5" s="2236"/>
      <c r="I5" s="2232" t="s">
        <v>859</v>
      </c>
      <c r="J5" s="2467"/>
      <c r="K5" s="2476" t="s">
        <v>143</v>
      </c>
      <c r="L5" s="2476"/>
      <c r="M5" s="2476"/>
      <c r="N5" s="2476"/>
      <c r="O5" s="2232" t="s">
        <v>483</v>
      </c>
      <c r="P5" s="2467"/>
      <c r="Q5" s="2467"/>
      <c r="R5" s="2468"/>
      <c r="S5" s="2236"/>
      <c r="T5" s="2463"/>
      <c r="U5" s="2263" t="s">
        <v>812</v>
      </c>
      <c r="V5" s="2263" t="s">
        <v>1200</v>
      </c>
      <c r="W5" s="2263" t="s">
        <v>788</v>
      </c>
      <c r="X5" s="2263" t="s">
        <v>77</v>
      </c>
      <c r="Y5" s="2263" t="s">
        <v>813</v>
      </c>
      <c r="Z5" s="2471" t="s">
        <v>74</v>
      </c>
      <c r="AA5" s="2263" t="s">
        <v>29</v>
      </c>
      <c r="AB5" s="2485" t="s">
        <v>790</v>
      </c>
    </row>
    <row r="6" spans="1:28" s="81" customFormat="1" ht="25.5" customHeight="1">
      <c r="A6" s="2237"/>
      <c r="B6" s="951" t="s">
        <v>73</v>
      </c>
      <c r="C6" s="951" t="s">
        <v>74</v>
      </c>
      <c r="D6" s="951" t="s">
        <v>29</v>
      </c>
      <c r="E6" s="951" t="s">
        <v>785</v>
      </c>
      <c r="F6" s="951" t="s">
        <v>73</v>
      </c>
      <c r="G6" s="951" t="s">
        <v>74</v>
      </c>
      <c r="H6" s="2237"/>
      <c r="I6" s="951" t="s">
        <v>811</v>
      </c>
      <c r="J6" s="951" t="s">
        <v>786</v>
      </c>
      <c r="K6" s="951" t="s">
        <v>789</v>
      </c>
      <c r="L6" s="951" t="s">
        <v>74</v>
      </c>
      <c r="M6" s="951" t="s">
        <v>29</v>
      </c>
      <c r="N6" s="951" t="s">
        <v>810</v>
      </c>
      <c r="O6" s="951" t="s">
        <v>831</v>
      </c>
      <c r="P6" s="951" t="s">
        <v>74</v>
      </c>
      <c r="Q6" s="951" t="s">
        <v>787</v>
      </c>
      <c r="R6" s="951" t="s">
        <v>864</v>
      </c>
      <c r="S6" s="2237"/>
      <c r="T6" s="2463"/>
      <c r="U6" s="2263"/>
      <c r="V6" s="2263"/>
      <c r="W6" s="2263"/>
      <c r="X6" s="2263"/>
      <c r="Y6" s="2263"/>
      <c r="Z6" s="2269"/>
      <c r="AA6" s="2263"/>
      <c r="AB6" s="2485"/>
    </row>
    <row r="7" spans="1:28" s="56" customFormat="1" ht="13.5" customHeight="1">
      <c r="A7" s="136">
        <v>1993</v>
      </c>
      <c r="B7" s="138">
        <v>1738.3</v>
      </c>
      <c r="C7" s="138">
        <v>1769.7</v>
      </c>
      <c r="D7" s="138">
        <v>-31.9</v>
      </c>
      <c r="E7" s="136">
        <v>64492</v>
      </c>
      <c r="F7" s="138">
        <v>195.1</v>
      </c>
      <c r="G7" s="138">
        <v>91.85</v>
      </c>
      <c r="H7" s="136">
        <v>1993</v>
      </c>
      <c r="I7" s="138">
        <v>54.36</v>
      </c>
      <c r="J7" s="136">
        <v>826</v>
      </c>
      <c r="K7" s="138">
        <v>835.92</v>
      </c>
      <c r="L7" s="138">
        <v>813.51</v>
      </c>
      <c r="M7" s="138">
        <v>3.23</v>
      </c>
      <c r="N7" s="136">
        <v>18276</v>
      </c>
      <c r="O7" s="138">
        <v>2769.32</v>
      </c>
      <c r="P7" s="138">
        <v>2675.06</v>
      </c>
      <c r="Q7" s="138">
        <v>25.69</v>
      </c>
      <c r="R7" s="136">
        <v>83594</v>
      </c>
      <c r="S7" s="136">
        <v>1993</v>
      </c>
      <c r="T7" s="80" t="s">
        <v>548</v>
      </c>
      <c r="U7" s="138">
        <v>665.13</v>
      </c>
      <c r="V7" s="138">
        <v>188.71</v>
      </c>
      <c r="W7" s="138">
        <v>476.42</v>
      </c>
      <c r="X7" s="136">
        <v>6435</v>
      </c>
      <c r="Y7" s="138">
        <v>186.68</v>
      </c>
      <c r="Z7" s="138">
        <v>511.26</v>
      </c>
      <c r="AA7" s="138">
        <v>-330.69</v>
      </c>
      <c r="AB7" s="136">
        <v>16871</v>
      </c>
    </row>
    <row r="8" spans="1:28" s="56" customFormat="1" ht="13.5" customHeight="1">
      <c r="A8" s="327">
        <v>1994</v>
      </c>
      <c r="B8" s="328">
        <v>1702.56</v>
      </c>
      <c r="C8" s="328">
        <v>1683.24</v>
      </c>
      <c r="D8" s="328">
        <v>18.82</v>
      </c>
      <c r="E8" s="327">
        <v>63804</v>
      </c>
      <c r="F8" s="328">
        <v>242.36</v>
      </c>
      <c r="G8" s="328">
        <v>105.74</v>
      </c>
      <c r="H8" s="327">
        <v>1994</v>
      </c>
      <c r="I8" s="328">
        <v>68.319999999999993</v>
      </c>
      <c r="J8" s="327">
        <v>888</v>
      </c>
      <c r="K8" s="328">
        <v>851.89</v>
      </c>
      <c r="L8" s="328">
        <v>801.25</v>
      </c>
      <c r="M8" s="328">
        <v>14.8</v>
      </c>
      <c r="N8" s="327">
        <v>18794</v>
      </c>
      <c r="O8" s="328">
        <v>2796.81</v>
      </c>
      <c r="P8" s="328">
        <v>2590.23</v>
      </c>
      <c r="Q8" s="328">
        <v>101.94</v>
      </c>
      <c r="R8" s="327">
        <v>83486</v>
      </c>
      <c r="S8" s="327">
        <v>1994</v>
      </c>
      <c r="T8" s="329" t="s">
        <v>549</v>
      </c>
      <c r="U8" s="328">
        <v>838.06</v>
      </c>
      <c r="V8" s="328">
        <v>239.33</v>
      </c>
      <c r="W8" s="328">
        <v>598.73</v>
      </c>
      <c r="X8" s="327">
        <v>6345</v>
      </c>
      <c r="Y8" s="328">
        <v>310.63</v>
      </c>
      <c r="Z8" s="328">
        <v>617.73</v>
      </c>
      <c r="AA8" s="328">
        <v>-307.10000000000002</v>
      </c>
      <c r="AB8" s="327">
        <v>16856</v>
      </c>
    </row>
    <row r="9" spans="1:28" s="56" customFormat="1" ht="13.5" customHeight="1">
      <c r="A9" s="136">
        <v>1995</v>
      </c>
      <c r="B9" s="138">
        <v>1982.08</v>
      </c>
      <c r="C9" s="138">
        <v>1869.11</v>
      </c>
      <c r="D9" s="138">
        <v>112.37</v>
      </c>
      <c r="E9" s="136">
        <v>63803</v>
      </c>
      <c r="F9" s="138">
        <v>335.65</v>
      </c>
      <c r="G9" s="138">
        <v>151.38999999999999</v>
      </c>
      <c r="H9" s="136">
        <v>1995</v>
      </c>
      <c r="I9" s="138">
        <v>90.76</v>
      </c>
      <c r="J9" s="136">
        <v>966</v>
      </c>
      <c r="K9" s="138">
        <v>943.89</v>
      </c>
      <c r="L9" s="138">
        <v>831.99</v>
      </c>
      <c r="M9" s="138">
        <v>56.56</v>
      </c>
      <c r="N9" s="136">
        <v>20083</v>
      </c>
      <c r="O9" s="138">
        <v>3261.62</v>
      </c>
      <c r="P9" s="138">
        <v>2964.39</v>
      </c>
      <c r="Q9" s="138">
        <v>259.69</v>
      </c>
      <c r="R9" s="136">
        <v>84852</v>
      </c>
      <c r="S9" s="136">
        <v>1995</v>
      </c>
      <c r="T9" s="80" t="s">
        <v>550</v>
      </c>
      <c r="U9" s="138">
        <v>840.64</v>
      </c>
      <c r="V9" s="138">
        <v>310.44</v>
      </c>
      <c r="W9" s="138">
        <v>530.20000000000005</v>
      </c>
      <c r="X9" s="136">
        <v>6281</v>
      </c>
      <c r="Y9" s="138">
        <v>235.97</v>
      </c>
      <c r="Z9" s="138">
        <v>528.04</v>
      </c>
      <c r="AA9" s="138">
        <v>-292.07</v>
      </c>
      <c r="AB9" s="136">
        <v>16459</v>
      </c>
    </row>
    <row r="10" spans="1:28" s="56" customFormat="1" ht="13.5" customHeight="1">
      <c r="A10" s="327">
        <v>1996</v>
      </c>
      <c r="B10" s="328">
        <v>2249.11</v>
      </c>
      <c r="C10" s="328">
        <v>2220.5</v>
      </c>
      <c r="D10" s="328">
        <v>28.11</v>
      </c>
      <c r="E10" s="327">
        <v>63731</v>
      </c>
      <c r="F10" s="328">
        <v>408.46</v>
      </c>
      <c r="G10" s="328">
        <v>221.73</v>
      </c>
      <c r="H10" s="327">
        <v>1996</v>
      </c>
      <c r="I10" s="328">
        <v>98.72</v>
      </c>
      <c r="J10" s="327">
        <v>1016</v>
      </c>
      <c r="K10" s="328">
        <v>1132.23</v>
      </c>
      <c r="L10" s="328">
        <v>939.75</v>
      </c>
      <c r="M10" s="328">
        <v>131.49</v>
      </c>
      <c r="N10" s="327">
        <v>21140</v>
      </c>
      <c r="O10" s="328">
        <v>3789.8</v>
      </c>
      <c r="P10" s="328">
        <v>3381.98</v>
      </c>
      <c r="Q10" s="328">
        <v>258.32</v>
      </c>
      <c r="R10" s="327">
        <v>85887</v>
      </c>
      <c r="S10" s="327">
        <v>1996</v>
      </c>
      <c r="T10" s="329" t="s">
        <v>551</v>
      </c>
      <c r="U10" s="328">
        <v>936.03</v>
      </c>
      <c r="V10" s="328">
        <v>301.69</v>
      </c>
      <c r="W10" s="328">
        <v>634.34</v>
      </c>
      <c r="X10" s="327">
        <v>6215</v>
      </c>
      <c r="Y10" s="328">
        <v>410.88</v>
      </c>
      <c r="Z10" s="328">
        <v>615.38</v>
      </c>
      <c r="AA10" s="328">
        <v>-204.5</v>
      </c>
      <c r="AB10" s="327">
        <v>16273</v>
      </c>
    </row>
    <row r="11" spans="1:28" s="56" customFormat="1" ht="13.5" customHeight="1">
      <c r="A11" s="136">
        <v>1997</v>
      </c>
      <c r="B11" s="138">
        <v>2574.08</v>
      </c>
      <c r="C11" s="138">
        <v>2556.81</v>
      </c>
      <c r="D11" s="138">
        <v>16.77</v>
      </c>
      <c r="E11" s="136">
        <v>62723</v>
      </c>
      <c r="F11" s="138">
        <v>564.1</v>
      </c>
      <c r="G11" s="138">
        <v>335.64</v>
      </c>
      <c r="H11" s="136">
        <v>1997</v>
      </c>
      <c r="I11" s="138">
        <v>134.21</v>
      </c>
      <c r="J11" s="136">
        <v>1125</v>
      </c>
      <c r="K11" s="138">
        <v>1414.22</v>
      </c>
      <c r="L11" s="138">
        <v>1180.04</v>
      </c>
      <c r="M11" s="138">
        <v>144.47999999999999</v>
      </c>
      <c r="N11" s="136">
        <v>22194</v>
      </c>
      <c r="O11" s="138">
        <v>4552.3999999999996</v>
      </c>
      <c r="P11" s="138">
        <v>4072.49</v>
      </c>
      <c r="Q11" s="138">
        <v>295.45999999999998</v>
      </c>
      <c r="R11" s="136">
        <v>86042</v>
      </c>
      <c r="S11" s="136">
        <v>1997</v>
      </c>
      <c r="T11" s="80" t="s">
        <v>552</v>
      </c>
      <c r="U11" s="138">
        <v>1059.3900000000001</v>
      </c>
      <c r="V11" s="138">
        <v>288.75</v>
      </c>
      <c r="W11" s="138">
        <v>770.64</v>
      </c>
      <c r="X11" s="136">
        <v>6129</v>
      </c>
      <c r="Y11" s="138">
        <v>440.48</v>
      </c>
      <c r="Z11" s="138">
        <v>701.5</v>
      </c>
      <c r="AA11" s="138">
        <v>-261.02</v>
      </c>
      <c r="AB11" s="136">
        <v>16342</v>
      </c>
    </row>
    <row r="12" spans="1:28" s="56" customFormat="1" ht="13.5" customHeight="1">
      <c r="A12" s="327">
        <v>1998</v>
      </c>
      <c r="B12" s="328">
        <v>2815.17</v>
      </c>
      <c r="C12" s="328">
        <v>2808.69</v>
      </c>
      <c r="D12" s="328">
        <v>-5.98</v>
      </c>
      <c r="E12" s="327">
        <v>63583</v>
      </c>
      <c r="F12" s="328">
        <v>585.59</v>
      </c>
      <c r="G12" s="328">
        <v>326.62</v>
      </c>
      <c r="H12" s="327">
        <v>1998</v>
      </c>
      <c r="I12" s="328">
        <v>149.43</v>
      </c>
      <c r="J12" s="327">
        <v>1262</v>
      </c>
      <c r="K12" s="328">
        <v>1696.46</v>
      </c>
      <c r="L12" s="328">
        <v>1457.83</v>
      </c>
      <c r="M12" s="328">
        <v>158.35</v>
      </c>
      <c r="N12" s="327">
        <v>22893</v>
      </c>
      <c r="O12" s="328">
        <v>5097.22</v>
      </c>
      <c r="P12" s="328">
        <v>4593.1400000000003</v>
      </c>
      <c r="Q12" s="328">
        <v>301.8</v>
      </c>
      <c r="R12" s="327">
        <v>87738</v>
      </c>
      <c r="S12" s="327">
        <v>1998</v>
      </c>
      <c r="T12" s="329" t="s">
        <v>553</v>
      </c>
      <c r="U12" s="328">
        <v>1171.56</v>
      </c>
      <c r="V12" s="328">
        <v>384.7</v>
      </c>
      <c r="W12" s="328">
        <v>786.86</v>
      </c>
      <c r="X12" s="327">
        <v>6178</v>
      </c>
      <c r="Y12" s="328">
        <v>492.91</v>
      </c>
      <c r="Z12" s="328">
        <v>766.77</v>
      </c>
      <c r="AA12" s="328">
        <v>-296.7</v>
      </c>
      <c r="AB12" s="327">
        <v>16114</v>
      </c>
    </row>
    <row r="13" spans="1:28" s="56" customFormat="1" ht="13.5" customHeight="1">
      <c r="A13" s="136">
        <v>1999</v>
      </c>
      <c r="B13" s="138">
        <v>3161.26</v>
      </c>
      <c r="C13" s="138">
        <v>3164.79</v>
      </c>
      <c r="D13" s="138">
        <v>-16.66</v>
      </c>
      <c r="E13" s="136">
        <v>62419</v>
      </c>
      <c r="F13" s="138">
        <v>713.65</v>
      </c>
      <c r="G13" s="138">
        <v>447.39</v>
      </c>
      <c r="H13" s="136">
        <v>1999</v>
      </c>
      <c r="I13" s="138">
        <v>149.69999999999999</v>
      </c>
      <c r="J13" s="136">
        <v>1311</v>
      </c>
      <c r="K13" s="138">
        <v>2094.5100000000002</v>
      </c>
      <c r="L13" s="138">
        <v>1760.92</v>
      </c>
      <c r="M13" s="138">
        <v>178.44</v>
      </c>
      <c r="N13" s="136">
        <v>24281</v>
      </c>
      <c r="O13" s="138">
        <v>5969.42</v>
      </c>
      <c r="P13" s="138">
        <v>5373.1</v>
      </c>
      <c r="Q13" s="138">
        <v>311.48</v>
      </c>
      <c r="R13" s="136">
        <v>88011</v>
      </c>
      <c r="S13" s="136">
        <v>1999</v>
      </c>
      <c r="T13" s="80" t="s">
        <v>554</v>
      </c>
      <c r="U13" s="138">
        <v>1159.3499999999999</v>
      </c>
      <c r="V13" s="138">
        <v>363.37</v>
      </c>
      <c r="W13" s="138">
        <v>795.98</v>
      </c>
      <c r="X13" s="136">
        <v>6061</v>
      </c>
      <c r="Y13" s="138">
        <v>598.45000000000005</v>
      </c>
      <c r="Z13" s="138">
        <v>766</v>
      </c>
      <c r="AA13" s="138">
        <v>-532.37</v>
      </c>
      <c r="AB13" s="136">
        <v>16036</v>
      </c>
    </row>
    <row r="14" spans="1:28" s="56" customFormat="1" ht="13.5" customHeight="1">
      <c r="A14" s="327">
        <v>2000</v>
      </c>
      <c r="B14" s="328">
        <v>3726.27</v>
      </c>
      <c r="C14" s="328">
        <v>3532.16</v>
      </c>
      <c r="D14" s="328">
        <v>24.58</v>
      </c>
      <c r="E14" s="327">
        <v>62091</v>
      </c>
      <c r="F14" s="328">
        <v>967.5</v>
      </c>
      <c r="G14" s="328">
        <v>548.08000000000004</v>
      </c>
      <c r="H14" s="327">
        <v>2000</v>
      </c>
      <c r="I14" s="328">
        <v>220.46</v>
      </c>
      <c r="J14" s="327">
        <v>1280</v>
      </c>
      <c r="K14" s="328">
        <v>3267.62</v>
      </c>
      <c r="L14" s="328">
        <v>2462.09</v>
      </c>
      <c r="M14" s="328">
        <v>309.97000000000003</v>
      </c>
      <c r="N14" s="327">
        <v>25975</v>
      </c>
      <c r="O14" s="328">
        <v>7961.39</v>
      </c>
      <c r="P14" s="328">
        <v>6542.33</v>
      </c>
      <c r="Q14" s="328">
        <v>555.01</v>
      </c>
      <c r="R14" s="327">
        <v>89346</v>
      </c>
      <c r="S14" s="327">
        <v>2000</v>
      </c>
      <c r="T14" s="329" t="s">
        <v>555</v>
      </c>
      <c r="U14" s="328">
        <v>1172.58</v>
      </c>
      <c r="V14" s="328">
        <v>456.64</v>
      </c>
      <c r="W14" s="328">
        <v>715.95</v>
      </c>
      <c r="X14" s="327">
        <v>5926</v>
      </c>
      <c r="Y14" s="328">
        <v>820.34</v>
      </c>
      <c r="Z14" s="328">
        <v>736.36</v>
      </c>
      <c r="AA14" s="328">
        <v>79.81</v>
      </c>
      <c r="AB14" s="327">
        <v>16164</v>
      </c>
    </row>
    <row r="15" spans="1:28" s="56" customFormat="1" ht="13.5" customHeight="1">
      <c r="A15" s="136">
        <v>2001</v>
      </c>
      <c r="B15" s="138">
        <v>3878.16</v>
      </c>
      <c r="C15" s="138">
        <v>3735.96</v>
      </c>
      <c r="D15" s="138">
        <v>38.24</v>
      </c>
      <c r="E15" s="136">
        <v>61325</v>
      </c>
      <c r="F15" s="138">
        <v>1068.9100000000001</v>
      </c>
      <c r="G15" s="138">
        <v>588.16999999999996</v>
      </c>
      <c r="H15" s="136">
        <v>2001</v>
      </c>
      <c r="I15" s="138">
        <v>259.81</v>
      </c>
      <c r="J15" s="136">
        <v>1588</v>
      </c>
      <c r="K15" s="138">
        <v>4321</v>
      </c>
      <c r="L15" s="138">
        <v>3126</v>
      </c>
      <c r="M15" s="138">
        <v>514.48</v>
      </c>
      <c r="N15" s="136">
        <v>28068</v>
      </c>
      <c r="O15" s="138">
        <v>9268.07</v>
      </c>
      <c r="P15" s="138">
        <v>7450.13</v>
      </c>
      <c r="Q15" s="138">
        <v>812.53</v>
      </c>
      <c r="R15" s="136">
        <v>90981</v>
      </c>
      <c r="S15" s="136">
        <v>2001</v>
      </c>
      <c r="T15" s="80" t="s">
        <v>556</v>
      </c>
      <c r="U15" s="138">
        <v>1133.1500000000001</v>
      </c>
      <c r="V15" s="138">
        <v>183.34</v>
      </c>
      <c r="W15" s="138">
        <v>949.41</v>
      </c>
      <c r="X15" s="136">
        <v>5769</v>
      </c>
      <c r="Y15" s="138">
        <v>636.39</v>
      </c>
      <c r="Z15" s="138">
        <v>748.34</v>
      </c>
      <c r="AA15" s="138">
        <v>-114.64</v>
      </c>
      <c r="AB15" s="136">
        <v>16475</v>
      </c>
    </row>
    <row r="16" spans="1:28" s="56" customFormat="1" ht="13.5" customHeight="1">
      <c r="A16" s="327">
        <v>2002</v>
      </c>
      <c r="B16" s="328">
        <v>3665.52</v>
      </c>
      <c r="C16" s="328">
        <v>3420.35</v>
      </c>
      <c r="D16" s="328">
        <v>19.88</v>
      </c>
      <c r="E16" s="327">
        <v>60169</v>
      </c>
      <c r="F16" s="328">
        <v>1061.9000000000001</v>
      </c>
      <c r="G16" s="328">
        <v>570.79</v>
      </c>
      <c r="H16" s="327">
        <v>2002</v>
      </c>
      <c r="I16" s="328">
        <v>224.08</v>
      </c>
      <c r="J16" s="327">
        <v>1305</v>
      </c>
      <c r="K16" s="328">
        <v>5021.55</v>
      </c>
      <c r="L16" s="328">
        <v>3930.87</v>
      </c>
      <c r="M16" s="328">
        <v>458.79</v>
      </c>
      <c r="N16" s="327">
        <v>28336</v>
      </c>
      <c r="O16" s="328">
        <v>9748.9699999999993</v>
      </c>
      <c r="P16" s="328">
        <v>7922.01</v>
      </c>
      <c r="Q16" s="328">
        <v>702.75</v>
      </c>
      <c r="R16" s="327">
        <v>89810</v>
      </c>
      <c r="S16" s="327">
        <v>2002</v>
      </c>
      <c r="T16" s="329" t="s">
        <v>557</v>
      </c>
      <c r="U16" s="328">
        <v>1725.62</v>
      </c>
      <c r="V16" s="328">
        <v>365.57</v>
      </c>
      <c r="W16" s="328">
        <v>760.05</v>
      </c>
      <c r="X16" s="327">
        <v>5576</v>
      </c>
      <c r="Y16" s="328">
        <v>738.53</v>
      </c>
      <c r="Z16" s="328">
        <v>768.85</v>
      </c>
      <c r="AA16" s="328">
        <v>-24.32</v>
      </c>
      <c r="AB16" s="327">
        <v>15837</v>
      </c>
    </row>
    <row r="17" spans="1:28" s="56" customFormat="1" ht="13.5" customHeight="1">
      <c r="A17" s="136">
        <v>2003</v>
      </c>
      <c r="B17" s="138">
        <v>4165.22</v>
      </c>
      <c r="C17" s="138">
        <v>3860.79</v>
      </c>
      <c r="D17" s="138">
        <v>68.209999999999994</v>
      </c>
      <c r="E17" s="136">
        <v>58629</v>
      </c>
      <c r="F17" s="138">
        <v>772.93</v>
      </c>
      <c r="G17" s="138">
        <v>252.27</v>
      </c>
      <c r="H17" s="136">
        <v>2003</v>
      </c>
      <c r="I17" s="138">
        <v>276.44</v>
      </c>
      <c r="J17" s="136">
        <v>1409</v>
      </c>
      <c r="K17" s="138">
        <v>5921.25</v>
      </c>
      <c r="L17" s="138">
        <v>4543.82</v>
      </c>
      <c r="M17" s="138">
        <v>475.59</v>
      </c>
      <c r="N17" s="136">
        <v>32576</v>
      </c>
      <c r="O17" s="138">
        <v>10859.4</v>
      </c>
      <c r="P17" s="138">
        <v>8656.8799999999992</v>
      </c>
      <c r="Q17" s="138">
        <v>820.24</v>
      </c>
      <c r="R17" s="136">
        <v>92614</v>
      </c>
      <c r="S17" s="136">
        <v>2003</v>
      </c>
      <c r="T17" s="80" t="s">
        <v>558</v>
      </c>
      <c r="U17" s="138">
        <v>2100.69</v>
      </c>
      <c r="V17" s="138">
        <v>1161.21</v>
      </c>
      <c r="W17" s="138">
        <v>939.48</v>
      </c>
      <c r="X17" s="136">
        <v>5461</v>
      </c>
      <c r="Y17" s="138">
        <v>693.26</v>
      </c>
      <c r="Z17" s="138">
        <v>773.15</v>
      </c>
      <c r="AA17" s="138">
        <v>-87.89</v>
      </c>
      <c r="AB17" s="136">
        <v>15300</v>
      </c>
    </row>
    <row r="18" spans="1:28" s="56" customFormat="1" ht="13.5" customHeight="1">
      <c r="A18" s="327">
        <v>2004</v>
      </c>
      <c r="B18" s="328">
        <v>4008.46</v>
      </c>
      <c r="C18" s="328">
        <v>3693.77</v>
      </c>
      <c r="D18" s="328">
        <v>-1904.72</v>
      </c>
      <c r="E18" s="327">
        <v>57588</v>
      </c>
      <c r="F18" s="328">
        <v>1294.25</v>
      </c>
      <c r="G18" s="328">
        <v>640.37</v>
      </c>
      <c r="H18" s="327">
        <v>2004</v>
      </c>
      <c r="I18" s="328">
        <v>392.01</v>
      </c>
      <c r="J18" s="327">
        <v>1394</v>
      </c>
      <c r="K18" s="328">
        <v>7305.97</v>
      </c>
      <c r="L18" s="328">
        <v>5293.89</v>
      </c>
      <c r="M18" s="328">
        <v>736.49</v>
      </c>
      <c r="N18" s="327">
        <v>34786</v>
      </c>
      <c r="O18" s="328">
        <v>12608.68</v>
      </c>
      <c r="P18" s="328">
        <v>9628.0300000000007</v>
      </c>
      <c r="Q18" s="328">
        <v>-776.22</v>
      </c>
      <c r="R18" s="327">
        <v>93768</v>
      </c>
      <c r="S18" s="327">
        <v>2004</v>
      </c>
      <c r="T18" s="329" t="s">
        <v>559</v>
      </c>
      <c r="U18" s="328">
        <v>2415.7800000000002</v>
      </c>
      <c r="V18" s="328">
        <v>523.91</v>
      </c>
      <c r="W18" s="328">
        <v>1891.87</v>
      </c>
      <c r="X18" s="327">
        <v>5596</v>
      </c>
      <c r="Y18" s="328">
        <v>646.38</v>
      </c>
      <c r="Z18" s="328">
        <v>854.92</v>
      </c>
      <c r="AA18" s="328">
        <v>-240.68</v>
      </c>
      <c r="AB18" s="327">
        <v>14350</v>
      </c>
    </row>
    <row r="19" spans="1:28" s="56" customFormat="1" ht="13.5" customHeight="1">
      <c r="A19" s="136">
        <v>2005</v>
      </c>
      <c r="B19" s="138">
        <v>4836.34</v>
      </c>
      <c r="C19" s="138">
        <v>3814.7</v>
      </c>
      <c r="D19" s="138">
        <v>-1209.4100000000001</v>
      </c>
      <c r="E19" s="136">
        <v>56417</v>
      </c>
      <c r="F19" s="138">
        <v>1367.59</v>
      </c>
      <c r="G19" s="138">
        <v>529.5</v>
      </c>
      <c r="H19" s="136">
        <v>2005</v>
      </c>
      <c r="I19" s="138">
        <v>470.18</v>
      </c>
      <c r="J19" s="136">
        <v>1713</v>
      </c>
      <c r="K19" s="138">
        <v>9140.17</v>
      </c>
      <c r="L19" s="138">
        <v>6599.97</v>
      </c>
      <c r="M19" s="138">
        <v>954.71</v>
      </c>
      <c r="N19" s="136">
        <v>36715</v>
      </c>
      <c r="O19" s="138">
        <v>15344.1</v>
      </c>
      <c r="P19" s="138">
        <v>10944.17</v>
      </c>
      <c r="Q19" s="138">
        <v>215.48</v>
      </c>
      <c r="R19" s="136">
        <v>94845</v>
      </c>
      <c r="S19" s="136">
        <v>2005</v>
      </c>
      <c r="T19" s="80" t="s">
        <v>564</v>
      </c>
      <c r="U19" s="138">
        <v>3621.5</v>
      </c>
      <c r="V19" s="138">
        <v>1217.48</v>
      </c>
      <c r="W19" s="138">
        <f>U19-V19</f>
        <v>2404.02</v>
      </c>
      <c r="X19" s="136">
        <v>5481</v>
      </c>
      <c r="Y19" s="138">
        <v>1026.0899999999999</v>
      </c>
      <c r="Z19" s="138">
        <v>1088.9000000000001</v>
      </c>
      <c r="AA19" s="138">
        <v>-123</v>
      </c>
      <c r="AB19" s="136">
        <v>15406</v>
      </c>
    </row>
    <row r="20" spans="1:28" s="56" customFormat="1" ht="13.5" customHeight="1">
      <c r="A20" s="327">
        <v>2006</v>
      </c>
      <c r="B20" s="327">
        <v>5657.36</v>
      </c>
      <c r="C20" s="327">
        <v>4551.7700000000004</v>
      </c>
      <c r="D20" s="327">
        <v>-4415.92</v>
      </c>
      <c r="E20" s="327">
        <v>54591</v>
      </c>
      <c r="F20" s="328">
        <v>2372</v>
      </c>
      <c r="G20" s="327">
        <v>988.01</v>
      </c>
      <c r="H20" s="327">
        <v>2006</v>
      </c>
      <c r="I20" s="327">
        <v>624.12</v>
      </c>
      <c r="J20" s="327">
        <v>2384</v>
      </c>
      <c r="K20" s="327">
        <v>12757.48</v>
      </c>
      <c r="L20" s="327">
        <v>9400.6200000000008</v>
      </c>
      <c r="M20" s="327">
        <v>931.54</v>
      </c>
      <c r="N20" s="327">
        <v>42512</v>
      </c>
      <c r="O20" s="327">
        <v>20786.84</v>
      </c>
      <c r="P20" s="328">
        <v>14940.4</v>
      </c>
      <c r="Q20" s="327">
        <v>-2860.26</v>
      </c>
      <c r="R20" s="327">
        <v>99487</v>
      </c>
      <c r="S20" s="327">
        <v>2006</v>
      </c>
      <c r="T20" s="330" t="s">
        <v>573</v>
      </c>
      <c r="U20" s="331">
        <v>4279.41</v>
      </c>
      <c r="V20" s="331">
        <v>818.83</v>
      </c>
      <c r="W20" s="331">
        <v>3460.58</v>
      </c>
      <c r="X20" s="331">
        <v>5402</v>
      </c>
      <c r="Y20" s="332">
        <v>1234.32</v>
      </c>
      <c r="Z20" s="331">
        <v>1251.53</v>
      </c>
      <c r="AA20" s="332">
        <v>-143.62</v>
      </c>
      <c r="AB20" s="331">
        <v>15515</v>
      </c>
    </row>
    <row r="21" spans="1:28" s="56" customFormat="1" ht="13.5" customHeight="1">
      <c r="A21" s="136">
        <v>2007</v>
      </c>
      <c r="B21" s="136">
        <v>4713.37</v>
      </c>
      <c r="C21" s="136">
        <v>3243.54</v>
      </c>
      <c r="D21" s="138">
        <v>-809.1</v>
      </c>
      <c r="E21" s="136">
        <v>52177</v>
      </c>
      <c r="F21" s="138">
        <v>2656.66</v>
      </c>
      <c r="G21" s="136">
        <v>1266.5899999999999</v>
      </c>
      <c r="H21" s="136">
        <v>2007</v>
      </c>
      <c r="I21" s="136">
        <v>723.33</v>
      </c>
      <c r="J21" s="136">
        <v>2388</v>
      </c>
      <c r="K21" s="136">
        <v>16256.55</v>
      </c>
      <c r="L21" s="136">
        <v>11380.48</v>
      </c>
      <c r="M21" s="136">
        <v>1995.75</v>
      </c>
      <c r="N21" s="136">
        <v>45074</v>
      </c>
      <c r="O21" s="138">
        <v>23392.9</v>
      </c>
      <c r="P21" s="138">
        <v>15872.78</v>
      </c>
      <c r="Q21" s="136">
        <v>1909.98</v>
      </c>
      <c r="R21" s="136">
        <v>99639</v>
      </c>
      <c r="S21" s="136">
        <v>2007</v>
      </c>
      <c r="T21" s="56" t="s">
        <v>333</v>
      </c>
      <c r="U21" s="140">
        <v>4062.03</v>
      </c>
      <c r="V21" s="139">
        <v>909.2</v>
      </c>
      <c r="W21" s="140">
        <v>3152.83</v>
      </c>
      <c r="X21" s="140">
        <f>4031+1273</f>
        <v>5304</v>
      </c>
      <c r="Y21" s="140">
        <v>1472.26</v>
      </c>
      <c r="Z21" s="140">
        <v>1497.07</v>
      </c>
      <c r="AA21" s="140">
        <v>-167.17</v>
      </c>
      <c r="AB21" s="140">
        <v>15400</v>
      </c>
    </row>
    <row r="22" spans="1:28" s="140" customFormat="1" ht="13.5" customHeight="1">
      <c r="A22" s="327">
        <v>2008</v>
      </c>
      <c r="B22" s="327">
        <v>6750.95</v>
      </c>
      <c r="C22" s="327">
        <v>5227.88</v>
      </c>
      <c r="D22" s="327">
        <v>897.68</v>
      </c>
      <c r="E22" s="327">
        <v>53786</v>
      </c>
      <c r="F22" s="328">
        <v>3235.57</v>
      </c>
      <c r="G22" s="328">
        <v>1620.56</v>
      </c>
      <c r="H22" s="327">
        <v>2008</v>
      </c>
      <c r="I22" s="333">
        <v>1138.42</v>
      </c>
      <c r="J22" s="334">
        <v>2384</v>
      </c>
      <c r="K22" s="328">
        <v>21172.7</v>
      </c>
      <c r="L22" s="328">
        <v>14757.53</v>
      </c>
      <c r="M22" s="333">
        <v>2818.66</v>
      </c>
      <c r="N22" s="334">
        <v>46308</v>
      </c>
      <c r="O22" s="328">
        <v>31159.22</v>
      </c>
      <c r="P22" s="328">
        <v>21605.97</v>
      </c>
      <c r="Q22" s="328">
        <v>4854.76</v>
      </c>
      <c r="R22" s="334">
        <v>102478</v>
      </c>
      <c r="S22" s="327">
        <v>2008</v>
      </c>
      <c r="T22" s="330" t="s">
        <v>85</v>
      </c>
      <c r="U22" s="331">
        <v>3088.43</v>
      </c>
      <c r="V22" s="331">
        <v>582.63</v>
      </c>
      <c r="W22" s="332">
        <v>2505.8000000000002</v>
      </c>
      <c r="X22" s="331">
        <v>5259</v>
      </c>
      <c r="Y22" s="332">
        <v>1944.9</v>
      </c>
      <c r="Z22" s="331">
        <v>1685.01</v>
      </c>
      <c r="AA22" s="331">
        <v>40.159999999999997</v>
      </c>
      <c r="AB22" s="331">
        <v>15388</v>
      </c>
    </row>
    <row r="23" spans="1:28" s="140" customFormat="1" ht="13.5" customHeight="1">
      <c r="A23" s="136">
        <v>2009</v>
      </c>
      <c r="B23" s="136">
        <v>8026.68</v>
      </c>
      <c r="C23" s="136">
        <v>6083.51</v>
      </c>
      <c r="D23" s="136">
        <v>931.35</v>
      </c>
      <c r="E23" s="136">
        <v>50600</v>
      </c>
      <c r="F23" s="138">
        <v>2610.9499999999998</v>
      </c>
      <c r="G23" s="138">
        <v>1401.57</v>
      </c>
      <c r="H23" s="136">
        <v>2009</v>
      </c>
      <c r="I23" s="138">
        <v>708.78</v>
      </c>
      <c r="J23" s="145">
        <v>2760</v>
      </c>
      <c r="K23" s="138">
        <v>26262.19</v>
      </c>
      <c r="L23" s="138">
        <v>17911.02</v>
      </c>
      <c r="M23" s="138">
        <v>3947.72</v>
      </c>
      <c r="N23" s="145">
        <v>59874</v>
      </c>
      <c r="O23" s="138">
        <f t="shared" ref="O23:P32" si="0">B23+F23+K23</f>
        <v>36899.82</v>
      </c>
      <c r="P23" s="138">
        <f t="shared" si="0"/>
        <v>25396.1</v>
      </c>
      <c r="Q23" s="138">
        <f t="shared" ref="Q23:R32" si="1">D23+I23+M23</f>
        <v>5587.85</v>
      </c>
      <c r="R23" s="145">
        <f t="shared" si="1"/>
        <v>113234</v>
      </c>
      <c r="S23" s="136">
        <v>2009</v>
      </c>
      <c r="T23" s="56" t="s">
        <v>81</v>
      </c>
      <c r="U23" s="140">
        <v>1926.92</v>
      </c>
      <c r="V23" s="139">
        <v>639.1</v>
      </c>
      <c r="W23" s="139">
        <v>1287.82</v>
      </c>
      <c r="X23" s="140">
        <f>3914+1157</f>
        <v>5071</v>
      </c>
      <c r="Y23" s="140">
        <v>2327.42</v>
      </c>
      <c r="Z23" s="140">
        <v>2053.65</v>
      </c>
      <c r="AA23" s="140">
        <v>105.76</v>
      </c>
      <c r="AB23" s="140">
        <v>15293</v>
      </c>
    </row>
    <row r="24" spans="1:28" s="140" customFormat="1" ht="13.5" customHeight="1">
      <c r="A24" s="327">
        <v>2010</v>
      </c>
      <c r="B24" s="327">
        <v>10260.459999999999</v>
      </c>
      <c r="C24" s="327">
        <v>7163.33</v>
      </c>
      <c r="D24" s="327">
        <v>1176.26</v>
      </c>
      <c r="E24" s="327">
        <v>50069</v>
      </c>
      <c r="F24" s="328">
        <v>2632.77</v>
      </c>
      <c r="G24" s="328">
        <v>1338.96</v>
      </c>
      <c r="H24" s="327">
        <v>2010</v>
      </c>
      <c r="I24" s="328">
        <v>645.62</v>
      </c>
      <c r="J24" s="334">
        <v>3143</v>
      </c>
      <c r="K24" s="328">
        <v>32873.14</v>
      </c>
      <c r="L24" s="328">
        <v>20435.560000000001</v>
      </c>
      <c r="M24" s="328">
        <v>6032.03</v>
      </c>
      <c r="N24" s="334">
        <v>68720</v>
      </c>
      <c r="O24" s="328">
        <f t="shared" si="0"/>
        <v>45766.369999999995</v>
      </c>
      <c r="P24" s="328">
        <f t="shared" si="0"/>
        <v>28937.850000000002</v>
      </c>
      <c r="Q24" s="328">
        <f t="shared" si="1"/>
        <v>7853.91</v>
      </c>
      <c r="R24" s="334">
        <f t="shared" si="1"/>
        <v>121932</v>
      </c>
      <c r="S24" s="327">
        <v>2010</v>
      </c>
      <c r="T24" s="330" t="s">
        <v>190</v>
      </c>
      <c r="U24" s="331">
        <v>9862.5400000000009</v>
      </c>
      <c r="V24" s="332">
        <v>1019.94</v>
      </c>
      <c r="W24" s="331">
        <v>8842.59</v>
      </c>
      <c r="X24" s="331">
        <f>3848+1030</f>
        <v>4878</v>
      </c>
      <c r="Y24" s="332">
        <v>2610.5</v>
      </c>
      <c r="Z24" s="332">
        <v>2494.17</v>
      </c>
      <c r="AA24" s="331">
        <v>-58.41</v>
      </c>
      <c r="AB24" s="331">
        <v>14367</v>
      </c>
    </row>
    <row r="25" spans="1:28" s="364" customFormat="1" ht="13.5" customHeight="1">
      <c r="A25" s="502">
        <v>2011</v>
      </c>
      <c r="B25" s="503">
        <v>13224.12</v>
      </c>
      <c r="C25" s="503">
        <v>8569.5</v>
      </c>
      <c r="D25" s="502">
        <v>1799.33</v>
      </c>
      <c r="E25" s="502">
        <v>54025</v>
      </c>
      <c r="F25" s="503">
        <v>4378.41</v>
      </c>
      <c r="G25" s="503">
        <v>1925.6</v>
      </c>
      <c r="H25" s="502">
        <v>2011</v>
      </c>
      <c r="I25" s="503">
        <v>781.04</v>
      </c>
      <c r="J25" s="504">
        <v>3137</v>
      </c>
      <c r="K25" s="503">
        <v>41050.18</v>
      </c>
      <c r="L25" s="503">
        <v>29079.7</v>
      </c>
      <c r="M25" s="503">
        <v>6999.28</v>
      </c>
      <c r="N25" s="504">
        <v>75649</v>
      </c>
      <c r="O25" s="503">
        <f t="shared" si="0"/>
        <v>58652.71</v>
      </c>
      <c r="P25" s="503">
        <f t="shared" si="0"/>
        <v>39574.800000000003</v>
      </c>
      <c r="Q25" s="138">
        <f t="shared" si="1"/>
        <v>9579.65</v>
      </c>
      <c r="R25" s="145">
        <f t="shared" si="1"/>
        <v>132811</v>
      </c>
      <c r="S25" s="502">
        <v>2011</v>
      </c>
      <c r="T25" s="170" t="s">
        <v>1058</v>
      </c>
      <c r="U25" s="364">
        <v>8522.74</v>
      </c>
      <c r="V25" s="383">
        <v>1490.9978000000001</v>
      </c>
      <c r="W25" s="364">
        <v>7031.75</v>
      </c>
      <c r="X25" s="364">
        <v>4958</v>
      </c>
      <c r="Y25" s="383">
        <v>1818.91</v>
      </c>
      <c r="Z25" s="383">
        <v>1996.95</v>
      </c>
      <c r="AA25" s="383">
        <v>-208.04</v>
      </c>
      <c r="AB25" s="364">
        <v>13879</v>
      </c>
    </row>
    <row r="26" spans="1:28" s="364" customFormat="1" ht="13.5" customHeight="1">
      <c r="A26" s="327">
        <v>2012</v>
      </c>
      <c r="B26" s="328">
        <v>15725.253306500001</v>
      </c>
      <c r="C26" s="328">
        <v>11794.0446276</v>
      </c>
      <c r="D26" s="328">
        <v>-6522.876828200001</v>
      </c>
      <c r="E26" s="327">
        <v>57989</v>
      </c>
      <c r="F26" s="328">
        <v>5603.3493125000005</v>
      </c>
      <c r="G26" s="328">
        <v>2796.43</v>
      </c>
      <c r="H26" s="327">
        <v>2012</v>
      </c>
      <c r="I26" s="328">
        <v>1465.1193717000001</v>
      </c>
      <c r="J26" s="334">
        <v>3140</v>
      </c>
      <c r="K26" s="328">
        <v>52221.363523699983</v>
      </c>
      <c r="L26" s="328">
        <v>38973.794740899997</v>
      </c>
      <c r="M26" s="328">
        <v>3962.6805902000001</v>
      </c>
      <c r="N26" s="334">
        <v>81944</v>
      </c>
      <c r="O26" s="328">
        <f t="shared" si="0"/>
        <v>73549.966142699981</v>
      </c>
      <c r="P26" s="328">
        <f t="shared" si="0"/>
        <v>53564.269368499998</v>
      </c>
      <c r="Q26" s="328">
        <f t="shared" si="1"/>
        <v>-1095.0768663000013</v>
      </c>
      <c r="R26" s="334">
        <f t="shared" si="1"/>
        <v>143073</v>
      </c>
      <c r="S26" s="327">
        <v>2012</v>
      </c>
      <c r="T26" s="567" t="s">
        <v>1086</v>
      </c>
      <c r="U26" s="331" t="s">
        <v>295</v>
      </c>
      <c r="V26" s="332" t="s">
        <v>295</v>
      </c>
      <c r="W26" s="331" t="s">
        <v>295</v>
      </c>
      <c r="X26" s="331" t="s">
        <v>295</v>
      </c>
      <c r="Y26" s="331">
        <f>252.03+1340.23</f>
        <v>1592.26</v>
      </c>
      <c r="Z26" s="331">
        <f>149.23+1079.22</f>
        <v>1228.45</v>
      </c>
      <c r="AA26" s="331">
        <f>83.7+2.79</f>
        <v>86.490000000000009</v>
      </c>
      <c r="AB26" s="331">
        <f>857+1657</f>
        <v>2514</v>
      </c>
    </row>
    <row r="27" spans="1:28" s="364" customFormat="1" ht="13.5" customHeight="1">
      <c r="A27" s="502">
        <v>2013</v>
      </c>
      <c r="B27" s="503">
        <v>16728.024012099999</v>
      </c>
      <c r="C27" s="503">
        <v>13949.002911900001</v>
      </c>
      <c r="D27" s="503">
        <v>2258.4407385999998</v>
      </c>
      <c r="E27" s="502">
        <v>58049</v>
      </c>
      <c r="F27" s="503">
        <v>5985.9425159000011</v>
      </c>
      <c r="G27" s="503">
        <v>3007.3867308999997</v>
      </c>
      <c r="H27" s="502">
        <v>2013</v>
      </c>
      <c r="I27" s="503">
        <v>1464.6336643</v>
      </c>
      <c r="J27" s="504">
        <v>3330</v>
      </c>
      <c r="K27" s="503">
        <v>57658.748551799996</v>
      </c>
      <c r="L27" s="503">
        <v>44904.274183500005</v>
      </c>
      <c r="M27" s="503">
        <v>4644.2722049999993</v>
      </c>
      <c r="N27" s="504">
        <v>85888</v>
      </c>
      <c r="O27" s="503">
        <f t="shared" si="0"/>
        <v>80372.715079799993</v>
      </c>
      <c r="P27" s="503">
        <f t="shared" si="0"/>
        <v>61860.663826300006</v>
      </c>
      <c r="Q27" s="503">
        <f t="shared" si="1"/>
        <v>8367.3466078999991</v>
      </c>
      <c r="R27" s="504">
        <f t="shared" si="1"/>
        <v>147267</v>
      </c>
      <c r="S27" s="502">
        <v>2013</v>
      </c>
      <c r="T27" s="566" t="s">
        <v>840</v>
      </c>
      <c r="U27" s="364">
        <v>1685.34</v>
      </c>
      <c r="V27" s="383">
        <v>1380.9365</v>
      </c>
      <c r="W27" s="364">
        <v>304.41000000000003</v>
      </c>
      <c r="X27" s="364">
        <v>5239</v>
      </c>
      <c r="Y27" s="383">
        <v>1794.8927682999999</v>
      </c>
      <c r="Z27" s="383">
        <v>2210.8702908</v>
      </c>
      <c r="AA27" s="383">
        <v>-448.5010825</v>
      </c>
      <c r="AB27" s="364">
        <v>15034</v>
      </c>
    </row>
    <row r="28" spans="1:28" s="364" customFormat="1" ht="13.5" customHeight="1">
      <c r="A28" s="327">
        <v>2014</v>
      </c>
      <c r="B28" s="328">
        <v>18486.490000000002</v>
      </c>
      <c r="C28" s="328">
        <v>15256.82</v>
      </c>
      <c r="D28" s="328">
        <v>1227.44</v>
      </c>
      <c r="E28" s="327">
        <v>56187</v>
      </c>
      <c r="F28" s="328">
        <v>5906.7</v>
      </c>
      <c r="G28" s="328">
        <v>2721.73</v>
      </c>
      <c r="H28" s="327">
        <v>2014</v>
      </c>
      <c r="I28" s="328">
        <v>1706.03</v>
      </c>
      <c r="J28" s="334">
        <v>3880</v>
      </c>
      <c r="K28" s="328">
        <v>61356.65</v>
      </c>
      <c r="L28" s="328">
        <v>46637.05</v>
      </c>
      <c r="M28" s="328">
        <v>5511.02</v>
      </c>
      <c r="N28" s="334">
        <v>93624</v>
      </c>
      <c r="O28" s="328">
        <f t="shared" si="0"/>
        <v>85749.84</v>
      </c>
      <c r="P28" s="328">
        <f t="shared" si="0"/>
        <v>64615.600000000006</v>
      </c>
      <c r="Q28" s="328">
        <f t="shared" si="1"/>
        <v>8444.4900000000016</v>
      </c>
      <c r="R28" s="334">
        <f t="shared" si="1"/>
        <v>153691</v>
      </c>
      <c r="S28" s="327">
        <v>2014</v>
      </c>
      <c r="T28" s="567">
        <v>2013</v>
      </c>
      <c r="U28" s="331" t="s">
        <v>295</v>
      </c>
      <c r="V28" s="332" t="s">
        <v>295</v>
      </c>
      <c r="W28" s="331" t="s">
        <v>295</v>
      </c>
      <c r="X28" s="331" t="s">
        <v>295</v>
      </c>
      <c r="Y28" s="332">
        <v>2163.7902678</v>
      </c>
      <c r="Z28" s="332">
        <v>1791.2615637000001</v>
      </c>
      <c r="AA28" s="332">
        <v>48.857708699999996</v>
      </c>
      <c r="AB28" s="331">
        <v>2971</v>
      </c>
    </row>
    <row r="29" spans="1:28" s="364" customFormat="1" ht="13.5" customHeight="1">
      <c r="A29" s="140">
        <v>2015</v>
      </c>
      <c r="B29" s="89">
        <v>20782.27</v>
      </c>
      <c r="C29" s="89">
        <v>17852.88</v>
      </c>
      <c r="D29" s="661">
        <v>365.93</v>
      </c>
      <c r="E29" s="662">
        <v>58286</v>
      </c>
      <c r="F29" s="387">
        <v>5407.47</v>
      </c>
      <c r="G29" s="387">
        <v>2514.02</v>
      </c>
      <c r="H29" s="140">
        <v>2015</v>
      </c>
      <c r="I29" s="387">
        <v>1695.81</v>
      </c>
      <c r="J29" s="663">
        <v>3876</v>
      </c>
      <c r="K29" s="387">
        <v>64033.43</v>
      </c>
      <c r="L29" s="387">
        <v>48463.98</v>
      </c>
      <c r="M29" s="387">
        <v>6145.79</v>
      </c>
      <c r="N29" s="663">
        <v>92742</v>
      </c>
      <c r="O29" s="503">
        <f t="shared" si="0"/>
        <v>90223.17</v>
      </c>
      <c r="P29" s="503">
        <f t="shared" si="0"/>
        <v>68830.880000000005</v>
      </c>
      <c r="Q29" s="503">
        <f t="shared" si="1"/>
        <v>8207.5299999999988</v>
      </c>
      <c r="R29" s="504">
        <f t="shared" si="1"/>
        <v>154904</v>
      </c>
      <c r="S29" s="140">
        <v>2015</v>
      </c>
      <c r="T29" s="170" t="s">
        <v>1019</v>
      </c>
      <c r="U29" s="364">
        <v>5040.63</v>
      </c>
      <c r="V29" s="383">
        <v>1688.81</v>
      </c>
      <c r="W29" s="364">
        <v>3351.83</v>
      </c>
      <c r="X29" s="364">
        <v>5470</v>
      </c>
      <c r="Y29" s="383">
        <v>2035.3</v>
      </c>
      <c r="Z29" s="364">
        <v>2539.12</v>
      </c>
      <c r="AA29" s="364">
        <v>-3504.21</v>
      </c>
      <c r="AB29" s="364">
        <v>14237</v>
      </c>
    </row>
    <row r="30" spans="1:28" s="364" customFormat="1" ht="13.5" customHeight="1">
      <c r="A30" s="331">
        <v>2016</v>
      </c>
      <c r="B30" s="725">
        <v>20405.580000000002</v>
      </c>
      <c r="C30" s="725">
        <v>18437.03</v>
      </c>
      <c r="D30" s="726">
        <v>-363.99</v>
      </c>
      <c r="E30" s="727">
        <v>54405</v>
      </c>
      <c r="F30" s="392">
        <v>4405.96</v>
      </c>
      <c r="G30" s="392">
        <v>2009.23</v>
      </c>
      <c r="H30" s="331">
        <v>2016</v>
      </c>
      <c r="I30" s="392">
        <v>1385.13</v>
      </c>
      <c r="J30" s="728">
        <v>3997</v>
      </c>
      <c r="K30" s="392">
        <v>66053.23</v>
      </c>
      <c r="L30" s="392">
        <v>48304.639999999999</v>
      </c>
      <c r="M30" s="392">
        <v>7075.22</v>
      </c>
      <c r="N30" s="728">
        <v>101622</v>
      </c>
      <c r="O30" s="328">
        <f t="shared" si="0"/>
        <v>90864.76999999999</v>
      </c>
      <c r="P30" s="328">
        <f t="shared" si="0"/>
        <v>68750.899999999994</v>
      </c>
      <c r="Q30" s="328">
        <f t="shared" si="1"/>
        <v>8096.3600000000006</v>
      </c>
      <c r="R30" s="334">
        <f t="shared" si="1"/>
        <v>160024</v>
      </c>
      <c r="S30" s="331">
        <v>2016</v>
      </c>
      <c r="T30" s="567">
        <v>2014</v>
      </c>
      <c r="U30" s="331" t="s">
        <v>295</v>
      </c>
      <c r="V30" s="332" t="s">
        <v>295</v>
      </c>
      <c r="W30" s="331" t="s">
        <v>295</v>
      </c>
      <c r="X30" s="331" t="s">
        <v>295</v>
      </c>
      <c r="Y30" s="331">
        <v>1988.85</v>
      </c>
      <c r="Z30" s="331">
        <v>1951.38</v>
      </c>
      <c r="AA30" s="331">
        <v>2.91</v>
      </c>
      <c r="AB30" s="331">
        <v>3115</v>
      </c>
    </row>
    <row r="31" spans="1:28" ht="13.5" customHeight="1">
      <c r="A31" s="140">
        <v>2017</v>
      </c>
      <c r="B31" s="140">
        <v>20829.87</v>
      </c>
      <c r="C31" s="140">
        <v>17032.490000000002</v>
      </c>
      <c r="D31" s="140">
        <v>1091.04</v>
      </c>
      <c r="E31" s="140">
        <v>51483</v>
      </c>
      <c r="F31" s="140">
        <v>4369.22</v>
      </c>
      <c r="G31" s="140">
        <v>2027.35</v>
      </c>
      <c r="H31" s="140">
        <v>2017</v>
      </c>
      <c r="I31" s="140">
        <v>1324.35</v>
      </c>
      <c r="J31" s="140">
        <v>4003</v>
      </c>
      <c r="K31" s="503">
        <v>71888.84</v>
      </c>
      <c r="L31" s="503">
        <v>53138.79</v>
      </c>
      <c r="M31" s="503">
        <v>6877.83</v>
      </c>
      <c r="N31" s="504">
        <v>107255</v>
      </c>
      <c r="O31" s="503">
        <f t="shared" si="0"/>
        <v>97087.93</v>
      </c>
      <c r="P31" s="503">
        <f t="shared" si="0"/>
        <v>72198.63</v>
      </c>
      <c r="Q31" s="503">
        <f t="shared" si="1"/>
        <v>9293.2199999999993</v>
      </c>
      <c r="R31" s="504">
        <f t="shared" si="1"/>
        <v>162741</v>
      </c>
      <c r="S31" s="502">
        <v>2017</v>
      </c>
      <c r="T31" s="170" t="s">
        <v>1070</v>
      </c>
      <c r="U31" s="364">
        <v>2807.48</v>
      </c>
      <c r="V31" s="383">
        <v>5430.4471999999996</v>
      </c>
      <c r="W31" s="383">
        <v>-2622.97</v>
      </c>
      <c r="X31" s="364">
        <v>6067</v>
      </c>
      <c r="Y31" s="364">
        <v>2105.12</v>
      </c>
      <c r="Z31" s="364">
        <v>2551.56</v>
      </c>
      <c r="AA31" s="383">
        <v>-247.5</v>
      </c>
      <c r="AB31" s="364">
        <v>14094</v>
      </c>
    </row>
    <row r="32" spans="1:28" ht="13.5" customHeight="1">
      <c r="A32" s="331">
        <v>2018</v>
      </c>
      <c r="B32" s="331">
        <v>21746.61</v>
      </c>
      <c r="C32" s="331">
        <v>17483.86</v>
      </c>
      <c r="D32" s="331">
        <v>113.45</v>
      </c>
      <c r="E32" s="331">
        <v>49552</v>
      </c>
      <c r="F32" s="331">
        <v>5123.6499999999996</v>
      </c>
      <c r="G32" s="331">
        <v>2321.98</v>
      </c>
      <c r="H32" s="331">
        <v>2018</v>
      </c>
      <c r="I32" s="331">
        <v>1630.73</v>
      </c>
      <c r="J32" s="331">
        <v>3935</v>
      </c>
      <c r="K32" s="328">
        <v>84994.49</v>
      </c>
      <c r="L32" s="328">
        <v>65262.559999999998</v>
      </c>
      <c r="M32" s="328">
        <v>7866.64</v>
      </c>
      <c r="N32" s="334">
        <v>114080</v>
      </c>
      <c r="O32" s="328">
        <f t="shared" si="0"/>
        <v>111864.75</v>
      </c>
      <c r="P32" s="328">
        <f t="shared" si="0"/>
        <v>85068.4</v>
      </c>
      <c r="Q32" s="328">
        <f t="shared" si="1"/>
        <v>9610.82</v>
      </c>
      <c r="R32" s="334">
        <f t="shared" si="1"/>
        <v>167567</v>
      </c>
      <c r="S32" s="327">
        <v>2018</v>
      </c>
      <c r="T32" s="330" t="s">
        <v>1193</v>
      </c>
      <c r="U32" s="331">
        <v>3502.18</v>
      </c>
      <c r="V32" s="332">
        <v>3349.1619999999998</v>
      </c>
      <c r="W32" s="332">
        <v>153.02000000000001</v>
      </c>
      <c r="X32" s="331">
        <v>5726</v>
      </c>
      <c r="Y32" s="332">
        <v>2060.8000000000002</v>
      </c>
      <c r="Z32" s="332">
        <v>2816.86</v>
      </c>
      <c r="AA32" s="331">
        <v>-674.71</v>
      </c>
      <c r="AB32" s="331">
        <v>13200</v>
      </c>
    </row>
    <row r="33" spans="1:31" ht="13.5" customHeight="1">
      <c r="A33" s="364">
        <v>2019</v>
      </c>
      <c r="B33" s="364">
        <v>22230.95</v>
      </c>
      <c r="C33" s="364">
        <v>18888.73</v>
      </c>
      <c r="D33" s="383">
        <v>155.6</v>
      </c>
      <c r="E33" s="364">
        <v>52002</v>
      </c>
      <c r="F33" s="364">
        <v>7224.31</v>
      </c>
      <c r="G33" s="364">
        <v>3352.81</v>
      </c>
      <c r="H33" s="364">
        <v>2019</v>
      </c>
      <c r="I33" s="364">
        <v>2365.71</v>
      </c>
      <c r="J33" s="364">
        <v>3886</v>
      </c>
      <c r="K33" s="503">
        <v>97952.06</v>
      </c>
      <c r="L33" s="503">
        <v>75408.59</v>
      </c>
      <c r="M33" s="503">
        <v>7018.84</v>
      </c>
      <c r="N33" s="504">
        <v>123186</v>
      </c>
      <c r="O33" s="503">
        <v>127407.31</v>
      </c>
      <c r="P33" s="503">
        <v>97650.13</v>
      </c>
      <c r="Q33" s="503">
        <v>9540.15</v>
      </c>
      <c r="R33" s="504">
        <v>179074</v>
      </c>
      <c r="S33" s="502">
        <v>2019</v>
      </c>
      <c r="T33" s="170" t="s">
        <v>1225</v>
      </c>
      <c r="U33" s="383">
        <v>10866.435799999999</v>
      </c>
      <c r="V33" s="383">
        <v>3379.3724000000002</v>
      </c>
      <c r="W33" s="383">
        <f t="shared" ref="W33:W39" si="2">U33-V33</f>
        <v>7487.0633999999991</v>
      </c>
      <c r="X33" s="364">
        <v>5664</v>
      </c>
      <c r="Y33" s="383">
        <v>2155</v>
      </c>
      <c r="Z33" s="383">
        <v>2921.68</v>
      </c>
      <c r="AA33" s="364">
        <v>-555.75</v>
      </c>
      <c r="AB33" s="364">
        <v>12286</v>
      </c>
      <c r="AD33" s="162"/>
      <c r="AE33" s="162"/>
    </row>
    <row r="34" spans="1:31" ht="13.5" customHeight="1">
      <c r="A34" s="331">
        <v>2020</v>
      </c>
      <c r="B34" s="331">
        <v>24064.51</v>
      </c>
      <c r="C34" s="331">
        <v>20386.939999999999</v>
      </c>
      <c r="D34" s="331">
        <v>49.26</v>
      </c>
      <c r="E34" s="331">
        <v>50543</v>
      </c>
      <c r="F34" s="331">
        <v>6782.25</v>
      </c>
      <c r="G34" s="332">
        <v>2914.5</v>
      </c>
      <c r="H34" s="331">
        <v>2020</v>
      </c>
      <c r="I34" s="332">
        <v>2313.3000000000002</v>
      </c>
      <c r="J34" s="331">
        <v>3870</v>
      </c>
      <c r="K34" s="327">
        <v>94759.71</v>
      </c>
      <c r="L34" s="327">
        <v>75652.05</v>
      </c>
      <c r="M34" s="327">
        <v>8023.22</v>
      </c>
      <c r="N34" s="327">
        <v>127524</v>
      </c>
      <c r="O34" s="327">
        <v>125606.46</v>
      </c>
      <c r="P34" s="327">
        <v>98953.49</v>
      </c>
      <c r="Q34" s="327">
        <v>10385.780000000001</v>
      </c>
      <c r="R34" s="327">
        <v>181937</v>
      </c>
      <c r="S34" s="327">
        <v>2020</v>
      </c>
      <c r="T34" s="330" t="s">
        <v>1350</v>
      </c>
      <c r="U34" s="332">
        <v>14247.9123</v>
      </c>
      <c r="V34" s="332">
        <v>4583.1831000000002</v>
      </c>
      <c r="W34" s="332">
        <f t="shared" si="2"/>
        <v>9664.7291999999998</v>
      </c>
      <c r="X34" s="331">
        <v>5741</v>
      </c>
      <c r="Y34" s="332">
        <v>1952.69</v>
      </c>
      <c r="Z34" s="332">
        <v>2861.6</v>
      </c>
      <c r="AA34" s="331">
        <v>-610.83000000000004</v>
      </c>
      <c r="AB34" s="331">
        <v>12470</v>
      </c>
      <c r="AD34" s="864"/>
      <c r="AE34" s="162"/>
    </row>
    <row r="35" spans="1:31" ht="13.5" customHeight="1">
      <c r="A35" s="364">
        <v>2021</v>
      </c>
      <c r="B35" s="383">
        <v>26872.24418464</v>
      </c>
      <c r="C35" s="383">
        <v>23374.866161400001</v>
      </c>
      <c r="D35" s="383">
        <v>429.252225071</v>
      </c>
      <c r="E35" s="1438">
        <v>50956</v>
      </c>
      <c r="F35" s="383">
        <v>5595.4584286017998</v>
      </c>
      <c r="G35" s="383">
        <v>2450.3390051800002</v>
      </c>
      <c r="H35" s="364">
        <v>2021</v>
      </c>
      <c r="I35" s="383">
        <v>1538.7015144</v>
      </c>
      <c r="J35" s="364">
        <v>3759</v>
      </c>
      <c r="K35" s="503">
        <v>91769.504217783993</v>
      </c>
      <c r="L35" s="503">
        <v>69567.008369129995</v>
      </c>
      <c r="M35" s="503">
        <v>6687.2177825500003</v>
      </c>
      <c r="N35" s="502">
        <v>134446</v>
      </c>
      <c r="O35" s="503">
        <v>124237.20683102599</v>
      </c>
      <c r="P35" s="503">
        <v>95392.213535710005</v>
      </c>
      <c r="Q35" s="503">
        <v>8655.1715220210008</v>
      </c>
      <c r="R35" s="502">
        <v>189161</v>
      </c>
      <c r="S35" s="502">
        <v>2021</v>
      </c>
      <c r="T35" s="170" t="s">
        <v>1466</v>
      </c>
      <c r="U35" s="383">
        <v>8954.8858999999993</v>
      </c>
      <c r="V35" s="383">
        <v>3142.6428999999998</v>
      </c>
      <c r="W35" s="383">
        <f t="shared" si="2"/>
        <v>5812.2429999999995</v>
      </c>
      <c r="X35" s="364">
        <v>6369</v>
      </c>
      <c r="Y35" s="383">
        <v>1983.63</v>
      </c>
      <c r="Z35" s="383">
        <v>3057.25</v>
      </c>
      <c r="AA35" s="364">
        <v>-704.27</v>
      </c>
      <c r="AB35" s="364">
        <v>12156</v>
      </c>
      <c r="AD35" s="864"/>
      <c r="AE35" s="162"/>
    </row>
    <row r="36" spans="1:31" ht="13.5" customHeight="1">
      <c r="A36" s="331">
        <v>2022</v>
      </c>
      <c r="B36" s="332">
        <v>28238.26600367</v>
      </c>
      <c r="C36" s="332">
        <v>23696.605142500001</v>
      </c>
      <c r="D36" s="332">
        <v>494.79680735199997</v>
      </c>
      <c r="E36" s="1675">
        <v>49617</v>
      </c>
      <c r="F36" s="332">
        <v>8090.7029131440004</v>
      </c>
      <c r="G36" s="332">
        <v>2974.9060998199998</v>
      </c>
      <c r="H36" s="331">
        <v>2022</v>
      </c>
      <c r="I36" s="332">
        <v>3156.8323895200001</v>
      </c>
      <c r="J36" s="331">
        <v>3895</v>
      </c>
      <c r="K36" s="328">
        <v>103950.010347887</v>
      </c>
      <c r="L36" s="328">
        <v>82559.901409586993</v>
      </c>
      <c r="M36" s="328">
        <v>6137.6551727409997</v>
      </c>
      <c r="N36" s="327">
        <v>147621</v>
      </c>
      <c r="O36" s="328">
        <v>140278.97926470099</v>
      </c>
      <c r="P36" s="328">
        <v>109231.412651907</v>
      </c>
      <c r="Q36" s="328">
        <v>9789.2843696130003</v>
      </c>
      <c r="R36" s="327">
        <v>201133</v>
      </c>
      <c r="S36" s="327">
        <v>2022</v>
      </c>
      <c r="T36" s="330" t="s">
        <v>1550</v>
      </c>
      <c r="U36" s="332">
        <v>9035.0049999999992</v>
      </c>
      <c r="V36" s="332">
        <v>2849.3778000000002</v>
      </c>
      <c r="W36" s="332">
        <f t="shared" si="2"/>
        <v>6185.627199999999</v>
      </c>
      <c r="X36" s="331">
        <v>6391</v>
      </c>
      <c r="Y36" s="332">
        <v>1788.53</v>
      </c>
      <c r="Z36" s="332">
        <v>3360.88</v>
      </c>
      <c r="AA36" s="331">
        <v>-1834.47</v>
      </c>
      <c r="AB36" s="331">
        <v>13551</v>
      </c>
      <c r="AD36" s="162"/>
      <c r="AE36" s="162"/>
    </row>
    <row r="37" spans="1:31" ht="13.5" customHeight="1" thickBot="1">
      <c r="A37" s="1676">
        <v>2023</v>
      </c>
      <c r="B37" s="1677">
        <v>33505.953779130003</v>
      </c>
      <c r="C37" s="1677">
        <v>27199.348528800001</v>
      </c>
      <c r="D37" s="1677">
        <v>427.31112196999999</v>
      </c>
      <c r="E37" s="1678">
        <v>50773</v>
      </c>
      <c r="F37" s="1677">
        <v>10874.061307672</v>
      </c>
      <c r="G37" s="1677">
        <v>3753.7906792610002</v>
      </c>
      <c r="H37" s="1676">
        <v>2023</v>
      </c>
      <c r="I37" s="1677">
        <v>4451.8563649300004</v>
      </c>
      <c r="J37" s="1676">
        <v>4117</v>
      </c>
      <c r="K37" s="1679">
        <v>120200.92142928</v>
      </c>
      <c r="L37" s="1679">
        <v>95960.214807690005</v>
      </c>
      <c r="M37" s="1679">
        <v>8106.3418261699999</v>
      </c>
      <c r="N37" s="1680">
        <v>152802</v>
      </c>
      <c r="O37" s="1679">
        <v>164580.936516082</v>
      </c>
      <c r="P37" s="1679">
        <v>126913.354015751</v>
      </c>
      <c r="Q37" s="1679">
        <v>12985.509313070001</v>
      </c>
      <c r="R37" s="1680">
        <v>207692</v>
      </c>
      <c r="S37" s="1680">
        <v>2023</v>
      </c>
      <c r="T37" s="170" t="s">
        <v>1606</v>
      </c>
      <c r="U37" s="383">
        <v>8635.3417000000009</v>
      </c>
      <c r="V37" s="383">
        <v>2858.1232</v>
      </c>
      <c r="W37" s="383">
        <f t="shared" si="2"/>
        <v>5777.2185000000009</v>
      </c>
      <c r="X37" s="364">
        <v>6407</v>
      </c>
      <c r="Y37" s="383">
        <v>1959.1311442470001</v>
      </c>
      <c r="Z37" s="383">
        <v>3564.6620677000001</v>
      </c>
      <c r="AA37" s="364">
        <v>-1742.4104153000001</v>
      </c>
      <c r="AB37" s="364">
        <v>13275</v>
      </c>
      <c r="AD37" s="162"/>
      <c r="AE37" s="162"/>
    </row>
    <row r="38" spans="1:31" ht="13.5" customHeight="1">
      <c r="A38" s="568"/>
      <c r="B38" s="569"/>
      <c r="C38" s="908"/>
      <c r="D38" s="503"/>
      <c r="E38" s="502"/>
      <c r="F38" s="503"/>
      <c r="G38" s="503"/>
      <c r="H38" s="502"/>
      <c r="I38" s="503"/>
      <c r="J38" s="504"/>
      <c r="K38" s="67"/>
      <c r="L38" s="67"/>
      <c r="M38" s="67"/>
      <c r="N38" s="67"/>
      <c r="O38" s="67"/>
      <c r="P38" s="67"/>
      <c r="Q38" s="67"/>
      <c r="R38" s="67"/>
      <c r="S38" s="67"/>
      <c r="T38" s="1455" t="s">
        <v>1927</v>
      </c>
      <c r="U38" s="1456">
        <v>32199.101299999998</v>
      </c>
      <c r="V38" s="1457">
        <v>2952.0945999999999</v>
      </c>
      <c r="W38" s="1457">
        <f t="shared" si="2"/>
        <v>29247.006699999998</v>
      </c>
      <c r="X38" s="1458">
        <v>6201</v>
      </c>
      <c r="Y38" s="1459">
        <v>2190.0319221</v>
      </c>
      <c r="Z38" s="392">
        <v>3730.5874588000001</v>
      </c>
      <c r="AA38" s="392">
        <v>-1563.2522366000001</v>
      </c>
      <c r="AB38" s="728">
        <v>11595</v>
      </c>
      <c r="AD38" s="1007"/>
    </row>
    <row r="39" spans="1:31" ht="12" customHeight="1">
      <c r="A39" s="568" t="s">
        <v>373</v>
      </c>
      <c r="B39" s="2482" t="s">
        <v>1260</v>
      </c>
      <c r="C39" s="2482"/>
      <c r="D39" s="782"/>
      <c r="E39" s="782"/>
      <c r="F39" s="782"/>
      <c r="G39" s="782"/>
      <c r="H39" s="782"/>
      <c r="I39" s="782"/>
      <c r="J39" s="782"/>
      <c r="K39" s="67"/>
      <c r="L39" s="67"/>
      <c r="M39" s="67"/>
      <c r="N39" s="67"/>
      <c r="O39" s="729"/>
      <c r="P39" s="67"/>
      <c r="Q39" s="67"/>
      <c r="R39" s="729"/>
      <c r="S39" s="67"/>
      <c r="T39" s="1681" t="s">
        <v>2183</v>
      </c>
      <c r="U39" s="1682">
        <v>51886.2</v>
      </c>
      <c r="V39" s="1683">
        <v>4617.75</v>
      </c>
      <c r="W39" s="1683">
        <f t="shared" si="2"/>
        <v>47268.45</v>
      </c>
      <c r="X39" s="1684">
        <v>6060</v>
      </c>
      <c r="Y39" s="1685">
        <v>2572.45197925</v>
      </c>
      <c r="Z39" s="387">
        <v>4443.0967950200002</v>
      </c>
      <c r="AA39" s="387">
        <v>-2574.0387931499999</v>
      </c>
      <c r="AB39" s="663">
        <v>11953</v>
      </c>
    </row>
    <row r="40" spans="1:31" ht="12.75" customHeight="1" thickBot="1">
      <c r="A40" s="568"/>
      <c r="B40" s="2482" t="s">
        <v>1226</v>
      </c>
      <c r="C40" s="2482"/>
      <c r="D40" s="2482"/>
      <c r="E40" s="2482"/>
      <c r="F40" s="782"/>
      <c r="G40" s="782"/>
      <c r="H40" s="782"/>
      <c r="I40" s="782"/>
      <c r="J40" s="782"/>
      <c r="K40" s="67"/>
      <c r="L40" s="67"/>
      <c r="M40" s="67"/>
      <c r="N40" s="67"/>
      <c r="O40" s="729"/>
      <c r="P40" s="67"/>
      <c r="Q40" s="67"/>
      <c r="R40" s="1009"/>
      <c r="S40" s="1289"/>
      <c r="T40" s="1686" t="s">
        <v>2345</v>
      </c>
      <c r="U40" s="1687">
        <v>48402.42</v>
      </c>
      <c r="V40" s="1688">
        <v>7848.67</v>
      </c>
      <c r="W40" s="1688">
        <v>40553.75</v>
      </c>
      <c r="X40" s="1689">
        <v>6226</v>
      </c>
      <c r="Y40" s="1690" t="s">
        <v>295</v>
      </c>
      <c r="Z40" s="1691" t="s">
        <v>295</v>
      </c>
      <c r="AA40" s="1691" t="s">
        <v>295</v>
      </c>
      <c r="AB40" s="1692" t="s">
        <v>295</v>
      </c>
    </row>
    <row r="41" spans="1:31" ht="12" customHeight="1">
      <c r="A41" s="115"/>
      <c r="K41" s="67"/>
      <c r="L41" s="67"/>
      <c r="M41" s="67"/>
      <c r="N41" s="67"/>
      <c r="O41" s="67"/>
      <c r="P41" s="67"/>
      <c r="Q41" s="67"/>
      <c r="R41" s="67"/>
      <c r="S41" s="67"/>
      <c r="T41" s="2466" t="s">
        <v>1605</v>
      </c>
      <c r="U41" s="2466"/>
      <c r="V41" s="2466"/>
      <c r="W41" s="2466"/>
      <c r="X41" s="2466"/>
      <c r="Y41" s="2466"/>
      <c r="Z41" s="2466"/>
      <c r="AA41" s="2466"/>
      <c r="AB41" s="2466"/>
    </row>
    <row r="42" spans="1:31" ht="11.25" customHeight="1">
      <c r="B42" s="205"/>
      <c r="C42" s="205"/>
      <c r="D42" s="6"/>
      <c r="K42" s="113"/>
      <c r="L42" s="113"/>
      <c r="M42" s="113"/>
      <c r="N42" s="113"/>
      <c r="O42" s="664"/>
      <c r="P42" s="664"/>
      <c r="Q42" s="664"/>
      <c r="R42" s="664"/>
      <c r="S42" s="1008"/>
      <c r="T42" s="2466" t="s">
        <v>1426</v>
      </c>
      <c r="U42" s="2466"/>
      <c r="V42" s="2466"/>
      <c r="W42" s="2466"/>
      <c r="X42" s="2466"/>
      <c r="Y42" s="2466"/>
      <c r="Z42" s="2466"/>
      <c r="AA42" s="2466"/>
      <c r="AB42" s="2466"/>
    </row>
    <row r="43" spans="1:31" ht="15.75">
      <c r="A43" s="117"/>
      <c r="B43" s="117"/>
      <c r="K43" s="120"/>
      <c r="L43" s="120"/>
      <c r="M43" s="120"/>
      <c r="N43" s="120"/>
      <c r="O43" s="665"/>
      <c r="P43" s="665"/>
      <c r="Q43" s="665"/>
      <c r="R43" s="665"/>
      <c r="S43" s="120"/>
      <c r="T43" s="2484" t="s">
        <v>1336</v>
      </c>
      <c r="U43" s="2484"/>
      <c r="V43" s="2484"/>
      <c r="W43" s="2484"/>
      <c r="X43" s="2484"/>
      <c r="Y43" s="2484"/>
      <c r="Z43" s="2484"/>
      <c r="AA43" s="2484"/>
      <c r="AB43" s="2484"/>
    </row>
    <row r="44" spans="1:31">
      <c r="A44" s="117"/>
      <c r="B44" s="117"/>
      <c r="C44" s="117"/>
      <c r="D44" s="117"/>
      <c r="E44" s="117"/>
      <c r="F44" s="117"/>
      <c r="G44" s="117"/>
      <c r="I44" s="117"/>
      <c r="J44" s="117"/>
      <c r="K44" s="117"/>
      <c r="L44" s="117"/>
      <c r="M44" s="117"/>
      <c r="N44" s="117"/>
      <c r="O44" s="120"/>
      <c r="P44" s="120"/>
      <c r="Q44" s="120"/>
      <c r="R44" s="120"/>
      <c r="S44" s="120"/>
      <c r="T44" s="2483" t="s">
        <v>1268</v>
      </c>
      <c r="U44" s="2483"/>
      <c r="V44" s="2483"/>
      <c r="W44" s="2483"/>
      <c r="X44" s="2483"/>
      <c r="Y44" s="2483"/>
      <c r="Z44" s="7"/>
      <c r="AA44" s="696"/>
      <c r="AB44" s="7"/>
    </row>
    <row r="45" spans="1:31" ht="15.75">
      <c r="B45" s="117"/>
      <c r="C45" s="117"/>
      <c r="D45" s="117"/>
      <c r="E45" s="117"/>
      <c r="F45" s="117"/>
      <c r="G45" s="117"/>
      <c r="I45" s="117"/>
      <c r="J45" s="117"/>
      <c r="K45" s="117"/>
      <c r="L45" s="117"/>
      <c r="M45" s="117"/>
      <c r="N45" s="117"/>
      <c r="O45" s="667"/>
      <c r="P45" s="667"/>
      <c r="Q45" s="667"/>
      <c r="R45" s="667"/>
    </row>
    <row r="46" spans="1:31">
      <c r="I46" s="162"/>
      <c r="K46" s="67"/>
    </row>
    <row r="47" spans="1:31" ht="15">
      <c r="I47" s="162"/>
      <c r="K47" s="67"/>
      <c r="Y47" s="666"/>
      <c r="Z47" s="666"/>
      <c r="AA47" s="666"/>
      <c r="AB47" s="666"/>
    </row>
    <row r="48" spans="1:31" ht="15">
      <c r="K48" s="67"/>
      <c r="W48" s="160"/>
      <c r="Y48" s="666"/>
      <c r="Z48" s="666"/>
      <c r="AA48" s="666"/>
      <c r="AB48" s="666"/>
    </row>
    <row r="49" spans="11:28" ht="15">
      <c r="K49" s="67"/>
      <c r="Y49" s="666"/>
      <c r="Z49" s="666"/>
      <c r="AA49" s="666"/>
      <c r="AB49" s="666"/>
    </row>
    <row r="50" spans="11:28" ht="15">
      <c r="K50" s="67"/>
      <c r="Y50" s="668"/>
      <c r="Z50" s="668"/>
      <c r="AA50" s="668"/>
      <c r="AB50" s="668"/>
    </row>
    <row r="51" spans="11:28">
      <c r="K51" s="67"/>
    </row>
    <row r="52" spans="11:28">
      <c r="K52" s="67"/>
    </row>
    <row r="53" spans="11:28">
      <c r="K53" s="67"/>
    </row>
    <row r="54" spans="11:28">
      <c r="K54" s="67"/>
    </row>
    <row r="55" spans="11:28">
      <c r="K55" s="67"/>
    </row>
    <row r="56" spans="11:28">
      <c r="K56" s="67"/>
    </row>
    <row r="57" spans="11:28">
      <c r="K57" s="67"/>
    </row>
    <row r="58" spans="11:28">
      <c r="K58" s="67"/>
    </row>
    <row r="59" spans="11:28">
      <c r="K59" s="67"/>
    </row>
    <row r="60" spans="11:28">
      <c r="K60" s="67"/>
    </row>
    <row r="61" spans="11:28">
      <c r="K61" s="67"/>
    </row>
    <row r="62" spans="11:28" ht="11.25" customHeight="1">
      <c r="K62" s="67"/>
    </row>
    <row r="63" spans="11:28">
      <c r="K63" s="67"/>
    </row>
    <row r="64" spans="11:28">
      <c r="K64" s="67"/>
    </row>
    <row r="65" spans="1:19">
      <c r="K65" s="67"/>
    </row>
    <row r="66" spans="1:19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</row>
    <row r="67" spans="1:19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</row>
  </sheetData>
  <customSheetViews>
    <customSheetView guid="{A374FC54-96E3-45F0-9C12-8450400C12DF}" scale="150">
      <pane xSplit="1" ySplit="6" topLeftCell="U25" activePane="bottomRight" state="frozen"/>
      <selection pane="bottomRight" activeCell="AD31" sqref="AD31"/>
      <pageMargins left="0.62992125984252001" right="0.59055118110236204" top="0.511811023622047" bottom="0.511811023622047" header="0" footer="0.74803149606299202"/>
      <pageSetup paperSize="132" firstPageNumber="79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B40:E40"/>
    <mergeCell ref="B39:C39"/>
    <mergeCell ref="T44:Y44"/>
    <mergeCell ref="T43:AB43"/>
    <mergeCell ref="T2:Y2"/>
    <mergeCell ref="Z2:AB2"/>
    <mergeCell ref="U5:U6"/>
    <mergeCell ref="W5:W6"/>
    <mergeCell ref="AA5:AA6"/>
    <mergeCell ref="AB5:AB6"/>
    <mergeCell ref="X5:X6"/>
    <mergeCell ref="V5:V6"/>
    <mergeCell ref="T4:T6"/>
    <mergeCell ref="U4:X4"/>
    <mergeCell ref="AA3:AB3"/>
    <mergeCell ref="Y5:Y6"/>
    <mergeCell ref="A4:A6"/>
    <mergeCell ref="B4:G4"/>
    <mergeCell ref="B5:E5"/>
    <mergeCell ref="A2:E2"/>
    <mergeCell ref="A3:E3"/>
    <mergeCell ref="F2:G2"/>
    <mergeCell ref="F5:G5"/>
    <mergeCell ref="H4:H6"/>
    <mergeCell ref="K5:N5"/>
    <mergeCell ref="I4:R4"/>
    <mergeCell ref="F3:G3"/>
    <mergeCell ref="R3:S3"/>
    <mergeCell ref="S4:S6"/>
    <mergeCell ref="T42:AB42"/>
    <mergeCell ref="T41:AB41"/>
    <mergeCell ref="O5:R5"/>
    <mergeCell ref="I5:J5"/>
    <mergeCell ref="I2:N2"/>
    <mergeCell ref="M3:N3"/>
    <mergeCell ref="Z5:Z6"/>
    <mergeCell ref="T3:Z3"/>
    <mergeCell ref="R2:S2"/>
    <mergeCell ref="O2:Q2"/>
    <mergeCell ref="Y4:AB4"/>
  </mergeCells>
  <phoneticPr fontId="0" type="noConversion"/>
  <pageMargins left="0.62992125984252001" right="0.59055118110236204" top="0.511811023622047" bottom="0.511811023622047" header="0" footer="0.74803149606299202"/>
  <pageSetup paperSize="448" firstPageNumber="83" orientation="portrait" useFirstPageNumber="1" r:id="rId2"/>
  <headerFooter alignWithMargins="0">
    <oddFooter>&amp;C&amp;"Times New Roman,Regular"&amp;8&amp;P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H56"/>
  <sheetViews>
    <sheetView topLeftCell="A28" zoomScale="140" zoomScaleNormal="140" workbookViewId="0">
      <selection activeCell="C31" sqref="C31:C38"/>
    </sheetView>
  </sheetViews>
  <sheetFormatPr defaultColWidth="9.140625" defaultRowHeight="11.25"/>
  <cols>
    <col min="1" max="1" width="9.42578125" style="1786" customWidth="1"/>
    <col min="2" max="2" width="19.5703125" style="35" customWidth="1"/>
    <col min="3" max="3" width="20.7109375" style="35" customWidth="1"/>
    <col min="4" max="4" width="23.85546875" style="35" customWidth="1"/>
    <col min="5" max="5" width="10" style="35" customWidth="1"/>
    <col min="6" max="6" width="10" style="35" bestFit="1" customWidth="1"/>
    <col min="7" max="10" width="9.140625" style="35"/>
    <col min="11" max="11" width="11.28515625" style="35" customWidth="1"/>
    <col min="12" max="12" width="8.7109375" style="35" customWidth="1"/>
    <col min="13" max="15" width="9.140625" style="35"/>
    <col min="16" max="16" width="11.85546875" style="35" customWidth="1"/>
    <col min="17" max="16384" width="9.140625" style="35"/>
  </cols>
  <sheetData>
    <row r="1" spans="1:8" s="122" customFormat="1" ht="39" customHeight="1">
      <c r="A1" s="2486" t="s">
        <v>1314</v>
      </c>
      <c r="B1" s="2486"/>
      <c r="C1" s="2486"/>
      <c r="D1" s="123" t="s">
        <v>375</v>
      </c>
      <c r="E1" s="1785"/>
      <c r="F1" s="1785"/>
      <c r="G1" s="1785"/>
    </row>
    <row r="2" spans="1:8" s="124" customFormat="1" ht="12" customHeight="1">
      <c r="A2" s="2487" t="s">
        <v>487</v>
      </c>
      <c r="B2" s="2489" t="s">
        <v>60</v>
      </c>
      <c r="C2" s="2069" t="s">
        <v>61</v>
      </c>
      <c r="D2" s="2491"/>
    </row>
    <row r="3" spans="1:8" s="124" customFormat="1" ht="12.75" customHeight="1">
      <c r="A3" s="2488"/>
      <c r="B3" s="2490"/>
      <c r="C3" s="1783" t="s">
        <v>1148</v>
      </c>
      <c r="D3" s="1783" t="s">
        <v>1578</v>
      </c>
    </row>
    <row r="4" spans="1:8" ht="11.45" customHeight="1">
      <c r="A4" s="320" t="s">
        <v>81</v>
      </c>
      <c r="B4" s="324">
        <v>427180</v>
      </c>
      <c r="C4" s="298">
        <v>10987.4</v>
      </c>
      <c r="D4" s="300">
        <v>76010.833200000008</v>
      </c>
      <c r="E4" s="637"/>
      <c r="F4" s="637"/>
    </row>
    <row r="5" spans="1:8" s="209" customFormat="1" ht="11.45" customHeight="1">
      <c r="A5" s="348" t="s">
        <v>190</v>
      </c>
      <c r="B5" s="495">
        <v>439375</v>
      </c>
      <c r="C5" s="27">
        <v>11650.32</v>
      </c>
      <c r="D5" s="28">
        <v>83008.885067382464</v>
      </c>
      <c r="E5" s="638"/>
      <c r="F5" s="638"/>
    </row>
    <row r="6" spans="1:8" s="209" customFormat="1" ht="11.45" customHeight="1">
      <c r="A6" s="320" t="s">
        <v>731</v>
      </c>
      <c r="B6" s="324">
        <v>691402</v>
      </c>
      <c r="C6" s="298">
        <v>12843.429999999998</v>
      </c>
      <c r="D6" s="300">
        <v>101591.53129999999</v>
      </c>
      <c r="E6" s="638"/>
      <c r="F6" s="637"/>
    </row>
    <row r="7" spans="1:8" s="209" customFormat="1" ht="11.45" customHeight="1">
      <c r="A7" s="348" t="s">
        <v>840</v>
      </c>
      <c r="B7" s="495">
        <v>441301</v>
      </c>
      <c r="C7" s="27">
        <v>14461.15</v>
      </c>
      <c r="D7" s="28">
        <v>115646.15801927802</v>
      </c>
      <c r="E7" s="638"/>
      <c r="F7" s="638"/>
    </row>
    <row r="8" spans="1:8" s="209" customFormat="1" ht="11.45" customHeight="1">
      <c r="A8" s="320" t="s">
        <v>1019</v>
      </c>
      <c r="B8" s="301">
        <v>408870</v>
      </c>
      <c r="C8" s="300">
        <v>14228.3</v>
      </c>
      <c r="D8" s="300">
        <v>110582.38341698999</v>
      </c>
      <c r="E8" s="638"/>
      <c r="F8" s="637"/>
    </row>
    <row r="9" spans="1:8" s="209" customFormat="1" ht="11.45" customHeight="1">
      <c r="A9" s="348" t="s">
        <v>1070</v>
      </c>
      <c r="B9" s="722">
        <v>461829</v>
      </c>
      <c r="C9" s="722">
        <v>15316.91</v>
      </c>
      <c r="D9" s="723">
        <v>118982.31547276099</v>
      </c>
      <c r="E9" s="638"/>
      <c r="F9" s="638"/>
    </row>
    <row r="10" spans="1:8" s="209" customFormat="1" ht="11.45" customHeight="1">
      <c r="A10" s="585" t="s">
        <v>1193</v>
      </c>
      <c r="B10" s="586">
        <v>684537</v>
      </c>
      <c r="C10" s="787">
        <v>14931.18</v>
      </c>
      <c r="D10" s="787">
        <v>116856.72088078099</v>
      </c>
      <c r="E10" s="638"/>
      <c r="F10" s="637"/>
    </row>
    <row r="11" spans="1:8" s="209" customFormat="1" ht="11.45" customHeight="1">
      <c r="A11" s="544" t="s">
        <v>1236</v>
      </c>
      <c r="B11" s="904">
        <v>905326</v>
      </c>
      <c r="C11" s="905">
        <v>12769.45</v>
      </c>
      <c r="D11" s="905">
        <v>101098.96241416999</v>
      </c>
      <c r="E11" s="638"/>
      <c r="F11" s="638"/>
    </row>
    <row r="12" spans="1:8" s="209" customFormat="1" ht="11.45" customHeight="1">
      <c r="A12" s="585" t="s">
        <v>1350</v>
      </c>
      <c r="B12" s="586">
        <v>880037</v>
      </c>
      <c r="C12" s="787">
        <v>14981.689999999999</v>
      </c>
      <c r="D12" s="787">
        <v>123156.004940445</v>
      </c>
      <c r="E12" s="638"/>
      <c r="F12" s="638"/>
    </row>
    <row r="13" spans="1:8" s="209" customFormat="1" ht="11.45" customHeight="1">
      <c r="A13" s="544" t="s">
        <v>1466</v>
      </c>
      <c r="B13" s="904">
        <v>692978</v>
      </c>
      <c r="C13" s="905">
        <v>16419.63</v>
      </c>
      <c r="D13" s="905">
        <v>138006.57168470003</v>
      </c>
      <c r="E13" s="638"/>
      <c r="F13" s="638"/>
    </row>
    <row r="14" spans="1:8" s="209" customFormat="1" ht="11.45" customHeight="1">
      <c r="A14" s="585" t="s">
        <v>1550</v>
      </c>
      <c r="B14" s="586">
        <v>530578</v>
      </c>
      <c r="C14" s="787">
        <v>18205.010000000002</v>
      </c>
      <c r="D14" s="787">
        <v>154353.0611469</v>
      </c>
    </row>
    <row r="15" spans="1:8" s="209" customFormat="1" ht="11.45" customHeight="1">
      <c r="A15" s="544" t="s">
        <v>1606</v>
      </c>
      <c r="B15" s="904">
        <v>280258</v>
      </c>
      <c r="C15" s="256">
        <v>24777.71</v>
      </c>
      <c r="D15" s="256">
        <v>210130.60146709997</v>
      </c>
      <c r="E15" s="778"/>
      <c r="F15" s="638"/>
      <c r="G15" s="638"/>
      <c r="H15" s="638"/>
    </row>
    <row r="16" spans="1:8" s="209" customFormat="1" ht="11.45" customHeight="1">
      <c r="A16" s="621" t="s">
        <v>1927</v>
      </c>
      <c r="B16" s="627">
        <v>988910</v>
      </c>
      <c r="C16" s="338">
        <v>21031.68</v>
      </c>
      <c r="D16" s="338">
        <v>181580.54109750001</v>
      </c>
      <c r="E16" s="778"/>
      <c r="F16" s="638"/>
      <c r="G16" s="638"/>
      <c r="H16" s="638"/>
    </row>
    <row r="17" spans="1:8" s="209" customFormat="1" ht="11.45" customHeight="1">
      <c r="A17" s="570" t="s">
        <v>2183</v>
      </c>
      <c r="B17" s="1432">
        <f>SUM(B18:B29)</f>
        <v>1137931</v>
      </c>
      <c r="C17" s="345">
        <f>SUM(C18:C29)</f>
        <v>21610.730000000003</v>
      </c>
      <c r="D17" s="345">
        <f>SUM(D18:D29)</f>
        <v>215073.6115537</v>
      </c>
      <c r="E17" s="778"/>
      <c r="F17" s="638"/>
      <c r="G17" s="638"/>
      <c r="H17" s="638"/>
    </row>
    <row r="18" spans="1:8" s="209" customFormat="1" ht="11.45" customHeight="1">
      <c r="A18" s="562" t="s">
        <v>565</v>
      </c>
      <c r="B18" s="650">
        <v>75499</v>
      </c>
      <c r="C18" s="587">
        <v>2096.3200000000002</v>
      </c>
      <c r="D18" s="587">
        <v>19681.7824736</v>
      </c>
      <c r="E18" s="778"/>
      <c r="F18" s="638"/>
      <c r="G18" s="638"/>
      <c r="H18" s="638"/>
    </row>
    <row r="19" spans="1:8" s="209" customFormat="1" ht="11.45" customHeight="1">
      <c r="A19" s="559" t="s">
        <v>566</v>
      </c>
      <c r="B19" s="765">
        <v>92908</v>
      </c>
      <c r="C19" s="584">
        <v>2036.93</v>
      </c>
      <c r="D19" s="584">
        <v>19331.6063808</v>
      </c>
      <c r="E19" s="778"/>
      <c r="F19" s="638"/>
      <c r="G19" s="638"/>
      <c r="H19" s="638"/>
    </row>
    <row r="20" spans="1:8" s="209" customFormat="1" ht="11.45" customHeight="1">
      <c r="A20" s="562" t="s">
        <v>560</v>
      </c>
      <c r="B20" s="650">
        <v>90814</v>
      </c>
      <c r="C20" s="587">
        <v>1539.6</v>
      </c>
      <c r="D20" s="587">
        <v>14720.946983999998</v>
      </c>
      <c r="E20" s="778"/>
      <c r="F20" s="638"/>
      <c r="G20" s="638"/>
      <c r="H20" s="638"/>
    </row>
    <row r="21" spans="1:8" s="209" customFormat="1" ht="11.45" customHeight="1">
      <c r="A21" s="559" t="s">
        <v>567</v>
      </c>
      <c r="B21" s="765">
        <v>77371</v>
      </c>
      <c r="C21" s="584">
        <v>1525.54</v>
      </c>
      <c r="D21" s="584">
        <v>14739.065731600002</v>
      </c>
      <c r="E21" s="778"/>
      <c r="F21" s="638"/>
      <c r="G21" s="638"/>
      <c r="H21" s="638"/>
    </row>
    <row r="22" spans="1:8" s="209" customFormat="1" ht="11.45" customHeight="1">
      <c r="A22" s="562" t="s">
        <v>568</v>
      </c>
      <c r="B22" s="650">
        <v>85352</v>
      </c>
      <c r="C22" s="587">
        <v>1595.17</v>
      </c>
      <c r="D22" s="587">
        <v>15571.315761799997</v>
      </c>
      <c r="E22" s="778"/>
      <c r="F22" s="638"/>
      <c r="G22" s="638"/>
      <c r="H22" s="638"/>
    </row>
    <row r="23" spans="1:8" s="209" customFormat="1" ht="11.45" customHeight="1">
      <c r="A23" s="559" t="s">
        <v>561</v>
      </c>
      <c r="B23" s="765">
        <v>98411</v>
      </c>
      <c r="C23" s="584">
        <v>1699.7</v>
      </c>
      <c r="D23" s="584">
        <v>16800.888614</v>
      </c>
      <c r="E23" s="778"/>
      <c r="F23" s="638"/>
      <c r="G23" s="638"/>
      <c r="H23" s="638"/>
    </row>
    <row r="24" spans="1:8" s="209" customFormat="1" ht="11.45" customHeight="1">
      <c r="A24" s="562" t="s">
        <v>569</v>
      </c>
      <c r="B24" s="650">
        <v>104513</v>
      </c>
      <c r="C24" s="587">
        <v>1958.87</v>
      </c>
      <c r="D24" s="587">
        <v>19566.936954299996</v>
      </c>
      <c r="E24" s="1359"/>
      <c r="F24" s="638"/>
      <c r="G24" s="638"/>
      <c r="H24" s="638"/>
    </row>
    <row r="25" spans="1:8" s="209" customFormat="1" ht="11.45" customHeight="1">
      <c r="A25" s="1353" t="s">
        <v>570</v>
      </c>
      <c r="B25" s="765">
        <v>109059</v>
      </c>
      <c r="C25" s="584">
        <v>1560.48</v>
      </c>
      <c r="D25" s="584">
        <v>15754.340798399999</v>
      </c>
      <c r="E25" s="1359"/>
      <c r="F25" s="638"/>
      <c r="G25" s="638"/>
      <c r="H25" s="638"/>
    </row>
    <row r="26" spans="1:8" s="209" customFormat="1" ht="11.45" customHeight="1">
      <c r="A26" s="562" t="s">
        <v>562</v>
      </c>
      <c r="B26" s="650">
        <v>109438</v>
      </c>
      <c r="C26" s="587">
        <v>2022.47</v>
      </c>
      <c r="D26" s="587">
        <v>20621.710860999996</v>
      </c>
      <c r="E26" s="1359"/>
      <c r="F26" s="638"/>
      <c r="G26" s="638"/>
      <c r="H26" s="638"/>
    </row>
    <row r="27" spans="1:8" s="209" customFormat="1" ht="11.45" customHeight="1">
      <c r="A27" s="1353" t="s">
        <v>571</v>
      </c>
      <c r="B27" s="765">
        <v>78833</v>
      </c>
      <c r="C27" s="584">
        <v>1684.91</v>
      </c>
      <c r="D27" s="584">
        <v>17341.093720000001</v>
      </c>
      <c r="E27" s="1359"/>
      <c r="F27" s="638"/>
      <c r="G27" s="638"/>
      <c r="H27" s="638"/>
    </row>
    <row r="28" spans="1:8" s="209" customFormat="1" ht="11.45" customHeight="1">
      <c r="A28" s="562" t="s">
        <v>572</v>
      </c>
      <c r="B28" s="650">
        <v>101558</v>
      </c>
      <c r="C28" s="587">
        <v>1691.66</v>
      </c>
      <c r="D28" s="587">
        <v>17659.052657400003</v>
      </c>
      <c r="E28" s="1359"/>
      <c r="F28" s="638"/>
      <c r="G28" s="638"/>
      <c r="H28" s="638"/>
    </row>
    <row r="29" spans="1:8" s="209" customFormat="1" ht="11.45" customHeight="1">
      <c r="A29" s="559" t="s">
        <v>563</v>
      </c>
      <c r="B29" s="765">
        <v>114175</v>
      </c>
      <c r="C29" s="584">
        <v>2199.08</v>
      </c>
      <c r="D29" s="584">
        <v>23284.870616799995</v>
      </c>
      <c r="E29" s="1359"/>
      <c r="F29" s="638"/>
      <c r="G29" s="638"/>
      <c r="H29" s="638"/>
    </row>
    <row r="30" spans="1:8" s="209" customFormat="1" ht="11.45" customHeight="1">
      <c r="A30" s="621" t="s">
        <v>2345</v>
      </c>
      <c r="B30" s="1645">
        <f>SUM(B31:B42)</f>
        <v>1197128</v>
      </c>
      <c r="C30" s="1646">
        <f>SUM(C31:C42)</f>
        <v>23912.22</v>
      </c>
      <c r="D30" s="1646">
        <f>SUM(D31:D42)</f>
        <v>266162.18222732999</v>
      </c>
      <c r="E30" s="1359"/>
      <c r="F30" s="638"/>
      <c r="G30" s="638"/>
      <c r="H30" s="638"/>
    </row>
    <row r="31" spans="1:8" s="209" customFormat="1" ht="11.45" customHeight="1">
      <c r="A31" s="559" t="s">
        <v>565</v>
      </c>
      <c r="B31" s="765">
        <v>125850</v>
      </c>
      <c r="C31" s="584">
        <v>1973.15</v>
      </c>
      <c r="D31" s="584">
        <v>21459.426917999997</v>
      </c>
      <c r="E31" s="1359"/>
      <c r="F31" s="638"/>
      <c r="G31" s="638"/>
      <c r="H31" s="638"/>
    </row>
    <row r="32" spans="1:8" s="209" customFormat="1" ht="11.45" customHeight="1">
      <c r="A32" s="562" t="s">
        <v>566</v>
      </c>
      <c r="B32" s="650">
        <v>138675</v>
      </c>
      <c r="C32" s="587">
        <v>1599.45</v>
      </c>
      <c r="D32" s="587">
        <v>17507.225954000001</v>
      </c>
      <c r="E32" s="1359"/>
      <c r="F32" s="638"/>
      <c r="G32" s="638"/>
      <c r="H32" s="638"/>
    </row>
    <row r="33" spans="1:8" s="209" customFormat="1" ht="11.45" customHeight="1">
      <c r="A33" s="559" t="s">
        <v>560</v>
      </c>
      <c r="B33" s="765">
        <v>107584</v>
      </c>
      <c r="C33" s="584">
        <v>1334.35</v>
      </c>
      <c r="D33" s="584">
        <v>14673.846949999999</v>
      </c>
      <c r="E33" s="1359"/>
      <c r="F33" s="638"/>
      <c r="G33" s="638"/>
      <c r="H33" s="638"/>
    </row>
    <row r="34" spans="1:8" s="209" customFormat="1" ht="11.45" customHeight="1">
      <c r="A34" s="562" t="s">
        <v>567</v>
      </c>
      <c r="B34" s="650">
        <v>110158</v>
      </c>
      <c r="C34" s="587">
        <v>1971.43</v>
      </c>
      <c r="D34" s="587">
        <v>21782.448355800003</v>
      </c>
      <c r="E34" s="1359"/>
      <c r="F34" s="638"/>
      <c r="G34" s="638"/>
      <c r="H34" s="638"/>
    </row>
    <row r="35" spans="1:8" s="209" customFormat="1" ht="11.45" customHeight="1">
      <c r="A35" s="559" t="s">
        <v>568</v>
      </c>
      <c r="B35" s="765">
        <v>110413</v>
      </c>
      <c r="C35" s="584">
        <v>1930.04</v>
      </c>
      <c r="D35" s="584">
        <v>21400.437923199999</v>
      </c>
      <c r="E35" s="1359"/>
      <c r="F35" s="638"/>
      <c r="G35" s="638"/>
      <c r="H35" s="638"/>
    </row>
    <row r="36" spans="1:8" s="209" customFormat="1" ht="11.45" customHeight="1">
      <c r="A36" s="562" t="s">
        <v>561</v>
      </c>
      <c r="B36" s="650">
        <v>95197</v>
      </c>
      <c r="C36" s="587">
        <v>1991.26</v>
      </c>
      <c r="D36" s="587">
        <v>21934.485578800006</v>
      </c>
      <c r="E36" s="1359"/>
      <c r="F36" s="638"/>
      <c r="G36" s="638"/>
      <c r="H36" s="638"/>
    </row>
    <row r="37" spans="1:8" s="209" customFormat="1" ht="11.45" customHeight="1">
      <c r="A37" s="1353" t="s">
        <v>569</v>
      </c>
      <c r="B37" s="765">
        <v>87852</v>
      </c>
      <c r="C37" s="584">
        <v>2113.15</v>
      </c>
      <c r="D37" s="584">
        <v>23244.65</v>
      </c>
      <c r="E37" s="1359"/>
    </row>
    <row r="38" spans="1:8" s="209" customFormat="1" ht="11.45" customHeight="1">
      <c r="A38" s="1576" t="s">
        <v>570</v>
      </c>
      <c r="B38" s="650">
        <v>74306</v>
      </c>
      <c r="C38" s="587">
        <v>2164.56</v>
      </c>
      <c r="D38" s="587">
        <v>23810.160000000003</v>
      </c>
      <c r="E38" s="1359"/>
    </row>
    <row r="39" spans="1:8" s="209" customFormat="1" ht="11.45" customHeight="1">
      <c r="A39" s="1353" t="s">
        <v>562</v>
      </c>
      <c r="B39" s="765">
        <v>74679</v>
      </c>
      <c r="C39" s="584">
        <v>1997.07</v>
      </c>
      <c r="D39" s="584">
        <v>21967.77</v>
      </c>
      <c r="E39" s="1359"/>
    </row>
    <row r="40" spans="1:8" s="209" customFormat="1" ht="11.45" customHeight="1">
      <c r="A40" s="1576" t="s">
        <v>571</v>
      </c>
      <c r="B40" s="650">
        <v>85400</v>
      </c>
      <c r="C40" s="587">
        <v>2044.23</v>
      </c>
      <c r="D40" s="587">
        <v>22503.022357530004</v>
      </c>
      <c r="E40" s="1359"/>
    </row>
    <row r="41" spans="1:8" s="209" customFormat="1" ht="11.45" customHeight="1">
      <c r="A41" s="1353" t="s">
        <v>572</v>
      </c>
      <c r="B41" s="765">
        <v>131969</v>
      </c>
      <c r="C41" s="584">
        <v>2254.9299999999998</v>
      </c>
      <c r="D41" s="584">
        <v>25938.459790000001</v>
      </c>
      <c r="E41" s="1359"/>
      <c r="F41" s="638"/>
      <c r="G41" s="638"/>
      <c r="H41" s="638"/>
    </row>
    <row r="42" spans="1:8" s="209" customFormat="1" ht="11.45" customHeight="1">
      <c r="A42" s="1576" t="s">
        <v>563</v>
      </c>
      <c r="B42" s="650">
        <v>55045</v>
      </c>
      <c r="C42" s="587">
        <v>2538.6</v>
      </c>
      <c r="D42" s="587">
        <v>29940.248400000008</v>
      </c>
      <c r="E42" s="1359"/>
      <c r="F42" s="638"/>
      <c r="G42" s="638"/>
      <c r="H42" s="638"/>
    </row>
    <row r="43" spans="1:8" s="209" customFormat="1" ht="11.45" customHeight="1">
      <c r="A43" s="570" t="s">
        <v>2681</v>
      </c>
      <c r="B43" s="765"/>
      <c r="C43" s="584"/>
      <c r="D43" s="584"/>
      <c r="E43" s="1359"/>
      <c r="F43" s="638"/>
      <c r="G43" s="638"/>
      <c r="H43" s="638"/>
    </row>
    <row r="44" spans="1:8" s="209" customFormat="1" ht="11.45" customHeight="1">
      <c r="A44" s="1576" t="s">
        <v>565</v>
      </c>
      <c r="B44" s="650">
        <v>71441</v>
      </c>
      <c r="C44" s="587">
        <v>1913.58</v>
      </c>
      <c r="D44" s="587">
        <v>22566.848940000003</v>
      </c>
      <c r="E44" s="1359"/>
      <c r="F44" s="638"/>
      <c r="G44" s="638"/>
      <c r="H44" s="638"/>
    </row>
    <row r="45" spans="1:8" s="209" customFormat="1" ht="11.45" customHeight="1">
      <c r="A45" s="1353" t="s">
        <v>566</v>
      </c>
      <c r="B45" s="765">
        <v>53462</v>
      </c>
      <c r="C45" s="584">
        <v>2224.15</v>
      </c>
      <c r="D45" s="584">
        <v>26407.332950000011</v>
      </c>
      <c r="E45" s="1359"/>
      <c r="F45" s="638"/>
      <c r="G45" s="638"/>
      <c r="H45" s="638"/>
    </row>
    <row r="46" spans="1:8" s="209" customFormat="1" ht="11.45" customHeight="1">
      <c r="A46" s="1576" t="s">
        <v>560</v>
      </c>
      <c r="B46" s="650">
        <v>64677</v>
      </c>
      <c r="C46" s="587">
        <v>2404.79</v>
      </c>
      <c r="D46" s="587">
        <v>28857.480000000003</v>
      </c>
      <c r="E46" s="1359"/>
      <c r="F46" s="638"/>
      <c r="G46" s="638"/>
      <c r="H46" s="638"/>
    </row>
    <row r="47" spans="1:8" s="209" customFormat="1" ht="11.45" customHeight="1">
      <c r="A47" s="1353" t="s">
        <v>567</v>
      </c>
      <c r="B47" s="765">
        <v>104858</v>
      </c>
      <c r="C47" s="584">
        <v>2395.08</v>
      </c>
      <c r="D47" s="584">
        <v>28740.504934800007</v>
      </c>
      <c r="E47" s="1359"/>
      <c r="F47" s="638"/>
      <c r="G47" s="638"/>
      <c r="H47" s="638"/>
    </row>
    <row r="48" spans="1:8" s="209" customFormat="1" ht="11.45" customHeight="1">
      <c r="A48" s="1576" t="s">
        <v>568</v>
      </c>
      <c r="B48" s="650">
        <v>102987</v>
      </c>
      <c r="C48" s="587">
        <v>2199.9899999999998</v>
      </c>
      <c r="D48" s="587">
        <v>26399.879999999997</v>
      </c>
      <c r="E48" s="1359"/>
      <c r="F48" s="638"/>
      <c r="G48" s="638"/>
      <c r="H48" s="638"/>
    </row>
    <row r="49" spans="1:8" s="209" customFormat="1" ht="11.45" customHeight="1">
      <c r="A49" s="1353" t="s">
        <v>561</v>
      </c>
      <c r="B49" s="765">
        <v>105293</v>
      </c>
      <c r="C49" s="584">
        <v>2638.77</v>
      </c>
      <c r="D49" s="584">
        <v>31665.239999999998</v>
      </c>
      <c r="E49" s="1359"/>
      <c r="F49" s="638"/>
      <c r="G49" s="638"/>
      <c r="H49" s="638"/>
    </row>
    <row r="50" spans="1:8" s="209" customFormat="1" ht="11.45" customHeight="1">
      <c r="A50" s="1576" t="s">
        <v>569</v>
      </c>
      <c r="B50" s="650">
        <v>97867</v>
      </c>
      <c r="C50" s="587">
        <v>2185.23</v>
      </c>
      <c r="D50" s="587">
        <v>26222.76</v>
      </c>
      <c r="E50" s="1359"/>
      <c r="F50" s="638"/>
      <c r="G50" s="638"/>
      <c r="H50" s="638"/>
    </row>
    <row r="51" spans="1:8" s="209" customFormat="1" ht="11.45" customHeight="1" thickBot="1">
      <c r="A51" s="1789" t="s">
        <v>570</v>
      </c>
      <c r="B51" s="1790">
        <v>62436</v>
      </c>
      <c r="C51" s="1791">
        <v>2527.65</v>
      </c>
      <c r="D51" s="1791">
        <v>30837.33</v>
      </c>
      <c r="E51" s="1359"/>
      <c r="F51" s="638"/>
      <c r="G51" s="638"/>
      <c r="H51" s="638"/>
    </row>
    <row r="52" spans="1:8" ht="9.9499999999999993" customHeight="1">
      <c r="A52" s="198" t="s">
        <v>1007</v>
      </c>
      <c r="B52" s="2209" t="s">
        <v>1337</v>
      </c>
      <c r="C52" s="2209"/>
      <c r="D52" s="200"/>
      <c r="E52" s="1786"/>
      <c r="F52" s="638"/>
      <c r="G52" s="638"/>
      <c r="H52" s="638"/>
    </row>
    <row r="53" spans="1:8" ht="9.9499999999999993" customHeight="1">
      <c r="A53" s="198" t="s">
        <v>2543</v>
      </c>
      <c r="B53" s="2209" t="s">
        <v>1307</v>
      </c>
      <c r="C53" s="2209"/>
      <c r="D53" s="247"/>
      <c r="G53" s="638"/>
    </row>
    <row r="54" spans="1:8" ht="9.9499999999999993" customHeight="1">
      <c r="A54" s="642"/>
      <c r="B54" s="696" t="s">
        <v>1323</v>
      </c>
      <c r="C54" s="696"/>
      <c r="D54" s="696"/>
      <c r="G54" s="638"/>
    </row>
    <row r="55" spans="1:8" ht="9.9499999999999993" customHeight="1">
      <c r="A55" s="60"/>
      <c r="B55" s="1784"/>
    </row>
    <row r="56" spans="1:8">
      <c r="A56" s="60"/>
      <c r="B56" s="69"/>
      <c r="F56" s="637"/>
      <c r="G56" s="637"/>
      <c r="H56" s="637"/>
    </row>
  </sheetData>
  <customSheetViews>
    <customSheetView guid="{A374FC54-96E3-45F0-9C12-8450400C12DF}" scale="130">
      <pane xSplit="1" ySplit="3" topLeftCell="B39" activePane="bottomRight" state="frozen"/>
      <selection pane="bottomRight" activeCell="B54" sqref="B54"/>
      <pageMargins left="0.51" right="0.52900000000000003" top="0.511811023622047" bottom="0.511811023622047" header="0" footer="0.35433070866141703"/>
      <printOptions horizontalCentered="1"/>
      <pageSetup paperSize="132" firstPageNumber="83" orientation="portrait" useFirstPageNumber="1" r:id="rId1"/>
      <headerFooter alignWithMargins="0">
        <oddFooter>&amp;C&amp;"Times New Roman,Regular"&amp;8&amp;P</oddFooter>
      </headerFooter>
    </customSheetView>
  </customSheetViews>
  <mergeCells count="6">
    <mergeCell ref="B53:C53"/>
    <mergeCell ref="B52:C52"/>
    <mergeCell ref="A1:C1"/>
    <mergeCell ref="A2:A3"/>
    <mergeCell ref="B2:B3"/>
    <mergeCell ref="C2:D2"/>
  </mergeCells>
  <phoneticPr fontId="0" type="noConversion"/>
  <printOptions horizontalCentered="1"/>
  <pageMargins left="0.51" right="0.52900000000000003" top="0.511811023622047" bottom="0.511811023622047" header="0" footer="0.35433070866141703"/>
  <pageSetup paperSize="448" firstPageNumber="87" orientation="portrait" useFirstPageNumber="1" r:id="rId2"/>
  <headerFooter alignWithMargins="0">
    <oddFooter>&amp;C&amp;"Times New Roman,Regular"&amp;8&amp;P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Y367"/>
  <sheetViews>
    <sheetView zoomScale="150" zoomScaleNormal="150" workbookViewId="0">
      <pane xSplit="1" ySplit="3" topLeftCell="B40" activePane="bottomRight" state="frozen"/>
      <selection activeCell="W54" sqref="W54"/>
      <selection pane="topRight" activeCell="W54" sqref="W54"/>
      <selection pane="bottomLeft" activeCell="W54" sqref="W54"/>
      <selection pane="bottomRight" activeCell="U44" sqref="U44:U51"/>
    </sheetView>
  </sheetViews>
  <sheetFormatPr defaultColWidth="9.140625" defaultRowHeight="11.25"/>
  <cols>
    <col min="1" max="1" width="8.5703125" style="8" customWidth="1"/>
    <col min="2" max="11" width="7.5703125" style="8" customWidth="1"/>
    <col min="12" max="12" width="6.85546875" style="8" customWidth="1"/>
    <col min="13" max="13" width="6" style="8" customWidth="1"/>
    <col min="14" max="14" width="6.7109375" style="8" customWidth="1"/>
    <col min="15" max="16" width="7.5703125" style="8" customWidth="1"/>
    <col min="17" max="17" width="7.140625" style="8" customWidth="1"/>
    <col min="18" max="18" width="7.5703125" style="8" customWidth="1"/>
    <col min="19" max="19" width="6.85546875" style="8" customWidth="1"/>
    <col min="20" max="20" width="7.5703125" style="8" customWidth="1"/>
    <col min="21" max="21" width="7.85546875" style="8" customWidth="1"/>
    <col min="22" max="22" width="13.42578125" style="8" bestFit="1" customWidth="1"/>
    <col min="23" max="23" width="9.28515625" style="8" bestFit="1" customWidth="1"/>
    <col min="24" max="24" width="10" style="8" bestFit="1" customWidth="1"/>
    <col min="25" max="16384" width="9.140625" style="8"/>
  </cols>
  <sheetData>
    <row r="1" spans="1:25" s="23" customFormat="1" ht="14.25" customHeight="1">
      <c r="A1" s="2238" t="s">
        <v>378</v>
      </c>
      <c r="B1" s="2238"/>
      <c r="C1" s="2238"/>
      <c r="D1" s="2238"/>
      <c r="E1" s="2238"/>
      <c r="F1" s="2238"/>
      <c r="G1" s="2238"/>
      <c r="H1" s="2238"/>
      <c r="I1" s="2238"/>
      <c r="J1" s="2238"/>
      <c r="K1" s="195" t="s">
        <v>325</v>
      </c>
      <c r="L1" s="57"/>
      <c r="M1" s="57"/>
      <c r="N1" s="57"/>
      <c r="O1" s="51"/>
      <c r="P1" s="51"/>
      <c r="Q1" s="51"/>
      <c r="R1" s="51"/>
      <c r="S1" s="51"/>
      <c r="T1" s="2238" t="s">
        <v>1113</v>
      </c>
      <c r="U1" s="2238"/>
    </row>
    <row r="2" spans="1:25" s="39" customFormat="1" ht="12" customHeight="1"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2470" t="s">
        <v>24</v>
      </c>
      <c r="U2" s="2470"/>
    </row>
    <row r="3" spans="1:25" s="177" customFormat="1" ht="50.25" customHeight="1">
      <c r="A3" s="953" t="s">
        <v>487</v>
      </c>
      <c r="B3" s="951" t="s">
        <v>62</v>
      </c>
      <c r="C3" s="951" t="s">
        <v>1368</v>
      </c>
      <c r="D3" s="951" t="s">
        <v>1369</v>
      </c>
      <c r="E3" s="951" t="s">
        <v>63</v>
      </c>
      <c r="F3" s="951" t="s">
        <v>1370</v>
      </c>
      <c r="G3" s="951" t="s">
        <v>64</v>
      </c>
      <c r="H3" s="951" t="s">
        <v>65</v>
      </c>
      <c r="I3" s="951" t="s">
        <v>66</v>
      </c>
      <c r="J3" s="951" t="s">
        <v>67</v>
      </c>
      <c r="K3" s="951" t="s">
        <v>68</v>
      </c>
      <c r="L3" s="951" t="s">
        <v>69</v>
      </c>
      <c r="M3" s="951" t="s">
        <v>70</v>
      </c>
      <c r="N3" s="951" t="s">
        <v>71</v>
      </c>
      <c r="O3" s="951" t="s">
        <v>519</v>
      </c>
      <c r="P3" s="947" t="s">
        <v>541</v>
      </c>
      <c r="Q3" s="947" t="s">
        <v>728</v>
      </c>
      <c r="R3" s="947" t="s">
        <v>732</v>
      </c>
      <c r="S3" s="947" t="s">
        <v>1539</v>
      </c>
      <c r="T3" s="951" t="s">
        <v>72</v>
      </c>
      <c r="U3" s="951" t="s">
        <v>483</v>
      </c>
    </row>
    <row r="4" spans="1:25" s="9" customFormat="1" ht="11.85" customHeight="1">
      <c r="A4" s="561" t="s">
        <v>81</v>
      </c>
      <c r="B4" s="542">
        <v>23709.401759999997</v>
      </c>
      <c r="C4" s="542">
        <v>13077.514040000002</v>
      </c>
      <c r="D4" s="542">
        <v>5723.8957499999997</v>
      </c>
      <c r="E4" s="542">
        <v>7050.7496800000008</v>
      </c>
      <c r="F4" s="542">
        <v>10044.25626</v>
      </c>
      <c r="G4" s="542">
        <v>10.44585</v>
      </c>
      <c r="H4" s="542">
        <v>2496.5547799999999</v>
      </c>
      <c r="I4" s="542">
        <v>2414.7833399999995</v>
      </c>
      <c r="J4" s="542">
        <v>1338.3879299999999</v>
      </c>
      <c r="K4" s="542">
        <v>114.11791000000001</v>
      </c>
      <c r="L4" s="542">
        <v>1177.0468499999997</v>
      </c>
      <c r="M4" s="542">
        <v>31.072650000000003</v>
      </c>
      <c r="N4" s="542">
        <v>101.95625</v>
      </c>
      <c r="O4" s="542">
        <v>4061.917840000001</v>
      </c>
      <c r="P4" s="542">
        <v>58.456209999999999</v>
      </c>
      <c r="Q4" s="542">
        <v>1259.92806</v>
      </c>
      <c r="R4" s="542">
        <v>143.63157000000001</v>
      </c>
      <c r="S4" s="542">
        <v>57.544499999999999</v>
      </c>
      <c r="T4" s="542">
        <v>3139.1719699999944</v>
      </c>
      <c r="U4" s="542">
        <f t="shared" ref="U4:U7" si="0">SUM(B4:T4)</f>
        <v>76010.833200000008</v>
      </c>
      <c r="V4" s="85"/>
      <c r="W4" s="85"/>
      <c r="X4" s="85"/>
      <c r="Y4" s="160"/>
    </row>
    <row r="5" spans="1:25" s="162" customFormat="1" ht="11.85" customHeight="1">
      <c r="A5" s="594" t="s">
        <v>190</v>
      </c>
      <c r="B5" s="541">
        <v>23447.611522103758</v>
      </c>
      <c r="C5" s="541">
        <v>14274.536554243999</v>
      </c>
      <c r="D5" s="541">
        <v>6329.345799345223</v>
      </c>
      <c r="E5" s="541">
        <v>7668.545797496</v>
      </c>
      <c r="F5" s="541">
        <v>13162.814794050668</v>
      </c>
      <c r="G5" s="541">
        <v>42.006690047596507</v>
      </c>
      <c r="H5" s="541">
        <v>2273.663133048</v>
      </c>
      <c r="I5" s="541">
        <v>2378.4981804742797</v>
      </c>
      <c r="J5" s="541">
        <v>1443.4474231873241</v>
      </c>
      <c r="K5" s="541">
        <v>184.06482744244911</v>
      </c>
      <c r="L5" s="541">
        <v>1326.4480618323998</v>
      </c>
      <c r="M5" s="541">
        <v>16.463787679999999</v>
      </c>
      <c r="N5" s="541">
        <v>108.62308996920061</v>
      </c>
      <c r="O5" s="541">
        <v>5011.1663160175985</v>
      </c>
      <c r="P5" s="541">
        <v>93.970096692639999</v>
      </c>
      <c r="Q5" s="541">
        <v>1538.1769608763173</v>
      </c>
      <c r="R5" s="541">
        <v>170.3696918419937</v>
      </c>
      <c r="S5" s="541">
        <v>79.384371033026895</v>
      </c>
      <c r="T5" s="541">
        <v>3459.7479699999994</v>
      </c>
      <c r="U5" s="649">
        <f t="shared" si="0"/>
        <v>83008.885067382464</v>
      </c>
      <c r="V5" s="490"/>
      <c r="W5" s="490"/>
      <c r="X5" s="490"/>
    </row>
    <row r="6" spans="1:25" s="9" customFormat="1" ht="11.85" customHeight="1">
      <c r="A6" s="561" t="s">
        <v>731</v>
      </c>
      <c r="B6" s="542">
        <v>29163.283242118639</v>
      </c>
      <c r="C6" s="542">
        <v>19038.108899337632</v>
      </c>
      <c r="D6" s="542">
        <v>7809.7835324582902</v>
      </c>
      <c r="E6" s="542">
        <v>9385.6420626336549</v>
      </c>
      <c r="F6" s="542">
        <v>11828.910059940725</v>
      </c>
      <c r="G6" s="542">
        <v>102.87052779546001</v>
      </c>
      <c r="H6" s="542">
        <v>2651.53684450951</v>
      </c>
      <c r="I6" s="542">
        <v>3174.0609841537071</v>
      </c>
      <c r="J6" s="542">
        <v>2481.4516458887801</v>
      </c>
      <c r="K6" s="542">
        <v>275.82418570616346</v>
      </c>
      <c r="L6" s="542">
        <v>2371.4713983471402</v>
      </c>
      <c r="M6" s="542">
        <v>8.9624438679999994</v>
      </c>
      <c r="N6" s="542">
        <v>173.68251222769157</v>
      </c>
      <c r="O6" s="542">
        <v>6712.3823075712635</v>
      </c>
      <c r="P6" s="542">
        <v>422.0270226909729</v>
      </c>
      <c r="Q6" s="542">
        <v>1914.8794293305637</v>
      </c>
      <c r="R6" s="542">
        <v>239.72250396515088</v>
      </c>
      <c r="S6" s="542">
        <v>178.82062360774498</v>
      </c>
      <c r="T6" s="542">
        <v>3658.1110738488965</v>
      </c>
      <c r="U6" s="542">
        <f t="shared" si="0"/>
        <v>101591.53129999999</v>
      </c>
      <c r="V6" s="85"/>
      <c r="W6" s="85"/>
      <c r="X6" s="85"/>
      <c r="Y6" s="160"/>
    </row>
    <row r="7" spans="1:25" s="162" customFormat="1" ht="11.85" customHeight="1">
      <c r="A7" s="594" t="s">
        <v>840</v>
      </c>
      <c r="B7" s="541">
        <v>30645.329417797999</v>
      </c>
      <c r="C7" s="541">
        <v>22629.954310562003</v>
      </c>
      <c r="D7" s="541">
        <v>7944.261095199</v>
      </c>
      <c r="E7" s="541">
        <v>9487.7621551789998</v>
      </c>
      <c r="F7" s="541">
        <v>14854.690027008</v>
      </c>
      <c r="G7" s="541">
        <v>459.92579137900003</v>
      </c>
      <c r="H7" s="541">
        <v>2297.8989676470005</v>
      </c>
      <c r="I7" s="541">
        <v>4875.3607362970006</v>
      </c>
      <c r="J7" s="541">
        <v>3983.3948069319999</v>
      </c>
      <c r="K7" s="541">
        <v>206.712431503</v>
      </c>
      <c r="L7" s="541">
        <v>2890.2409015500002</v>
      </c>
      <c r="M7" s="541">
        <v>21.251621922999998</v>
      </c>
      <c r="N7" s="541">
        <v>169.73017864899998</v>
      </c>
      <c r="O7" s="541">
        <v>7967.163443454001</v>
      </c>
      <c r="P7" s="541">
        <v>488.01441817900002</v>
      </c>
      <c r="Q7" s="541">
        <v>1866.267097298</v>
      </c>
      <c r="R7" s="541">
        <v>494.83839057</v>
      </c>
      <c r="S7" s="541">
        <v>156.27197931100002</v>
      </c>
      <c r="T7" s="541">
        <v>4207.0907388400001</v>
      </c>
      <c r="U7" s="649">
        <f t="shared" si="0"/>
        <v>115646.158509278</v>
      </c>
      <c r="V7" s="490"/>
      <c r="W7" s="490"/>
      <c r="X7" s="490"/>
    </row>
    <row r="8" spans="1:25" s="27" customFormat="1" ht="11.85" customHeight="1">
      <c r="A8" s="562" t="s">
        <v>1019</v>
      </c>
      <c r="B8" s="542">
        <v>24240.140711880998</v>
      </c>
      <c r="C8" s="542">
        <v>20866.964531202</v>
      </c>
      <c r="D8" s="542">
        <v>7004.6693670379991</v>
      </c>
      <c r="E8" s="542">
        <v>8602.8400845840006</v>
      </c>
      <c r="F8" s="542">
        <v>18056.862406150001</v>
      </c>
      <c r="G8" s="542">
        <v>559.41628836799998</v>
      </c>
      <c r="H8" s="542">
        <v>2001.5196785359999</v>
      </c>
      <c r="I8" s="542">
        <v>5448.4327879120001</v>
      </c>
      <c r="J8" s="542">
        <v>3335.1378381119998</v>
      </c>
      <c r="K8" s="542">
        <v>209.31088224700002</v>
      </c>
      <c r="L8" s="542">
        <v>3570.1673695179998</v>
      </c>
      <c r="M8" s="542">
        <v>3.0288693630000005</v>
      </c>
      <c r="N8" s="542">
        <v>132.67317405499998</v>
      </c>
      <c r="O8" s="542">
        <v>8274.3293595220002</v>
      </c>
      <c r="P8" s="542">
        <v>422.62113959999994</v>
      </c>
      <c r="Q8" s="542">
        <v>2095.1929835080005</v>
      </c>
      <c r="R8" s="542">
        <v>455.27028396500003</v>
      </c>
      <c r="S8" s="542">
        <v>137.56719587499998</v>
      </c>
      <c r="T8" s="542">
        <v>5166.238465553999</v>
      </c>
      <c r="U8" s="542">
        <v>110582.38341698998</v>
      </c>
      <c r="V8" s="490"/>
      <c r="W8" s="85"/>
      <c r="X8" s="85"/>
    </row>
    <row r="9" spans="1:25" s="27" customFormat="1" ht="11.85" customHeight="1">
      <c r="A9" s="559" t="s">
        <v>1070</v>
      </c>
      <c r="B9" s="541">
        <v>25987.258654580997</v>
      </c>
      <c r="C9" s="541">
        <v>21934.982243472998</v>
      </c>
      <c r="D9" s="541">
        <v>6309.8007089949997</v>
      </c>
      <c r="E9" s="541">
        <v>8371.9666337629988</v>
      </c>
      <c r="F9" s="541">
        <v>18489.105624444001</v>
      </c>
      <c r="G9" s="541">
        <v>355.14259886400004</v>
      </c>
      <c r="H9" s="541">
        <v>2409.4986989259996</v>
      </c>
      <c r="I9" s="541">
        <v>7109.6637192180006</v>
      </c>
      <c r="J9" s="541">
        <v>3444.4421886290006</v>
      </c>
      <c r="K9" s="541">
        <v>164.36111672899997</v>
      </c>
      <c r="L9" s="541">
        <v>4306.5368910809993</v>
      </c>
      <c r="M9" s="541">
        <v>1.0878520650000001</v>
      </c>
      <c r="N9" s="541">
        <v>126.68805762700001</v>
      </c>
      <c r="O9" s="541">
        <v>10732.610499937999</v>
      </c>
      <c r="P9" s="541">
        <v>480.40710343800004</v>
      </c>
      <c r="Q9" s="541">
        <v>2020.3891492669998</v>
      </c>
      <c r="R9" s="541">
        <v>469.14853845199997</v>
      </c>
      <c r="S9" s="541">
        <v>152.87326095199998</v>
      </c>
      <c r="T9" s="541">
        <v>6116.3519323189985</v>
      </c>
      <c r="U9" s="541">
        <v>118982.31547276098</v>
      </c>
      <c r="V9" s="490"/>
      <c r="W9" s="490"/>
      <c r="X9" s="490"/>
    </row>
    <row r="10" spans="1:25" s="27" customFormat="1" ht="11.85" customHeight="1">
      <c r="A10" s="562" t="s">
        <v>1193</v>
      </c>
      <c r="B10" s="542">
        <v>23165.843384732998</v>
      </c>
      <c r="C10" s="542">
        <v>21248.75908046</v>
      </c>
      <c r="D10" s="542">
        <v>6747.2028958150004</v>
      </c>
      <c r="E10" s="542">
        <v>8122.9117313530023</v>
      </c>
      <c r="F10" s="542">
        <v>18889.249921554001</v>
      </c>
      <c r="G10" s="542">
        <v>95.893180836999989</v>
      </c>
      <c r="H10" s="542">
        <v>3379.2433817339997</v>
      </c>
      <c r="I10" s="542">
        <v>7132.6719513709986</v>
      </c>
      <c r="J10" s="542">
        <v>3046.1566874470004</v>
      </c>
      <c r="K10" s="542">
        <v>204.66359045500002</v>
      </c>
      <c r="L10" s="542">
        <v>3806.9407668829999</v>
      </c>
      <c r="M10" s="542">
        <v>1.4088847410000001</v>
      </c>
      <c r="N10" s="542">
        <v>178.34404229900002</v>
      </c>
      <c r="O10" s="542">
        <v>10364.006886042</v>
      </c>
      <c r="P10" s="542">
        <v>540.57418486999995</v>
      </c>
      <c r="Q10" s="542">
        <v>2736.7067065770002</v>
      </c>
      <c r="R10" s="542">
        <v>506.556349066</v>
      </c>
      <c r="S10" s="542">
        <v>211.20321155199997</v>
      </c>
      <c r="T10" s="542">
        <v>6478.3840429919992</v>
      </c>
      <c r="U10" s="542">
        <v>116856.72088078098</v>
      </c>
      <c r="V10" s="85"/>
      <c r="W10" s="85"/>
      <c r="X10" s="85"/>
    </row>
    <row r="11" spans="1:25" s="27" customFormat="1" ht="11.85" customHeight="1">
      <c r="A11" s="559" t="s">
        <v>1225</v>
      </c>
      <c r="B11" s="541">
        <v>17943.426236539002</v>
      </c>
      <c r="C11" s="541">
        <v>16573.528397069</v>
      </c>
      <c r="D11" s="541">
        <v>6405.7376632189998</v>
      </c>
      <c r="E11" s="541">
        <v>8180.2432115789998</v>
      </c>
      <c r="F11" s="541">
        <v>13373.095621944</v>
      </c>
      <c r="G11" s="541">
        <v>17.628407153000001</v>
      </c>
      <c r="H11" s="541">
        <v>4562.3081073049998</v>
      </c>
      <c r="I11" s="541">
        <v>7107.4456062180016</v>
      </c>
      <c r="J11" s="541">
        <v>2380.5595638059999</v>
      </c>
      <c r="K11" s="541">
        <v>251.78556692700002</v>
      </c>
      <c r="L11" s="541">
        <v>3465.3919270970009</v>
      </c>
      <c r="M11" s="541">
        <v>0.15725730799999998</v>
      </c>
      <c r="N11" s="541">
        <v>181.68376342400001</v>
      </c>
      <c r="O11" s="541">
        <v>8729.7625331060008</v>
      </c>
      <c r="P11" s="541">
        <v>411.69327297199999</v>
      </c>
      <c r="Q11" s="541">
        <v>4047.0763187749994</v>
      </c>
      <c r="R11" s="541">
        <v>638.67820879400006</v>
      </c>
      <c r="S11" s="541">
        <v>150.208864742</v>
      </c>
      <c r="T11" s="541">
        <v>6678.5518861929977</v>
      </c>
      <c r="U11" s="541">
        <v>101098.96241417</v>
      </c>
      <c r="V11" s="490"/>
      <c r="W11" s="490"/>
      <c r="X11" s="490"/>
    </row>
    <row r="12" spans="1:25" s="27" customFormat="1" ht="11.85" customHeight="1">
      <c r="A12" s="562" t="s">
        <v>1350</v>
      </c>
      <c r="B12" s="542">
        <v>21303.057974675001</v>
      </c>
      <c r="C12" s="542">
        <v>19981.775415710003</v>
      </c>
      <c r="D12" s="542">
        <v>9090.1559443150018</v>
      </c>
      <c r="E12" s="542">
        <v>9868.4859093200012</v>
      </c>
      <c r="F12" s="542">
        <v>16410.639824310001</v>
      </c>
      <c r="G12" s="542">
        <v>19.443675874999997</v>
      </c>
      <c r="H12" s="542">
        <v>6950.4103529849999</v>
      </c>
      <c r="I12" s="542">
        <v>7874.3254532150004</v>
      </c>
      <c r="J12" s="542">
        <v>2715.2346651450002</v>
      </c>
      <c r="K12" s="542">
        <v>330.55203132999998</v>
      </c>
      <c r="L12" s="542">
        <v>4451.4895316450002</v>
      </c>
      <c r="M12" s="542">
        <v>0.3327156</v>
      </c>
      <c r="N12" s="542">
        <v>258.69044694500002</v>
      </c>
      <c r="O12" s="542">
        <v>9103.3843674349991</v>
      </c>
      <c r="P12" s="542">
        <v>464.68689706499993</v>
      </c>
      <c r="Q12" s="542">
        <v>5434.0171208399997</v>
      </c>
      <c r="R12" s="542">
        <v>791.06830617999992</v>
      </c>
      <c r="S12" s="542">
        <v>174.71432794999998</v>
      </c>
      <c r="T12" s="542">
        <v>7933.5399799049983</v>
      </c>
      <c r="U12" s="542">
        <v>123156.00494044498</v>
      </c>
      <c r="V12" s="490"/>
      <c r="W12" s="490"/>
      <c r="X12" s="490"/>
    </row>
    <row r="13" spans="1:25" s="27" customFormat="1" ht="11.85" customHeight="1">
      <c r="A13" s="559" t="s">
        <v>1466</v>
      </c>
      <c r="B13" s="541">
        <v>26143.3635736</v>
      </c>
      <c r="C13" s="541">
        <v>21351.112195200003</v>
      </c>
      <c r="D13" s="541">
        <v>9882.1187704000004</v>
      </c>
      <c r="E13" s="541">
        <v>12301.017555900002</v>
      </c>
      <c r="F13" s="541">
        <v>15488.6576974</v>
      </c>
      <c r="G13" s="541">
        <v>65.783767699999999</v>
      </c>
      <c r="H13" s="541">
        <v>8605.6801902999996</v>
      </c>
      <c r="I13" s="541">
        <v>8960.9986872000009</v>
      </c>
      <c r="J13" s="541">
        <v>3096.0592743000002</v>
      </c>
      <c r="K13" s="541">
        <v>509.60950109999999</v>
      </c>
      <c r="L13" s="541">
        <v>3950.0114481000001</v>
      </c>
      <c r="M13" s="541">
        <v>0</v>
      </c>
      <c r="N13" s="541">
        <v>416.43734380000012</v>
      </c>
      <c r="O13" s="541">
        <v>10065.4388858</v>
      </c>
      <c r="P13" s="541">
        <v>480.4309207</v>
      </c>
      <c r="Q13" s="541">
        <v>6368.1924249999993</v>
      </c>
      <c r="R13" s="541">
        <v>945.79052019999995</v>
      </c>
      <c r="S13" s="541">
        <v>168.7680048</v>
      </c>
      <c r="T13" s="541">
        <v>9207.1009232000051</v>
      </c>
      <c r="U13" s="541">
        <v>138006.57168470003</v>
      </c>
      <c r="V13" s="490"/>
      <c r="W13" s="490"/>
      <c r="X13" s="490"/>
    </row>
    <row r="14" spans="1:25" s="784" customFormat="1" ht="11.85" customHeight="1">
      <c r="A14" s="562" t="s">
        <v>1550</v>
      </c>
      <c r="B14" s="542">
        <v>34046.098481299996</v>
      </c>
      <c r="C14" s="542">
        <v>20962.529843</v>
      </c>
      <c r="D14" s="542">
        <v>11571.721058799998</v>
      </c>
      <c r="E14" s="542">
        <v>11633.0822479</v>
      </c>
      <c r="F14" s="542">
        <v>20382.712716000005</v>
      </c>
      <c r="G14" s="542">
        <v>34.065723600000005</v>
      </c>
      <c r="H14" s="542">
        <v>8643.3577769000003</v>
      </c>
      <c r="I14" s="542">
        <v>10517.8744919</v>
      </c>
      <c r="J14" s="542">
        <v>3878.3621465999995</v>
      </c>
      <c r="K14" s="542">
        <v>447.22381150000001</v>
      </c>
      <c r="L14" s="542">
        <v>3706.6695920999996</v>
      </c>
      <c r="M14" s="542">
        <v>8.4499999999999992E-2</v>
      </c>
      <c r="N14" s="542">
        <v>418.39038869999996</v>
      </c>
      <c r="O14" s="542">
        <v>10439.316572900001</v>
      </c>
      <c r="P14" s="542">
        <v>519.89813179999999</v>
      </c>
      <c r="Q14" s="542">
        <v>5926.4297523000005</v>
      </c>
      <c r="R14" s="542">
        <v>1507.8597989999998</v>
      </c>
      <c r="S14" s="542">
        <v>144.8888565</v>
      </c>
      <c r="T14" s="542">
        <v>9572.4952561000027</v>
      </c>
      <c r="U14" s="542">
        <v>154353.06114690003</v>
      </c>
      <c r="V14" s="28"/>
      <c r="W14" s="28"/>
      <c r="X14" s="28"/>
    </row>
    <row r="15" spans="1:25" s="784" customFormat="1" ht="11.85" customHeight="1">
      <c r="A15" s="559" t="s">
        <v>1606</v>
      </c>
      <c r="B15" s="541">
        <v>48521.200303699996</v>
      </c>
      <c r="C15" s="541">
        <v>20692.835907599998</v>
      </c>
      <c r="D15" s="541">
        <v>17161.472797799997</v>
      </c>
      <c r="E15" s="541">
        <v>15998.640572499999</v>
      </c>
      <c r="F15" s="541">
        <v>29357.019671900005</v>
      </c>
      <c r="G15" s="541">
        <v>59.023163700000005</v>
      </c>
      <c r="H15" s="541">
        <v>12298.410095000001</v>
      </c>
      <c r="I15" s="541">
        <v>13023.291548699999</v>
      </c>
      <c r="J15" s="541">
        <v>5299.2566540000007</v>
      </c>
      <c r="K15" s="541">
        <v>567.26565100000005</v>
      </c>
      <c r="L15" s="541">
        <v>4899.6029505999995</v>
      </c>
      <c r="M15" s="541">
        <v>8.4802499999999989E-2</v>
      </c>
      <c r="N15" s="541">
        <v>674.5472201</v>
      </c>
      <c r="O15" s="541">
        <v>16981.377058799997</v>
      </c>
      <c r="P15" s="541">
        <v>1202.2905979</v>
      </c>
      <c r="Q15" s="541">
        <v>6877.0052047999989</v>
      </c>
      <c r="R15" s="541">
        <v>1773.7958544999999</v>
      </c>
      <c r="S15" s="541">
        <v>181.14529060000001</v>
      </c>
      <c r="T15" s="541">
        <v>14562.336121399996</v>
      </c>
      <c r="U15" s="541">
        <v>210130.6014671</v>
      </c>
      <c r="V15" s="28"/>
      <c r="W15" s="28"/>
      <c r="X15" s="28"/>
    </row>
    <row r="16" spans="1:25" s="784" customFormat="1" ht="11.85" customHeight="1">
      <c r="A16" s="563" t="s">
        <v>1927</v>
      </c>
      <c r="B16" s="550">
        <v>39158.175854299996</v>
      </c>
      <c r="C16" s="550">
        <v>17947.8753072</v>
      </c>
      <c r="D16" s="550">
        <v>17614.919640699998</v>
      </c>
      <c r="E16" s="550">
        <v>14591.768105700001</v>
      </c>
      <c r="F16" s="550">
        <v>29681.0637967</v>
      </c>
      <c r="G16" s="550">
        <v>20.136485900000004</v>
      </c>
      <c r="H16" s="550">
        <v>11619.2514574</v>
      </c>
      <c r="I16" s="550">
        <v>7728.6748983999996</v>
      </c>
      <c r="J16" s="550">
        <v>3321.2278345</v>
      </c>
      <c r="K16" s="550">
        <v>722.60180549999995</v>
      </c>
      <c r="L16" s="550">
        <v>4890.2717383000008</v>
      </c>
      <c r="M16" s="550">
        <v>0.93426680000000006</v>
      </c>
      <c r="N16" s="550">
        <v>598.07390220000013</v>
      </c>
      <c r="O16" s="550">
        <v>8813.7038080000002</v>
      </c>
      <c r="P16" s="550">
        <v>1110.0690999000001</v>
      </c>
      <c r="Q16" s="550">
        <v>9111.6374758999991</v>
      </c>
      <c r="R16" s="550">
        <v>1171.3974736</v>
      </c>
      <c r="S16" s="550">
        <v>178.02595140000003</v>
      </c>
      <c r="T16" s="550">
        <v>13300.732195100001</v>
      </c>
      <c r="U16" s="550">
        <v>181580.54109750001</v>
      </c>
      <c r="V16" s="28"/>
      <c r="W16" s="28"/>
      <c r="X16" s="28"/>
    </row>
    <row r="17" spans="1:24" s="784" customFormat="1" ht="11.85" customHeight="1">
      <c r="A17" s="564" t="s">
        <v>2183</v>
      </c>
      <c r="B17" s="560">
        <f>SUM(B18:B29)</f>
        <v>37457.374522400001</v>
      </c>
      <c r="C17" s="560">
        <f t="shared" ref="C17:T17" si="1">SUM(C18:C29)</f>
        <v>30263.662829199999</v>
      </c>
      <c r="D17" s="560">
        <f t="shared" si="1"/>
        <v>20784.396020799999</v>
      </c>
      <c r="E17" s="560">
        <f t="shared" si="1"/>
        <v>15455.397383300002</v>
      </c>
      <c r="F17" s="560">
        <f t="shared" si="1"/>
        <v>34888.233900599997</v>
      </c>
      <c r="G17" s="560">
        <f t="shared" si="1"/>
        <v>26.302682900000001</v>
      </c>
      <c r="H17" s="560">
        <f t="shared" si="1"/>
        <v>14455.068423000001</v>
      </c>
      <c r="I17" s="560">
        <f t="shared" si="1"/>
        <v>7915.9911605999996</v>
      </c>
      <c r="J17" s="560">
        <f t="shared" si="1"/>
        <v>4237.1926812000002</v>
      </c>
      <c r="K17" s="560">
        <f t="shared" si="1"/>
        <v>1125.2817604000002</v>
      </c>
      <c r="L17" s="560">
        <f t="shared" si="1"/>
        <v>5276.4684546000008</v>
      </c>
      <c r="M17" s="560">
        <f t="shared" si="1"/>
        <v>0.49717749999999999</v>
      </c>
      <c r="N17" s="560">
        <f t="shared" si="1"/>
        <v>1123.2660660000001</v>
      </c>
      <c r="O17" s="560">
        <f t="shared" si="1"/>
        <v>11195.259369900001</v>
      </c>
      <c r="P17" s="560">
        <f t="shared" si="1"/>
        <v>1294.5214367999999</v>
      </c>
      <c r="Q17" s="560">
        <f t="shared" si="1"/>
        <v>11772.177798499997</v>
      </c>
      <c r="R17" s="560">
        <f t="shared" si="1"/>
        <v>1164.7566234000001</v>
      </c>
      <c r="S17" s="560">
        <f t="shared" si="1"/>
        <v>187.69469090000001</v>
      </c>
      <c r="T17" s="560">
        <f t="shared" si="1"/>
        <v>16450.068571699998</v>
      </c>
      <c r="U17" s="560">
        <f>SUM(B17:T17)</f>
        <v>215073.61155369994</v>
      </c>
      <c r="V17" s="28"/>
      <c r="W17" s="28"/>
      <c r="X17" s="28"/>
    </row>
    <row r="18" spans="1:24" s="784" customFormat="1" ht="11.85" customHeight="1">
      <c r="A18" s="562" t="s">
        <v>565</v>
      </c>
      <c r="B18" s="797">
        <v>3282.6755571999993</v>
      </c>
      <c r="C18" s="797">
        <v>2862.2482277999998</v>
      </c>
      <c r="D18" s="797">
        <v>1856.9030193999999</v>
      </c>
      <c r="E18" s="797">
        <v>1331.9791251000001</v>
      </c>
      <c r="F18" s="797">
        <v>3411.3011581999999</v>
      </c>
      <c r="G18" s="797">
        <v>1.1266475999999999</v>
      </c>
      <c r="H18" s="797">
        <v>1003.5613497000001</v>
      </c>
      <c r="I18" s="797">
        <v>734.57423519999998</v>
      </c>
      <c r="J18" s="797">
        <v>299.68826159999998</v>
      </c>
      <c r="K18" s="797">
        <v>86.939639799999995</v>
      </c>
      <c r="L18" s="797">
        <v>417.79848499999997</v>
      </c>
      <c r="M18" s="797">
        <v>9.3887299999999993E-2</v>
      </c>
      <c r="N18" s="797">
        <v>115.38749169999998</v>
      </c>
      <c r="O18" s="797">
        <v>1308.0378636</v>
      </c>
      <c r="P18" s="797">
        <v>122.71070110000001</v>
      </c>
      <c r="Q18" s="797">
        <v>1217.3427317999999</v>
      </c>
      <c r="R18" s="797">
        <v>196.78778080000001</v>
      </c>
      <c r="S18" s="797">
        <v>15.773066399999999</v>
      </c>
      <c r="T18" s="797">
        <v>1416.8532443000008</v>
      </c>
      <c r="U18" s="797">
        <f t="shared" ref="U18:U51" si="2">SUM(B18:T18)</f>
        <v>19681.7824736</v>
      </c>
      <c r="V18" s="28"/>
      <c r="W18" s="28"/>
      <c r="X18" s="28"/>
    </row>
    <row r="19" spans="1:24" s="784" customFormat="1" ht="11.85" customHeight="1">
      <c r="A19" s="559" t="s">
        <v>566</v>
      </c>
      <c r="B19" s="778">
        <v>3243.0192575999999</v>
      </c>
      <c r="C19" s="778">
        <v>2893.2921216000004</v>
      </c>
      <c r="D19" s="778">
        <v>1727.6615423999999</v>
      </c>
      <c r="E19" s="778">
        <v>1361.89536</v>
      </c>
      <c r="F19" s="778">
        <v>3404.5485888000003</v>
      </c>
      <c r="G19" s="778">
        <v>1.1388672</v>
      </c>
      <c r="H19" s="778">
        <v>1247.1544896</v>
      </c>
      <c r="I19" s="778">
        <v>486.29629440000008</v>
      </c>
      <c r="J19" s="778">
        <v>315.75093120000008</v>
      </c>
      <c r="K19" s="778">
        <v>77.158252800000014</v>
      </c>
      <c r="L19" s="778">
        <v>393.85824000000002</v>
      </c>
      <c r="M19" s="778">
        <v>9.4905600000000007E-2</v>
      </c>
      <c r="N19" s="778">
        <v>125.46520320000002</v>
      </c>
      <c r="O19" s="778">
        <v>1016.0593536</v>
      </c>
      <c r="P19" s="778">
        <v>139.70104320000002</v>
      </c>
      <c r="Q19" s="778">
        <v>1204.6367808</v>
      </c>
      <c r="R19" s="778">
        <v>142.54821120000003</v>
      </c>
      <c r="S19" s="778">
        <v>13.856217599999999</v>
      </c>
      <c r="T19" s="778">
        <v>1537.4707200000012</v>
      </c>
      <c r="U19" s="778">
        <f t="shared" si="2"/>
        <v>19331.6063808</v>
      </c>
      <c r="V19" s="28"/>
      <c r="W19" s="28"/>
      <c r="X19" s="28"/>
    </row>
    <row r="20" spans="1:24" s="784" customFormat="1" ht="11.85" customHeight="1">
      <c r="A20" s="562" t="s">
        <v>560</v>
      </c>
      <c r="B20" s="797">
        <v>2941.7033964000002</v>
      </c>
      <c r="C20" s="797">
        <v>1705.6831205999999</v>
      </c>
      <c r="D20" s="797">
        <v>1231.9088136</v>
      </c>
      <c r="E20" s="797">
        <v>1127.305566</v>
      </c>
      <c r="F20" s="797">
        <v>2655.2396579999995</v>
      </c>
      <c r="G20" s="797">
        <v>1.9123079999999999</v>
      </c>
      <c r="H20" s="797">
        <v>1088.1032519999999</v>
      </c>
      <c r="I20" s="797">
        <v>388.38975479999993</v>
      </c>
      <c r="J20" s="797">
        <v>237.89111519999997</v>
      </c>
      <c r="K20" s="797">
        <v>59.377163399999993</v>
      </c>
      <c r="L20" s="797">
        <v>322.51074419999998</v>
      </c>
      <c r="M20" s="797">
        <v>0</v>
      </c>
      <c r="N20" s="797">
        <v>52.301623799999994</v>
      </c>
      <c r="O20" s="797">
        <v>749.52912059999994</v>
      </c>
      <c r="P20" s="797">
        <v>92.268860999999987</v>
      </c>
      <c r="Q20" s="797">
        <v>827.64690240000004</v>
      </c>
      <c r="R20" s="797">
        <v>76.396704599999993</v>
      </c>
      <c r="S20" s="797">
        <v>11.282617199999999</v>
      </c>
      <c r="T20" s="797">
        <v>1151.4962621999973</v>
      </c>
      <c r="U20" s="797">
        <f t="shared" si="2"/>
        <v>14720.946983999998</v>
      </c>
      <c r="V20" s="28"/>
      <c r="W20" s="28"/>
      <c r="X20" s="28"/>
    </row>
    <row r="21" spans="1:24" s="784" customFormat="1" ht="11.85" customHeight="1">
      <c r="A21" s="559" t="s">
        <v>567</v>
      </c>
      <c r="B21" s="778">
        <v>2980.5850899999996</v>
      </c>
      <c r="C21" s="778">
        <v>1649.1282626</v>
      </c>
      <c r="D21" s="778">
        <v>1067.4069391999999</v>
      </c>
      <c r="E21" s="778">
        <v>1279.5743576</v>
      </c>
      <c r="F21" s="778">
        <v>2257.8052825999998</v>
      </c>
      <c r="G21" s="778">
        <v>1.5458463999999998</v>
      </c>
      <c r="H21" s="778">
        <v>1370.6826798</v>
      </c>
      <c r="I21" s="778">
        <v>480.08192259999998</v>
      </c>
      <c r="J21" s="778">
        <v>253.13234799999995</v>
      </c>
      <c r="K21" s="778">
        <v>61.640625200000002</v>
      </c>
      <c r="L21" s="778">
        <v>487.52130840000001</v>
      </c>
      <c r="M21" s="778">
        <v>9.661539999999999E-2</v>
      </c>
      <c r="N21" s="778">
        <v>45.602468799999997</v>
      </c>
      <c r="O21" s="778">
        <v>681.81487779999986</v>
      </c>
      <c r="P21" s="778">
        <v>77.968627800000007</v>
      </c>
      <c r="Q21" s="778">
        <v>842.29305719999991</v>
      </c>
      <c r="R21" s="778">
        <v>84.828321199999991</v>
      </c>
      <c r="S21" s="778">
        <v>13.332925199999996</v>
      </c>
      <c r="T21" s="778">
        <v>1104.0241757999997</v>
      </c>
      <c r="U21" s="778">
        <f t="shared" si="2"/>
        <v>14739.065731600002</v>
      </c>
      <c r="V21" s="28"/>
      <c r="W21" s="28"/>
      <c r="X21" s="28"/>
    </row>
    <row r="22" spans="1:24" s="784" customFormat="1" ht="11.85" customHeight="1">
      <c r="A22" s="562" t="s">
        <v>568</v>
      </c>
      <c r="B22" s="797">
        <v>2882.0946849999996</v>
      </c>
      <c r="C22" s="797">
        <v>1803.5421303999999</v>
      </c>
      <c r="D22" s="797">
        <v>1377.841371</v>
      </c>
      <c r="E22" s="797">
        <v>1232.7848865999999</v>
      </c>
      <c r="F22" s="797">
        <v>2976.3911613999999</v>
      </c>
      <c r="G22" s="797">
        <v>2.1475388</v>
      </c>
      <c r="H22" s="797">
        <v>1183.3914941999999</v>
      </c>
      <c r="I22" s="797">
        <v>486.51515360000002</v>
      </c>
      <c r="J22" s="797">
        <v>290.50343039999996</v>
      </c>
      <c r="K22" s="797">
        <v>68.33077999999999</v>
      </c>
      <c r="L22" s="797">
        <v>310.80743359999997</v>
      </c>
      <c r="M22" s="797">
        <v>0</v>
      </c>
      <c r="N22" s="797">
        <v>75.847165799999999</v>
      </c>
      <c r="O22" s="797">
        <v>677.06041440000001</v>
      </c>
      <c r="P22" s="797">
        <v>91.368014399999993</v>
      </c>
      <c r="Q22" s="797">
        <v>834.51405459999989</v>
      </c>
      <c r="R22" s="797">
        <v>104.54609339999999</v>
      </c>
      <c r="S22" s="797">
        <v>16.301771799999997</v>
      </c>
      <c r="T22" s="797">
        <v>1157.3281823999994</v>
      </c>
      <c r="U22" s="797">
        <f t="shared" si="2"/>
        <v>15571.315761799997</v>
      </c>
      <c r="V22" s="28"/>
      <c r="W22" s="28"/>
      <c r="X22" s="28"/>
    </row>
    <row r="23" spans="1:24" s="784" customFormat="1" ht="11.85" customHeight="1">
      <c r="A23" s="559" t="s">
        <v>561</v>
      </c>
      <c r="B23" s="778">
        <v>3028.5487217999998</v>
      </c>
      <c r="C23" s="778">
        <v>1913.3658934</v>
      </c>
      <c r="D23" s="778">
        <v>1491.1937732000001</v>
      </c>
      <c r="E23" s="778">
        <v>996.36969599999998</v>
      </c>
      <c r="F23" s="778">
        <v>4233.4838997999996</v>
      </c>
      <c r="G23" s="778">
        <v>1.8780777999999998</v>
      </c>
      <c r="H23" s="778">
        <v>830.90115719999994</v>
      </c>
      <c r="I23" s="778">
        <v>429.68443139999999</v>
      </c>
      <c r="J23" s="778">
        <v>294.95706080000002</v>
      </c>
      <c r="K23" s="778">
        <v>85.897347799999991</v>
      </c>
      <c r="L23" s="778">
        <v>181.28393079999998</v>
      </c>
      <c r="M23" s="778">
        <v>0</v>
      </c>
      <c r="N23" s="778">
        <v>102.40466319999999</v>
      </c>
      <c r="O23" s="778">
        <v>778.41382499999997</v>
      </c>
      <c r="P23" s="778">
        <v>91.333888799999997</v>
      </c>
      <c r="Q23" s="778">
        <v>940.02736200000004</v>
      </c>
      <c r="R23" s="778">
        <v>131.959677</v>
      </c>
      <c r="S23" s="778">
        <v>14.925776199999998</v>
      </c>
      <c r="T23" s="778">
        <v>1254.2594317999997</v>
      </c>
      <c r="U23" s="778">
        <f t="shared" si="2"/>
        <v>16800.888614</v>
      </c>
      <c r="V23" s="28"/>
      <c r="W23" s="28"/>
      <c r="X23" s="28"/>
    </row>
    <row r="24" spans="1:24" s="784" customFormat="1" ht="11.85" customHeight="1">
      <c r="A24" s="562" t="s">
        <v>569</v>
      </c>
      <c r="B24" s="797">
        <v>3083.7701208000008</v>
      </c>
      <c r="C24" s="797">
        <v>3471.5388306</v>
      </c>
      <c r="D24" s="797">
        <v>1991.9844438</v>
      </c>
      <c r="E24" s="797">
        <v>1429.0106034</v>
      </c>
      <c r="F24" s="797">
        <v>2983.6814430000004</v>
      </c>
      <c r="G24" s="797">
        <v>3.1964448000000005</v>
      </c>
      <c r="H24" s="797">
        <v>1207.8565788000001</v>
      </c>
      <c r="I24" s="797">
        <v>642.88496039999995</v>
      </c>
      <c r="J24" s="797">
        <v>392.06393250000002</v>
      </c>
      <c r="K24" s="797">
        <v>111.875568</v>
      </c>
      <c r="L24" s="797">
        <v>400.95404460000003</v>
      </c>
      <c r="M24" s="797">
        <v>0</v>
      </c>
      <c r="N24" s="797">
        <v>167.71346310000001</v>
      </c>
      <c r="O24" s="797">
        <v>972.41844149999997</v>
      </c>
      <c r="P24" s="797">
        <v>121.3650135</v>
      </c>
      <c r="Q24" s="797">
        <v>950.3429946</v>
      </c>
      <c r="R24" s="797">
        <v>143.93990490000002</v>
      </c>
      <c r="S24" s="797">
        <v>19.078779900000001</v>
      </c>
      <c r="T24" s="797">
        <v>1473.2613860999991</v>
      </c>
      <c r="U24" s="797">
        <f t="shared" si="2"/>
        <v>19566.936954299996</v>
      </c>
      <c r="V24" s="28"/>
      <c r="W24" s="28"/>
      <c r="X24" s="28"/>
    </row>
    <row r="25" spans="1:24" s="784" customFormat="1" ht="11.85" customHeight="1">
      <c r="A25" s="559" t="s">
        <v>570</v>
      </c>
      <c r="B25" s="778">
        <v>2641.6748778000001</v>
      </c>
      <c r="C25" s="778">
        <v>2138.8015854999999</v>
      </c>
      <c r="D25" s="778">
        <v>1390.7005824999999</v>
      </c>
      <c r="E25" s="778">
        <v>1144.8671220000001</v>
      </c>
      <c r="F25" s="778">
        <v>2341.0210603999999</v>
      </c>
      <c r="G25" s="778">
        <v>2.4229992</v>
      </c>
      <c r="H25" s="778">
        <v>1297.4151132999998</v>
      </c>
      <c r="I25" s="778">
        <v>617.05712959999994</v>
      </c>
      <c r="J25" s="778">
        <v>373.94954319999999</v>
      </c>
      <c r="K25" s="778">
        <v>86.319346500000009</v>
      </c>
      <c r="L25" s="778">
        <v>591.61563799999999</v>
      </c>
      <c r="M25" s="778">
        <v>0</v>
      </c>
      <c r="N25" s="778">
        <v>59.161563799999996</v>
      </c>
      <c r="O25" s="778">
        <v>923.46557009999992</v>
      </c>
      <c r="P25" s="778">
        <v>119.2317523</v>
      </c>
      <c r="Q25" s="778">
        <v>851.68421879999983</v>
      </c>
      <c r="R25" s="778">
        <v>62.69510429999999</v>
      </c>
      <c r="S25" s="778">
        <v>15.3456616</v>
      </c>
      <c r="T25" s="778">
        <v>1096.9119295000007</v>
      </c>
      <c r="U25" s="778">
        <f t="shared" si="2"/>
        <v>15754.340798399999</v>
      </c>
      <c r="V25" s="28"/>
      <c r="W25" s="28"/>
      <c r="X25" s="28"/>
    </row>
    <row r="26" spans="1:24" s="784" customFormat="1" ht="11.85" customHeight="1">
      <c r="A26" s="562" t="s">
        <v>562</v>
      </c>
      <c r="B26" s="797">
        <v>2889.6314199999997</v>
      </c>
      <c r="C26" s="797">
        <v>3139.6446960000003</v>
      </c>
      <c r="D26" s="797">
        <v>2210.4558769999999</v>
      </c>
      <c r="E26" s="797">
        <v>1710.93914</v>
      </c>
      <c r="F26" s="797">
        <v>3099.1653849999998</v>
      </c>
      <c r="G26" s="797">
        <v>2.0392600000000001</v>
      </c>
      <c r="H26" s="797">
        <v>1516.1898099999999</v>
      </c>
      <c r="I26" s="797">
        <v>1085.6000609999999</v>
      </c>
      <c r="J26" s="797">
        <v>418.25222599999995</v>
      </c>
      <c r="K26" s="797">
        <v>118.888858</v>
      </c>
      <c r="L26" s="797">
        <v>581.69891499999994</v>
      </c>
      <c r="M26" s="797">
        <v>0</v>
      </c>
      <c r="N26" s="797">
        <v>72.597656000000001</v>
      </c>
      <c r="O26" s="797">
        <v>1007.5983659999998</v>
      </c>
      <c r="P26" s="797">
        <v>134.795086</v>
      </c>
      <c r="Q26" s="797">
        <v>1057.3563099999999</v>
      </c>
      <c r="R26" s="797">
        <v>40.683236999999998</v>
      </c>
      <c r="S26" s="797">
        <v>22.839711999999999</v>
      </c>
      <c r="T26" s="797">
        <v>1513.3348459999984</v>
      </c>
      <c r="U26" s="797">
        <f t="shared" si="2"/>
        <v>20621.710860999996</v>
      </c>
      <c r="V26" s="28"/>
      <c r="W26" s="28"/>
      <c r="X26" s="28"/>
    </row>
    <row r="27" spans="1:24" s="784" customFormat="1" ht="11.85" customHeight="1">
      <c r="A27" s="559" t="s">
        <v>571</v>
      </c>
      <c r="B27" s="778">
        <v>2843.37084</v>
      </c>
      <c r="C27" s="778">
        <v>2100.5972000000002</v>
      </c>
      <c r="D27" s="778">
        <v>1803.9817600000001</v>
      </c>
      <c r="E27" s="778">
        <v>1390.7579599999999</v>
      </c>
      <c r="F27" s="778">
        <v>2533.99332</v>
      </c>
      <c r="G27" s="778">
        <v>2.6759200000000001</v>
      </c>
      <c r="H27" s="778">
        <v>1211.5742399999999</v>
      </c>
      <c r="I27" s="778">
        <v>861.74916000000007</v>
      </c>
      <c r="J27" s="778">
        <v>399.53543999999999</v>
      </c>
      <c r="K27" s="778">
        <v>87.996600000000015</v>
      </c>
      <c r="L27" s="778">
        <v>502.66128000000009</v>
      </c>
      <c r="M27" s="778">
        <v>0</v>
      </c>
      <c r="N27" s="778">
        <v>89.025800000000004</v>
      </c>
      <c r="O27" s="778">
        <v>952.83335999999997</v>
      </c>
      <c r="P27" s="778">
        <v>112.07988</v>
      </c>
      <c r="Q27" s="778">
        <v>1015.40872</v>
      </c>
      <c r="R27" s="778">
        <v>60.208199999999998</v>
      </c>
      <c r="S27" s="778">
        <v>15.129239999999999</v>
      </c>
      <c r="T27" s="778">
        <v>1357.5148000000022</v>
      </c>
      <c r="U27" s="778">
        <f t="shared" si="2"/>
        <v>17341.093720000001</v>
      </c>
      <c r="V27" s="28"/>
      <c r="W27" s="28"/>
      <c r="X27" s="28"/>
    </row>
    <row r="28" spans="1:24" s="784" customFormat="1" ht="11.85" customHeight="1">
      <c r="A28" s="562" t="s">
        <v>572</v>
      </c>
      <c r="B28" s="797">
        <v>3341.2799112000002</v>
      </c>
      <c r="C28" s="797">
        <v>2460.1332063</v>
      </c>
      <c r="D28" s="797">
        <v>1729.2021285000003</v>
      </c>
      <c r="E28" s="797">
        <v>1237.2172427999999</v>
      </c>
      <c r="F28" s="797">
        <v>2350.6292502000006</v>
      </c>
      <c r="G28" s="797">
        <v>1.9833891000000001</v>
      </c>
      <c r="H28" s="797">
        <v>1212.1639067999999</v>
      </c>
      <c r="I28" s="797">
        <v>753.47908020000011</v>
      </c>
      <c r="J28" s="797">
        <v>381.7502073</v>
      </c>
      <c r="K28" s="797">
        <v>85.076953500000016</v>
      </c>
      <c r="L28" s="797">
        <v>538.22916840000005</v>
      </c>
      <c r="M28" s="797">
        <v>0</v>
      </c>
      <c r="N28" s="797">
        <v>128.81590260000002</v>
      </c>
      <c r="O28" s="797">
        <v>897.01381770000012</v>
      </c>
      <c r="P28" s="797">
        <v>77.978508300000001</v>
      </c>
      <c r="Q28" s="797">
        <v>1000.9851621</v>
      </c>
      <c r="R28" s="797">
        <v>52.820783400000003</v>
      </c>
      <c r="S28" s="797">
        <v>16.911001800000001</v>
      </c>
      <c r="T28" s="797">
        <v>1393.3830372000016</v>
      </c>
      <c r="U28" s="797">
        <f t="shared" si="2"/>
        <v>17659.052657400003</v>
      </c>
      <c r="V28" s="28"/>
      <c r="W28" s="28"/>
      <c r="X28" s="28"/>
    </row>
    <row r="29" spans="1:24" s="784" customFormat="1" ht="11.85" customHeight="1">
      <c r="A29" s="559" t="s">
        <v>563</v>
      </c>
      <c r="B29" s="778">
        <v>4299.0206446000002</v>
      </c>
      <c r="C29" s="778">
        <v>4125.6875544000004</v>
      </c>
      <c r="D29" s="778">
        <v>2905.1557702</v>
      </c>
      <c r="E29" s="778">
        <v>1212.6963238000001</v>
      </c>
      <c r="F29" s="778">
        <v>2640.9736932000001</v>
      </c>
      <c r="G29" s="778">
        <v>4.2353840000000007</v>
      </c>
      <c r="H29" s="778">
        <v>1286.0743516</v>
      </c>
      <c r="I29" s="778">
        <v>949.67897740000012</v>
      </c>
      <c r="J29" s="778">
        <v>579.71818499999995</v>
      </c>
      <c r="K29" s="778">
        <v>195.78062539999999</v>
      </c>
      <c r="L29" s="778">
        <v>547.52926660000003</v>
      </c>
      <c r="M29" s="778">
        <v>0.21176920000000005</v>
      </c>
      <c r="N29" s="778">
        <v>88.943064000000007</v>
      </c>
      <c r="O29" s="778">
        <v>1231.0143596000003</v>
      </c>
      <c r="P29" s="778">
        <v>113.72006040000001</v>
      </c>
      <c r="Q29" s="778">
        <v>1029.9395042000001</v>
      </c>
      <c r="R29" s="778">
        <v>67.342605599999999</v>
      </c>
      <c r="S29" s="778">
        <v>12.9179212</v>
      </c>
      <c r="T29" s="778">
        <v>1994.2305563999992</v>
      </c>
      <c r="U29" s="778">
        <f t="shared" si="2"/>
        <v>23284.870616799995</v>
      </c>
      <c r="V29" s="28"/>
      <c r="W29" s="28"/>
      <c r="X29" s="28"/>
    </row>
    <row r="30" spans="1:24" s="784" customFormat="1" ht="11.85" customHeight="1">
      <c r="A30" s="563" t="s">
        <v>2345</v>
      </c>
      <c r="B30" s="1647">
        <f>SUM(B31:B42)</f>
        <v>30516.555239938389</v>
      </c>
      <c r="C30" s="1647">
        <f t="shared" ref="C30:U30" si="3">SUM(C31:C42)</f>
        <v>51233.574854544095</v>
      </c>
      <c r="D30" s="1647">
        <f t="shared" si="3"/>
        <v>31008.447237613305</v>
      </c>
      <c r="E30" s="1647">
        <f t="shared" si="3"/>
        <v>16628.440987672388</v>
      </c>
      <c r="F30" s="1647">
        <f t="shared" si="3"/>
        <v>33027.021355669247</v>
      </c>
      <c r="G30" s="1647">
        <f t="shared" si="3"/>
        <v>20.755184179930001</v>
      </c>
      <c r="H30" s="1647">
        <f t="shared" si="3"/>
        <v>12780.367329326429</v>
      </c>
      <c r="I30" s="1647">
        <f t="shared" si="3"/>
        <v>12520.142477039341</v>
      </c>
      <c r="J30" s="1647">
        <f t="shared" si="3"/>
        <v>7051.056001973071</v>
      </c>
      <c r="K30" s="1647">
        <f t="shared" si="3"/>
        <v>1387.4437819806794</v>
      </c>
      <c r="L30" s="1647">
        <f t="shared" si="3"/>
        <v>7121.2584661642195</v>
      </c>
      <c r="M30" s="1647">
        <f t="shared" si="3"/>
        <v>0.89241208908999992</v>
      </c>
      <c r="N30" s="1647">
        <f t="shared" si="3"/>
        <v>850.94897197372802</v>
      </c>
      <c r="O30" s="1647">
        <f t="shared" si="3"/>
        <v>17942.198721202687</v>
      </c>
      <c r="P30" s="1647">
        <f t="shared" si="3"/>
        <v>1295.717340767618</v>
      </c>
      <c r="Q30" s="1647">
        <f t="shared" si="3"/>
        <v>16245.698173344601</v>
      </c>
      <c r="R30" s="1647">
        <f t="shared" si="3"/>
        <v>1291.7734250035185</v>
      </c>
      <c r="S30" s="1647">
        <f t="shared" si="3"/>
        <v>156.40584079686241</v>
      </c>
      <c r="T30" s="1647">
        <f t="shared" si="3"/>
        <v>25083.484426050796</v>
      </c>
      <c r="U30" s="1647">
        <f t="shared" si="3"/>
        <v>266162.18222732999</v>
      </c>
      <c r="V30" s="28"/>
      <c r="W30" s="28"/>
      <c r="X30" s="28"/>
    </row>
    <row r="31" spans="1:24" s="784" customFormat="1" ht="11.85" customHeight="1">
      <c r="A31" s="559" t="s">
        <v>565</v>
      </c>
      <c r="B31" s="778">
        <v>3344.2838999999999</v>
      </c>
      <c r="C31" s="778">
        <v>3588.7700856000001</v>
      </c>
      <c r="D31" s="778">
        <v>2406.2530500000003</v>
      </c>
      <c r="E31" s="778">
        <v>1248.6414132</v>
      </c>
      <c r="F31" s="778">
        <v>2175.1439999999998</v>
      </c>
      <c r="G31" s="778">
        <v>2.1751440000000004</v>
      </c>
      <c r="H31" s="778">
        <v>1235.5905491999999</v>
      </c>
      <c r="I31" s="778">
        <v>1313.5694616000001</v>
      </c>
      <c r="J31" s="778">
        <v>464.28448679999991</v>
      </c>
      <c r="K31" s="778">
        <v>104.7331836</v>
      </c>
      <c r="L31" s="778">
        <v>528.23372039999992</v>
      </c>
      <c r="M31" s="778">
        <v>0.1087572</v>
      </c>
      <c r="N31" s="778">
        <v>55.792443599999999</v>
      </c>
      <c r="O31" s="778">
        <v>1268.7614951999999</v>
      </c>
      <c r="P31" s="778">
        <v>89.180903999999984</v>
      </c>
      <c r="Q31" s="778">
        <v>1235.5905491999999</v>
      </c>
      <c r="R31" s="778">
        <v>79.936542000000003</v>
      </c>
      <c r="S31" s="778">
        <v>16.6398516</v>
      </c>
      <c r="T31" s="778">
        <v>2301.7373807999998</v>
      </c>
      <c r="U31" s="778">
        <f t="shared" si="2"/>
        <v>21459.426917999997</v>
      </c>
      <c r="V31" s="28"/>
      <c r="W31" s="28"/>
      <c r="X31" s="28"/>
    </row>
    <row r="32" spans="1:24" s="784" customFormat="1" ht="11.85" customHeight="1">
      <c r="A32" s="562" t="s">
        <v>566</v>
      </c>
      <c r="B32" s="797">
        <v>3189.1624608000002</v>
      </c>
      <c r="C32" s="797">
        <v>2611.5536502000004</v>
      </c>
      <c r="D32" s="797">
        <v>2403.8027458000006</v>
      </c>
      <c r="E32" s="797">
        <v>1272.446925</v>
      </c>
      <c r="F32" s="797">
        <v>1863.7379606000002</v>
      </c>
      <c r="G32" s="797">
        <v>1.64</v>
      </c>
      <c r="H32" s="797">
        <v>747.59677399999998</v>
      </c>
      <c r="I32" s="797">
        <v>708.73925500000007</v>
      </c>
      <c r="J32" s="797">
        <v>294.22256640000001</v>
      </c>
      <c r="K32" s="797">
        <v>53.743779800000006</v>
      </c>
      <c r="L32" s="797">
        <v>252.4096868</v>
      </c>
      <c r="M32" s="797">
        <v>0</v>
      </c>
      <c r="N32" s="797">
        <v>41.156132800000002</v>
      </c>
      <c r="O32" s="797">
        <v>911.34564280000018</v>
      </c>
      <c r="P32" s="797">
        <v>66.1125112</v>
      </c>
      <c r="Q32" s="797">
        <v>1217.8274828000001</v>
      </c>
      <c r="R32" s="797">
        <v>47.942516400000002</v>
      </c>
      <c r="S32" s="797">
        <v>12.916020399999999</v>
      </c>
      <c r="T32" s="797">
        <v>1810.8698432000008</v>
      </c>
      <c r="U32" s="797">
        <f t="shared" si="2"/>
        <v>17507.225954000001</v>
      </c>
      <c r="V32" s="28"/>
      <c r="W32" s="28"/>
      <c r="X32" s="28"/>
    </row>
    <row r="33" spans="1:24" s="784" customFormat="1" ht="11.85" customHeight="1">
      <c r="A33" s="559" t="s">
        <v>560</v>
      </c>
      <c r="B33" s="778">
        <v>2377.00155</v>
      </c>
      <c r="C33" s="778">
        <v>2827.8785499999999</v>
      </c>
      <c r="D33" s="778">
        <v>1626.4563000000001</v>
      </c>
      <c r="E33" s="778">
        <v>1025.0303699999999</v>
      </c>
      <c r="F33" s="778">
        <v>1552.66643</v>
      </c>
      <c r="G33" s="778">
        <v>1.42961</v>
      </c>
      <c r="H33" s="778">
        <v>798.05228999999986</v>
      </c>
      <c r="I33" s="778">
        <v>466.60271</v>
      </c>
      <c r="J33" s="778">
        <v>270.85611</v>
      </c>
      <c r="K33" s="778">
        <v>81.707709999999992</v>
      </c>
      <c r="L33" s="778">
        <v>283.17275000000001</v>
      </c>
      <c r="M33" s="778">
        <v>0</v>
      </c>
      <c r="N33" s="778">
        <v>64.772329999999997</v>
      </c>
      <c r="O33" s="778">
        <v>696.33004000000005</v>
      </c>
      <c r="P33" s="778">
        <v>63.34272</v>
      </c>
      <c r="Q33" s="778">
        <v>1022.3910899999998</v>
      </c>
      <c r="R33" s="778">
        <v>84.237020000000001</v>
      </c>
      <c r="S33" s="778">
        <v>10.33718</v>
      </c>
      <c r="T33" s="778">
        <v>1421.5821899999992</v>
      </c>
      <c r="U33" s="778">
        <f t="shared" si="2"/>
        <v>14673.846949999999</v>
      </c>
      <c r="V33" s="28"/>
      <c r="W33" s="28"/>
      <c r="X33" s="28"/>
    </row>
    <row r="34" spans="1:24" s="784" customFormat="1" ht="11.85" customHeight="1">
      <c r="A34" s="562" t="s">
        <v>567</v>
      </c>
      <c r="B34" s="797">
        <v>2770.3308138000002</v>
      </c>
      <c r="C34" s="797">
        <v>3638.6764391999995</v>
      </c>
      <c r="D34" s="797">
        <v>2592.2199666000001</v>
      </c>
      <c r="E34" s="797">
        <v>1679.6781011999999</v>
      </c>
      <c r="F34" s="797">
        <v>2033.3585117999999</v>
      </c>
      <c r="G34" s="797">
        <v>1.7678495999999999</v>
      </c>
      <c r="H34" s="797">
        <v>1116.6180036000001</v>
      </c>
      <c r="I34" s="797">
        <v>820.83466740000006</v>
      </c>
      <c r="J34" s="797">
        <v>465.71787899999998</v>
      </c>
      <c r="K34" s="797">
        <v>182.30949000000001</v>
      </c>
      <c r="L34" s="797">
        <v>571.34689260000005</v>
      </c>
      <c r="M34" s="797">
        <v>0</v>
      </c>
      <c r="N34" s="797">
        <v>95.574369000000004</v>
      </c>
      <c r="O34" s="797">
        <v>1378.0387631999999</v>
      </c>
      <c r="P34" s="797">
        <v>120.1032822</v>
      </c>
      <c r="Q34" s="797">
        <v>1969.8264168000001</v>
      </c>
      <c r="R34" s="797">
        <v>84.967271400000001</v>
      </c>
      <c r="S34" s="797">
        <v>11.4910224</v>
      </c>
      <c r="T34" s="797">
        <v>2249.588616</v>
      </c>
      <c r="U34" s="797">
        <f t="shared" si="2"/>
        <v>21782.448355800003</v>
      </c>
      <c r="V34" s="28"/>
      <c r="W34" s="28"/>
      <c r="X34" s="28"/>
    </row>
    <row r="35" spans="1:24" s="784" customFormat="1" ht="11.85" customHeight="1">
      <c r="A35" s="559" t="s">
        <v>568</v>
      </c>
      <c r="B35" s="778">
        <v>2155.5227519999999</v>
      </c>
      <c r="C35" s="778">
        <v>4218.3491551999996</v>
      </c>
      <c r="D35" s="778">
        <v>2950.3163263999995</v>
      </c>
      <c r="E35" s="778">
        <v>1292.3157239999998</v>
      </c>
      <c r="F35" s="778">
        <v>2433.1682751999997</v>
      </c>
      <c r="G35" s="778">
        <v>2.1067352000000001</v>
      </c>
      <c r="H35" s="778">
        <v>972.3137352</v>
      </c>
      <c r="I35" s="778">
        <v>735.80498879999993</v>
      </c>
      <c r="J35" s="778">
        <v>495.74805679999997</v>
      </c>
      <c r="K35" s="778">
        <v>94.69220319999998</v>
      </c>
      <c r="L35" s="778">
        <v>527.79260799999997</v>
      </c>
      <c r="M35" s="778">
        <v>0.55440400000000001</v>
      </c>
      <c r="N35" s="778">
        <v>51.781333599999996</v>
      </c>
      <c r="O35" s="778">
        <v>1583.7104664000001</v>
      </c>
      <c r="P35" s="778">
        <v>93.139871999999997</v>
      </c>
      <c r="Q35" s="778">
        <v>1647.4669263999999</v>
      </c>
      <c r="R35" s="778">
        <v>89.702567200000004</v>
      </c>
      <c r="S35" s="778">
        <v>17.075643199999998</v>
      </c>
      <c r="T35" s="778">
        <v>2038.8761504000008</v>
      </c>
      <c r="U35" s="778">
        <f t="shared" si="2"/>
        <v>21400.437923199999</v>
      </c>
      <c r="V35" s="28"/>
      <c r="W35" s="28"/>
      <c r="X35" s="28"/>
    </row>
    <row r="36" spans="1:24" s="784" customFormat="1" ht="11.85" customHeight="1">
      <c r="A36" s="562" t="s">
        <v>561</v>
      </c>
      <c r="B36" s="797">
        <v>1822.7149285999999</v>
      </c>
      <c r="C36" s="797">
        <v>4879.5930324000001</v>
      </c>
      <c r="D36" s="797">
        <v>3088.3820906000001</v>
      </c>
      <c r="E36" s="797">
        <v>1348.8332810000002</v>
      </c>
      <c r="F36" s="797">
        <v>2314.8821070000004</v>
      </c>
      <c r="G36" s="797">
        <v>1.3218456000000001</v>
      </c>
      <c r="H36" s="797">
        <v>923.97007439999993</v>
      </c>
      <c r="I36" s="797">
        <v>856.11533359999999</v>
      </c>
      <c r="J36" s="797">
        <v>665.21879820000004</v>
      </c>
      <c r="K36" s="797">
        <v>73.582738399999997</v>
      </c>
      <c r="L36" s="797">
        <v>560.57268820000002</v>
      </c>
      <c r="M36" s="797">
        <v>0.11015380000000001</v>
      </c>
      <c r="N36" s="797">
        <v>138.79378800000001</v>
      </c>
      <c r="O36" s="797">
        <v>1667.9488396000002</v>
      </c>
      <c r="P36" s="797">
        <v>110.5944152</v>
      </c>
      <c r="Q36" s="797">
        <v>1298.7133020000001</v>
      </c>
      <c r="R36" s="797">
        <v>71.269508599999995</v>
      </c>
      <c r="S36" s="797">
        <v>13.769225</v>
      </c>
      <c r="T36" s="797">
        <v>2098.0994286000005</v>
      </c>
      <c r="U36" s="797">
        <f t="shared" si="2"/>
        <v>21934.485578800006</v>
      </c>
      <c r="V36" s="28"/>
      <c r="W36" s="28"/>
      <c r="X36" s="28"/>
    </row>
    <row r="37" spans="1:24" s="784" customFormat="1" ht="11.85" customHeight="1">
      <c r="A37" s="559" t="s">
        <v>569</v>
      </c>
      <c r="B37" s="778">
        <v>1970.4299999999998</v>
      </c>
      <c r="C37" s="778">
        <v>4929.43</v>
      </c>
      <c r="D37" s="778">
        <v>2666.4</v>
      </c>
      <c r="E37" s="778">
        <v>1485.99</v>
      </c>
      <c r="F37" s="778">
        <v>2300.65</v>
      </c>
      <c r="G37" s="778">
        <v>1.1000000000000001</v>
      </c>
      <c r="H37" s="778">
        <v>1225.0700000000002</v>
      </c>
      <c r="I37" s="778">
        <v>979.44000000000017</v>
      </c>
      <c r="J37" s="778">
        <v>787.93</v>
      </c>
      <c r="K37" s="778">
        <v>130.35</v>
      </c>
      <c r="L37" s="778">
        <v>714.56</v>
      </c>
      <c r="M37" s="778">
        <v>0</v>
      </c>
      <c r="N37" s="778">
        <v>73.7</v>
      </c>
      <c r="O37" s="778">
        <v>1757.47</v>
      </c>
      <c r="P37" s="778">
        <v>114.83999999999999</v>
      </c>
      <c r="Q37" s="778">
        <v>1515.14</v>
      </c>
      <c r="R37" s="778">
        <v>127.71</v>
      </c>
      <c r="S37" s="778">
        <v>11.55</v>
      </c>
      <c r="T37" s="778">
        <v>2452.8900000000012</v>
      </c>
      <c r="U37" s="778">
        <f t="shared" si="2"/>
        <v>23244.65</v>
      </c>
      <c r="V37" s="28"/>
      <c r="W37" s="28"/>
      <c r="X37" s="28"/>
    </row>
    <row r="38" spans="1:24" s="784" customFormat="1" ht="11.85" customHeight="1">
      <c r="A38" s="562" t="s">
        <v>570</v>
      </c>
      <c r="B38" s="797">
        <v>2008.6</v>
      </c>
      <c r="C38" s="797">
        <v>5274.9400000000005</v>
      </c>
      <c r="D38" s="797">
        <v>2954.71</v>
      </c>
      <c r="E38" s="797">
        <v>1376.98</v>
      </c>
      <c r="F38" s="797">
        <v>3749.57</v>
      </c>
      <c r="G38" s="797">
        <v>1.54</v>
      </c>
      <c r="H38" s="797">
        <v>1232.8799999999999</v>
      </c>
      <c r="I38" s="797">
        <v>744.7</v>
      </c>
      <c r="J38" s="797">
        <v>803.11</v>
      </c>
      <c r="K38" s="797">
        <v>142.22999999999999</v>
      </c>
      <c r="L38" s="797">
        <v>569.36</v>
      </c>
      <c r="M38" s="797">
        <v>0</v>
      </c>
      <c r="N38" s="797">
        <v>85.47</v>
      </c>
      <c r="O38" s="797">
        <v>1398.4299999999998</v>
      </c>
      <c r="P38" s="797">
        <v>118.91000000000001</v>
      </c>
      <c r="Q38" s="797">
        <v>1100.22</v>
      </c>
      <c r="R38" s="797">
        <v>147.07</v>
      </c>
      <c r="S38" s="797">
        <v>10.89</v>
      </c>
      <c r="T38" s="797">
        <v>2090.5500000000006</v>
      </c>
      <c r="U38" s="797">
        <f t="shared" si="2"/>
        <v>23810.160000000003</v>
      </c>
      <c r="V38" s="28"/>
      <c r="W38" s="28"/>
      <c r="X38" s="28"/>
    </row>
    <row r="39" spans="1:24" s="784" customFormat="1" ht="11.85" customHeight="1">
      <c r="A39" s="559" t="s">
        <v>562</v>
      </c>
      <c r="B39" s="778">
        <v>1978.02</v>
      </c>
      <c r="C39" s="778">
        <v>4010.49</v>
      </c>
      <c r="D39" s="778">
        <v>2894.8700000000003</v>
      </c>
      <c r="E39" s="778">
        <v>1388.75</v>
      </c>
      <c r="F39" s="778">
        <v>2951.74</v>
      </c>
      <c r="G39" s="778">
        <v>1.98</v>
      </c>
      <c r="H39" s="778">
        <v>964.26</v>
      </c>
      <c r="I39" s="778">
        <v>1044.1200000000001</v>
      </c>
      <c r="J39" s="778">
        <v>521.51</v>
      </c>
      <c r="K39" s="778">
        <v>149.82</v>
      </c>
      <c r="L39" s="778">
        <v>860.75</v>
      </c>
      <c r="M39" s="778">
        <v>0</v>
      </c>
      <c r="N39" s="778">
        <v>67.97999999999999</v>
      </c>
      <c r="O39" s="778">
        <v>1345.41</v>
      </c>
      <c r="P39" s="778">
        <v>121.22</v>
      </c>
      <c r="Q39" s="778">
        <v>1193.83</v>
      </c>
      <c r="R39" s="778">
        <v>151.14000000000001</v>
      </c>
      <c r="S39" s="778">
        <v>10.34</v>
      </c>
      <c r="T39" s="778">
        <v>2311.5400000000009</v>
      </c>
      <c r="U39" s="778">
        <f t="shared" si="2"/>
        <v>21967.77</v>
      </c>
      <c r="V39" s="28"/>
      <c r="W39" s="28"/>
      <c r="X39" s="28"/>
    </row>
    <row r="40" spans="1:24" s="784" customFormat="1" ht="11.85" customHeight="1">
      <c r="A40" s="562" t="s">
        <v>571</v>
      </c>
      <c r="B40" s="797">
        <v>2153.7314114139999</v>
      </c>
      <c r="C40" s="797">
        <v>4231.0361100843002</v>
      </c>
      <c r="D40" s="797">
        <v>2211.8471943106001</v>
      </c>
      <c r="E40" s="797">
        <v>1552.2440567457998</v>
      </c>
      <c r="F40" s="797">
        <v>3650.5789003145001</v>
      </c>
      <c r="G40" s="797">
        <v>1.2344883100000001</v>
      </c>
      <c r="H40" s="797">
        <v>1147.0750001546</v>
      </c>
      <c r="I40" s="797">
        <v>1539.0857854019998</v>
      </c>
      <c r="J40" s="797">
        <v>560.32954737760008</v>
      </c>
      <c r="K40" s="797">
        <v>110.76061179700001</v>
      </c>
      <c r="L40" s="797">
        <v>609.65006464999999</v>
      </c>
      <c r="M40" s="797">
        <v>1.6729349999999997E-2</v>
      </c>
      <c r="N40" s="797">
        <v>40.093629486899999</v>
      </c>
      <c r="O40" s="797">
        <v>1461.5486802400001</v>
      </c>
      <c r="P40" s="797">
        <v>115.38812255960001</v>
      </c>
      <c r="Q40" s="797">
        <v>1153.8796119553999</v>
      </c>
      <c r="R40" s="797">
        <v>161.72215609</v>
      </c>
      <c r="S40" s="797">
        <v>8.7467484499999983</v>
      </c>
      <c r="T40" s="797">
        <v>1794.0535088376994</v>
      </c>
      <c r="U40" s="797">
        <f t="shared" si="2"/>
        <v>22503.022357530004</v>
      </c>
      <c r="V40" s="28"/>
      <c r="W40" s="28"/>
      <c r="X40" s="28"/>
    </row>
    <row r="41" spans="1:24" s="784" customFormat="1" ht="11.85" customHeight="1">
      <c r="A41" s="559" t="s">
        <v>572</v>
      </c>
      <c r="B41" s="778">
        <v>2970.6055989093284</v>
      </c>
      <c r="C41" s="778">
        <v>4769.7407773819159</v>
      </c>
      <c r="D41" s="778">
        <v>2801.3564368715615</v>
      </c>
      <c r="E41" s="778">
        <v>1387.14019269963</v>
      </c>
      <c r="F41" s="778">
        <v>3681.8307104067562</v>
      </c>
      <c r="G41" s="778">
        <v>1.3834783482700002</v>
      </c>
      <c r="H41" s="778">
        <v>1174.32351339405</v>
      </c>
      <c r="I41" s="778">
        <v>1568.06564180858</v>
      </c>
      <c r="J41" s="778">
        <v>837.87184213235196</v>
      </c>
      <c r="K41" s="778">
        <v>119.39939718047</v>
      </c>
      <c r="L41" s="778">
        <v>865.18813623970004</v>
      </c>
      <c r="M41" s="778">
        <v>5.1121747629999992E-2</v>
      </c>
      <c r="N41" s="778">
        <v>56.4493379237</v>
      </c>
      <c r="O41" s="778">
        <v>1931.8068417050497</v>
      </c>
      <c r="P41" s="778">
        <v>150.06602250742631</v>
      </c>
      <c r="Q41" s="778">
        <v>1252.7905973421509</v>
      </c>
      <c r="R41" s="778">
        <v>170.78714742936</v>
      </c>
      <c r="S41" s="778">
        <v>14.403414244872801</v>
      </c>
      <c r="T41" s="778">
        <v>2185.1995817271977</v>
      </c>
      <c r="U41" s="778">
        <f t="shared" si="2"/>
        <v>25938.459790000001</v>
      </c>
      <c r="V41" s="28"/>
      <c r="W41" s="28"/>
      <c r="X41" s="28"/>
    </row>
    <row r="42" spans="1:24" s="784" customFormat="1" ht="11.85" customHeight="1">
      <c r="A42" s="562" t="s">
        <v>563</v>
      </c>
      <c r="B42" s="797">
        <v>3776.1518244150625</v>
      </c>
      <c r="C42" s="797">
        <v>6253.1170544778806</v>
      </c>
      <c r="D42" s="797">
        <v>2411.8331270311451</v>
      </c>
      <c r="E42" s="797">
        <v>1570.3909238269603</v>
      </c>
      <c r="F42" s="797">
        <v>4319.6944603479906</v>
      </c>
      <c r="G42" s="797">
        <v>3.0760331216599996</v>
      </c>
      <c r="H42" s="797">
        <v>1242.61738937778</v>
      </c>
      <c r="I42" s="797">
        <v>1743.0646334287599</v>
      </c>
      <c r="J42" s="797">
        <v>884.25671526311874</v>
      </c>
      <c r="K42" s="797">
        <v>144.1146680032092</v>
      </c>
      <c r="L42" s="797">
        <v>778.22191927452002</v>
      </c>
      <c r="M42" s="797">
        <v>5.1245991460000008E-2</v>
      </c>
      <c r="N42" s="797">
        <v>79.385607563127991</v>
      </c>
      <c r="O42" s="797">
        <v>2541.3979520576399</v>
      </c>
      <c r="P42" s="797">
        <v>132.81949110059162</v>
      </c>
      <c r="Q42" s="797">
        <v>1638.022196847051</v>
      </c>
      <c r="R42" s="797">
        <v>75.288695884158599</v>
      </c>
      <c r="S42" s="797">
        <v>18.246735501989601</v>
      </c>
      <c r="T42" s="797">
        <v>2328.4977264858962</v>
      </c>
      <c r="U42" s="797">
        <f t="shared" si="2"/>
        <v>29940.248400000008</v>
      </c>
      <c r="V42" s="28"/>
      <c r="W42" s="28"/>
      <c r="X42" s="28"/>
    </row>
    <row r="43" spans="1:24" s="784" customFormat="1" ht="11.85" customHeight="1">
      <c r="A43" s="564" t="s">
        <v>2681</v>
      </c>
      <c r="B43" s="778"/>
      <c r="C43" s="778"/>
      <c r="D43" s="778"/>
      <c r="E43" s="778"/>
      <c r="F43" s="778"/>
      <c r="G43" s="778"/>
      <c r="H43" s="778"/>
      <c r="I43" s="778"/>
      <c r="J43" s="778"/>
      <c r="K43" s="778"/>
      <c r="L43" s="778"/>
      <c r="M43" s="778"/>
      <c r="N43" s="778"/>
      <c r="O43" s="778"/>
      <c r="P43" s="778"/>
      <c r="Q43" s="778"/>
      <c r="R43" s="778"/>
      <c r="S43" s="778"/>
      <c r="T43" s="778"/>
      <c r="U43" s="778"/>
      <c r="V43" s="28"/>
      <c r="W43" s="28"/>
      <c r="X43" s="28"/>
    </row>
    <row r="44" spans="1:24" s="784" customFormat="1" ht="11.85" customHeight="1">
      <c r="A44" s="562" t="s">
        <v>565</v>
      </c>
      <c r="B44" s="797">
        <v>2885.1746354412353</v>
      </c>
      <c r="C44" s="797">
        <v>3923.1439925225372</v>
      </c>
      <c r="D44" s="797">
        <v>2206.9645856979432</v>
      </c>
      <c r="E44" s="797">
        <v>1372.4143918137302</v>
      </c>
      <c r="F44" s="797">
        <v>2818.0882280192832</v>
      </c>
      <c r="G44" s="797">
        <v>1.85550401592</v>
      </c>
      <c r="H44" s="797">
        <v>1050.6222957872101</v>
      </c>
      <c r="I44" s="797">
        <v>1276.3140675174602</v>
      </c>
      <c r="J44" s="797">
        <v>612.7113275065617</v>
      </c>
      <c r="K44" s="797">
        <v>142.0420888327383</v>
      </c>
      <c r="L44" s="797">
        <v>837.24652921949996</v>
      </c>
      <c r="M44" s="797">
        <v>5.6217230999999999E-3</v>
      </c>
      <c r="N44" s="797">
        <v>84.214644938364302</v>
      </c>
      <c r="O44" s="797">
        <v>1540.2179794882329</v>
      </c>
      <c r="P44" s="797">
        <v>137.86005731906431</v>
      </c>
      <c r="Q44" s="797">
        <v>1512.9774925694169</v>
      </c>
      <c r="R44" s="797">
        <v>191.26410077553001</v>
      </c>
      <c r="S44" s="797">
        <v>11.2857188748045</v>
      </c>
      <c r="T44" s="797">
        <v>1962.4456779373668</v>
      </c>
      <c r="U44" s="797">
        <f t="shared" si="2"/>
        <v>22566.848940000003</v>
      </c>
      <c r="V44" s="28"/>
      <c r="W44" s="28"/>
      <c r="X44" s="28"/>
    </row>
    <row r="45" spans="1:24" s="784" customFormat="1" ht="11.85" customHeight="1">
      <c r="A45" s="559" t="s">
        <v>566</v>
      </c>
      <c r="B45" s="778">
        <v>3190.8184331995863</v>
      </c>
      <c r="C45" s="778">
        <v>4010.2345891768027</v>
      </c>
      <c r="D45" s="778">
        <v>2051.8723893402589</v>
      </c>
      <c r="E45" s="778">
        <v>1539.2401036988299</v>
      </c>
      <c r="F45" s="778">
        <v>3484.3291789691116</v>
      </c>
      <c r="G45" s="778">
        <v>1.6397615081200001</v>
      </c>
      <c r="H45" s="778">
        <v>1037.434967177066</v>
      </c>
      <c r="I45" s="778">
        <v>1271.927199327723</v>
      </c>
      <c r="J45" s="778">
        <v>792.30249251068449</v>
      </c>
      <c r="K45" s="778">
        <v>177.36294572662001</v>
      </c>
      <c r="L45" s="778">
        <v>786.68371486335002</v>
      </c>
      <c r="M45" s="778">
        <v>4.4911403449999998E-2</v>
      </c>
      <c r="N45" s="778">
        <v>232.08724575629012</v>
      </c>
      <c r="O45" s="778">
        <v>2990.7462408962001</v>
      </c>
      <c r="P45" s="778">
        <v>179.58036229007922</v>
      </c>
      <c r="Q45" s="778">
        <v>1800.4468522772324</v>
      </c>
      <c r="R45" s="778">
        <v>156.69066726625002</v>
      </c>
      <c r="S45" s="778">
        <v>13.713087928874998</v>
      </c>
      <c r="T45" s="778">
        <v>2690.1778066834759</v>
      </c>
      <c r="U45" s="778">
        <f t="shared" si="2"/>
        <v>26407.332950000011</v>
      </c>
      <c r="V45" s="28"/>
      <c r="W45" s="28"/>
      <c r="X45" s="28"/>
    </row>
    <row r="46" spans="1:24" s="784" customFormat="1" ht="11.85" customHeight="1">
      <c r="A46" s="562" t="s">
        <v>560</v>
      </c>
      <c r="B46" s="797">
        <v>4145.995724213999</v>
      </c>
      <c r="C46" s="797">
        <v>4343.3572033008004</v>
      </c>
      <c r="D46" s="797">
        <v>2467.8140394468001</v>
      </c>
      <c r="E46" s="797">
        <v>1360.4572749179999</v>
      </c>
      <c r="F46" s="797">
        <v>4657.6552943268007</v>
      </c>
      <c r="G46" s="797">
        <v>2.6542035900000003</v>
      </c>
      <c r="H46" s="797">
        <v>1064.0426970000001</v>
      </c>
      <c r="I46" s="797">
        <v>1346.0298233267999</v>
      </c>
      <c r="J46" s="797">
        <v>1003.8859361412</v>
      </c>
      <c r="K46" s="797">
        <v>132.1957552776</v>
      </c>
      <c r="L46" s="797">
        <v>722.91517800120005</v>
      </c>
      <c r="M46" s="797">
        <v>1.2582360000000001E-2</v>
      </c>
      <c r="N46" s="797">
        <v>144.608311872</v>
      </c>
      <c r="O46" s="797">
        <v>2846.5231573127999</v>
      </c>
      <c r="P46" s="797">
        <v>214.06922040959998</v>
      </c>
      <c r="Q46" s="797">
        <v>1749.3918671628003</v>
      </c>
      <c r="R46" s="797">
        <v>140.36014560000001</v>
      </c>
      <c r="S46" s="797">
        <v>20.22951948</v>
      </c>
      <c r="T46" s="797">
        <v>2495.2820662596032</v>
      </c>
      <c r="U46" s="797">
        <f t="shared" si="2"/>
        <v>28857.480000000003</v>
      </c>
      <c r="V46" s="28"/>
      <c r="W46" s="28"/>
      <c r="X46" s="28"/>
    </row>
    <row r="47" spans="1:24" s="784" customFormat="1" ht="11.85" customHeight="1">
      <c r="A47" s="559" t="s">
        <v>567</v>
      </c>
      <c r="B47" s="778">
        <v>3807.3487662616017</v>
      </c>
      <c r="C47" s="778">
        <v>4004.3221091357273</v>
      </c>
      <c r="D47" s="778">
        <v>2374.4804536318493</v>
      </c>
      <c r="E47" s="778">
        <v>1534.7363893453644</v>
      </c>
      <c r="F47" s="778">
        <v>5975.6689648954143</v>
      </c>
      <c r="G47" s="778">
        <v>1.8838517318752999</v>
      </c>
      <c r="H47" s="778">
        <v>1054.989662048522</v>
      </c>
      <c r="I47" s="778">
        <v>1472.976312802959</v>
      </c>
      <c r="J47" s="778">
        <v>760.99982679920777</v>
      </c>
      <c r="K47" s="778">
        <v>161.10202335511909</v>
      </c>
      <c r="L47" s="778">
        <v>867.59839154119504</v>
      </c>
      <c r="M47" s="778">
        <v>0.12374744063450001</v>
      </c>
      <c r="N47" s="778">
        <v>94.301888948890621</v>
      </c>
      <c r="O47" s="778">
        <v>2347.2114241505328</v>
      </c>
      <c r="P47" s="778">
        <v>148.55908278136923</v>
      </c>
      <c r="Q47" s="778">
        <v>1637.3438916079235</v>
      </c>
      <c r="R47" s="778">
        <v>116.45875328054365</v>
      </c>
      <c r="S47" s="778">
        <v>25.516730058710401</v>
      </c>
      <c r="T47" s="778">
        <v>2354.8826649825605</v>
      </c>
      <c r="U47" s="778">
        <f t="shared" si="2"/>
        <v>28740.504934800007</v>
      </c>
      <c r="V47" s="28"/>
      <c r="W47" s="28"/>
      <c r="X47" s="28"/>
    </row>
    <row r="48" spans="1:24" s="784" customFormat="1" ht="11.85" customHeight="1">
      <c r="A48" s="562" t="s">
        <v>568</v>
      </c>
      <c r="B48" s="797">
        <v>3083.4820115398347</v>
      </c>
      <c r="C48" s="797">
        <v>3485.7025243167818</v>
      </c>
      <c r="D48" s="797">
        <v>2249.3297827482434</v>
      </c>
      <c r="E48" s="797">
        <v>1455.4141809223593</v>
      </c>
      <c r="F48" s="797">
        <v>6143.5487052118997</v>
      </c>
      <c r="G48" s="797">
        <v>3.2403499200000008</v>
      </c>
      <c r="H48" s="797">
        <v>954.49852634148942</v>
      </c>
      <c r="I48" s="797">
        <v>1138.0139167940047</v>
      </c>
      <c r="J48" s="797">
        <v>848.49596778293233</v>
      </c>
      <c r="K48" s="797">
        <v>165.24407570990542</v>
      </c>
      <c r="L48" s="797">
        <v>623.03608142462144</v>
      </c>
      <c r="M48" s="797">
        <v>0.62276748000000004</v>
      </c>
      <c r="N48" s="797">
        <v>97.221415163093823</v>
      </c>
      <c r="O48" s="797">
        <v>2304.2948598076305</v>
      </c>
      <c r="P48" s="797">
        <v>146.67095006699341</v>
      </c>
      <c r="Q48" s="797">
        <v>1281.7746877311115</v>
      </c>
      <c r="R48" s="797">
        <v>194.29350312000008</v>
      </c>
      <c r="S48" s="797">
        <v>21.925662599454892</v>
      </c>
      <c r="T48" s="797">
        <v>2203.0700313196385</v>
      </c>
      <c r="U48" s="797">
        <f t="shared" si="2"/>
        <v>26399.879999999997</v>
      </c>
      <c r="V48" s="28"/>
      <c r="W48" s="28"/>
      <c r="X48" s="28"/>
    </row>
    <row r="49" spans="1:24" s="784" customFormat="1" ht="11.85" customHeight="1">
      <c r="A49" s="559" t="s">
        <v>561</v>
      </c>
      <c r="B49" s="778">
        <v>3479.9549322831035</v>
      </c>
      <c r="C49" s="778">
        <v>4450.2311130739554</v>
      </c>
      <c r="D49" s="778">
        <v>2981.751126243943</v>
      </c>
      <c r="E49" s="778">
        <v>1579.6262306410583</v>
      </c>
      <c r="F49" s="778">
        <v>6780.4482388171236</v>
      </c>
      <c r="G49" s="778">
        <v>2.4615769199999997</v>
      </c>
      <c r="H49" s="778">
        <v>1221.8172069505604</v>
      </c>
      <c r="I49" s="778">
        <v>1806.9748062905328</v>
      </c>
      <c r="J49" s="778">
        <v>977.18060294761358</v>
      </c>
      <c r="K49" s="778">
        <v>204.21620315934024</v>
      </c>
      <c r="L49" s="778">
        <v>691.11100998095981</v>
      </c>
      <c r="M49" s="778">
        <v>0.16162499999999996</v>
      </c>
      <c r="N49" s="778">
        <v>89.677711568620538</v>
      </c>
      <c r="O49" s="778">
        <v>3095.9710949853484</v>
      </c>
      <c r="P49" s="778">
        <v>142.14168667653959</v>
      </c>
      <c r="Q49" s="778">
        <v>1332.8664369782298</v>
      </c>
      <c r="R49" s="778">
        <v>212.95971623999995</v>
      </c>
      <c r="S49" s="778">
        <v>15.521655861600005</v>
      </c>
      <c r="T49" s="778">
        <v>2600.1670253814691</v>
      </c>
      <c r="U49" s="778">
        <f t="shared" si="2"/>
        <v>31665.239999999998</v>
      </c>
      <c r="V49" s="28"/>
      <c r="W49" s="28"/>
      <c r="X49" s="28"/>
    </row>
    <row r="50" spans="1:24" s="784" customFormat="1" ht="11.85" customHeight="1">
      <c r="A50" s="562" t="s">
        <v>569</v>
      </c>
      <c r="B50" s="797">
        <v>3241.9169624554302</v>
      </c>
      <c r="C50" s="797">
        <v>2994.6938019176969</v>
      </c>
      <c r="D50" s="797">
        <v>3280.8075430599165</v>
      </c>
      <c r="E50" s="797">
        <v>1631.2064501425152</v>
      </c>
      <c r="F50" s="797">
        <v>4890.2345540516062</v>
      </c>
      <c r="G50" s="797">
        <v>2.4872894399999996</v>
      </c>
      <c r="H50" s="797">
        <v>1157.2861393138942</v>
      </c>
      <c r="I50" s="797">
        <v>1523.010872399999</v>
      </c>
      <c r="J50" s="797">
        <v>778.19054736689498</v>
      </c>
      <c r="K50" s="797">
        <v>180.85441843350969</v>
      </c>
      <c r="L50" s="797">
        <v>525.3255890400003</v>
      </c>
      <c r="M50" s="797">
        <v>2.6049480000000003E-2</v>
      </c>
      <c r="N50" s="797">
        <v>69.227640095342423</v>
      </c>
      <c r="O50" s="797">
        <v>1854.6020212001185</v>
      </c>
      <c r="P50" s="797">
        <v>152.66880616567903</v>
      </c>
      <c r="Q50" s="797">
        <v>1571.9631127328289</v>
      </c>
      <c r="R50" s="797">
        <v>187.674441</v>
      </c>
      <c r="S50" s="797">
        <v>10.670945339974073</v>
      </c>
      <c r="T50" s="797">
        <v>2169.9128163645946</v>
      </c>
      <c r="U50" s="797">
        <f t="shared" si="2"/>
        <v>26222.76</v>
      </c>
      <c r="V50" s="28"/>
      <c r="W50" s="28"/>
      <c r="X50" s="28"/>
    </row>
    <row r="51" spans="1:24" s="784" customFormat="1" ht="11.85" customHeight="1" thickBot="1">
      <c r="A51" s="1838" t="s">
        <v>570</v>
      </c>
      <c r="B51" s="1839">
        <v>4011.8560078080054</v>
      </c>
      <c r="C51" s="1839">
        <v>4086.2966753783235</v>
      </c>
      <c r="D51" s="1839">
        <v>3727.2898215441833</v>
      </c>
      <c r="E51" s="1839">
        <v>1721.5003529904759</v>
      </c>
      <c r="F51" s="1839">
        <v>5993.3315862668551</v>
      </c>
      <c r="G51" s="1839">
        <v>2.9625057480000003</v>
      </c>
      <c r="H51" s="1839">
        <v>1220.3689997751806</v>
      </c>
      <c r="I51" s="1839">
        <v>1509.3710477618288</v>
      </c>
      <c r="J51" s="1839">
        <v>959.21950161614518</v>
      </c>
      <c r="K51" s="1839">
        <v>271.60285869359063</v>
      </c>
      <c r="L51" s="1839">
        <v>686.24856920938669</v>
      </c>
      <c r="M51" s="1839">
        <v>0.11496938400000001</v>
      </c>
      <c r="N51" s="1839">
        <v>98.540423289410057</v>
      </c>
      <c r="O51" s="1839">
        <v>2243.1721043374628</v>
      </c>
      <c r="P51" s="1839">
        <v>145.36072799788093</v>
      </c>
      <c r="Q51" s="1839">
        <v>1355.7103138506977</v>
      </c>
      <c r="R51" s="1839">
        <v>271.31017680630032</v>
      </c>
      <c r="S51" s="1839">
        <v>14.478108690593881</v>
      </c>
      <c r="T51" s="1839">
        <v>2518.5952488516791</v>
      </c>
      <c r="U51" s="1839">
        <f t="shared" si="2"/>
        <v>30837.33</v>
      </c>
      <c r="V51" s="28"/>
      <c r="W51" s="28"/>
      <c r="X51" s="28"/>
    </row>
    <row r="52" spans="1:24" s="784" customFormat="1" ht="12" customHeight="1">
      <c r="A52" s="52" t="s">
        <v>733</v>
      </c>
      <c r="B52" s="9" t="s">
        <v>1338</v>
      </c>
      <c r="C52" s="176"/>
      <c r="D52" s="176"/>
      <c r="E52" s="176"/>
      <c r="F52" s="176"/>
      <c r="G52" s="176"/>
      <c r="H52" s="176"/>
      <c r="I52" s="176"/>
      <c r="J52" s="176"/>
      <c r="K52" s="655"/>
      <c r="L52" s="603"/>
      <c r="M52" s="603"/>
      <c r="N52" s="603"/>
      <c r="O52" s="603"/>
      <c r="P52" s="603"/>
      <c r="Q52" s="603"/>
      <c r="R52" s="603"/>
      <c r="S52" s="603"/>
      <c r="T52" s="603"/>
      <c r="U52" s="603"/>
      <c r="V52" s="28"/>
      <c r="W52" s="28"/>
      <c r="X52" s="28"/>
    </row>
    <row r="53" spans="1:24" s="9" customFormat="1" ht="11.1" customHeight="1">
      <c r="B53" s="63"/>
      <c r="C53" s="53"/>
      <c r="D53" s="7"/>
      <c r="E53" s="7" t="s">
        <v>2381</v>
      </c>
      <c r="F53" s="7"/>
      <c r="G53" s="7"/>
      <c r="H53" s="53"/>
      <c r="I53" s="7"/>
      <c r="J53" s="7"/>
      <c r="L53" s="156"/>
      <c r="M53" s="714"/>
      <c r="N53" s="97"/>
      <c r="O53" s="16"/>
      <c r="P53" s="176"/>
      <c r="Q53" s="176"/>
      <c r="R53" s="178"/>
      <c r="S53" s="178"/>
      <c r="T53" s="16"/>
    </row>
    <row r="54" spans="1:24" s="9" customFormat="1"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908"/>
    </row>
    <row r="55" spans="1:24" s="9" customFormat="1">
      <c r="A55" s="160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"/>
      <c r="R55" s="160"/>
      <c r="S55" s="160"/>
      <c r="T55" s="160"/>
      <c r="U55" s="160"/>
      <c r="V55" s="160"/>
      <c r="X55" s="160"/>
    </row>
    <row r="56" spans="1:24" s="9" customFormat="1">
      <c r="A56" s="160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"/>
      <c r="R56" s="160"/>
      <c r="S56" s="160"/>
      <c r="T56" s="160"/>
      <c r="U56" s="160"/>
      <c r="V56" s="160"/>
      <c r="X56" s="160"/>
    </row>
    <row r="57" spans="1:24" s="9" customFormat="1">
      <c r="A57" s="160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"/>
      <c r="R57" s="160"/>
      <c r="S57" s="160"/>
      <c r="T57" s="160"/>
      <c r="U57" s="160"/>
      <c r="V57" s="160"/>
      <c r="X57" s="160"/>
    </row>
    <row r="58" spans="1:24" s="9" customFormat="1">
      <c r="A58" s="160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"/>
      <c r="R58" s="160"/>
      <c r="S58" s="160"/>
      <c r="T58" s="160"/>
      <c r="U58" s="160"/>
      <c r="V58" s="160"/>
    </row>
    <row r="59" spans="1:24" s="9" customFormat="1">
      <c r="A59" s="160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"/>
      <c r="R59" s="160"/>
      <c r="S59" s="160"/>
      <c r="T59" s="160"/>
      <c r="U59" s="160"/>
      <c r="V59" s="160"/>
    </row>
    <row r="60" spans="1:24" s="9" customFormat="1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"/>
      <c r="V60" s="160"/>
      <c r="W60" s="144"/>
      <c r="X60" s="144"/>
    </row>
    <row r="61" spans="1:24" s="9" customFormat="1"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"/>
      <c r="V61" s="144"/>
      <c r="W61" s="144"/>
      <c r="X61" s="144"/>
    </row>
    <row r="62" spans="1:24" s="9" customFormat="1"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"/>
      <c r="V62" s="144"/>
      <c r="W62" s="144"/>
      <c r="X62" s="144"/>
    </row>
    <row r="63" spans="1:24" s="9" customFormat="1"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"/>
      <c r="V63" s="144"/>
      <c r="W63" s="160"/>
    </row>
    <row r="64" spans="1:24" s="9" customFormat="1"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245"/>
      <c r="V64" s="144"/>
      <c r="W64" s="160"/>
    </row>
    <row r="65" spans="1:25" s="9" customFormat="1"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245"/>
      <c r="V65" s="144"/>
      <c r="W65" s="160"/>
    </row>
    <row r="66" spans="1:25" s="162" customFormat="1">
      <c r="A66" s="8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245"/>
      <c r="V66" s="144"/>
      <c r="W66" s="160"/>
      <c r="X66" s="160"/>
      <c r="Y66" s="160"/>
    </row>
    <row r="67" spans="1:25" s="9" customFormat="1">
      <c r="A67" s="8"/>
      <c r="B67" s="160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245"/>
      <c r="V67" s="160"/>
      <c r="W67" s="160"/>
    </row>
    <row r="68" spans="1:25" s="9" customFormat="1">
      <c r="A68" s="8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245"/>
      <c r="V68" s="160"/>
    </row>
    <row r="69" spans="1:25" s="9" customFormat="1">
      <c r="A69" s="162"/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</row>
    <row r="70" spans="1:25" s="9" customFormat="1">
      <c r="A70" s="162"/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</row>
    <row r="71" spans="1:25" s="9" customFormat="1">
      <c r="A71" s="8"/>
      <c r="B71" s="160"/>
      <c r="C71" s="160"/>
      <c r="D71" s="160"/>
      <c r="E71" s="160"/>
      <c r="F71" s="160"/>
      <c r="G71" s="160"/>
      <c r="H71" s="160"/>
      <c r="I71" s="160"/>
      <c r="N71" s="160"/>
      <c r="O71" s="160"/>
      <c r="P71" s="160"/>
      <c r="Q71" s="160"/>
      <c r="R71" s="160"/>
      <c r="S71" s="160"/>
      <c r="T71" s="160"/>
    </row>
    <row r="72" spans="1:25" s="9" customFormat="1"/>
    <row r="73" spans="1:25" s="9" customFormat="1">
      <c r="J73" s="160"/>
      <c r="K73" s="160"/>
      <c r="L73" s="160"/>
      <c r="M73" s="160"/>
    </row>
    <row r="74" spans="1:25" s="9" customFormat="1">
      <c r="J74" s="160"/>
      <c r="K74" s="160"/>
      <c r="L74" s="160"/>
      <c r="M74" s="160"/>
    </row>
    <row r="75" spans="1:25" s="9" customFormat="1">
      <c r="J75" s="160"/>
      <c r="K75" s="160"/>
      <c r="L75" s="160"/>
      <c r="M75" s="160"/>
    </row>
    <row r="76" spans="1:25" s="9" customFormat="1">
      <c r="J76" s="160"/>
      <c r="K76" s="160"/>
      <c r="L76" s="160"/>
      <c r="M76" s="160"/>
    </row>
    <row r="77" spans="1:25" s="9" customFormat="1">
      <c r="J77" s="160"/>
      <c r="K77" s="160"/>
      <c r="L77" s="160"/>
      <c r="M77" s="160"/>
    </row>
    <row r="78" spans="1:25" s="9" customFormat="1">
      <c r="J78" s="160"/>
      <c r="K78" s="160"/>
      <c r="L78" s="160"/>
      <c r="M78" s="160"/>
    </row>
    <row r="79" spans="1:25" s="9" customFormat="1">
      <c r="J79" s="160"/>
      <c r="K79" s="160"/>
      <c r="L79" s="160"/>
      <c r="M79" s="160"/>
    </row>
    <row r="80" spans="1:25" s="9" customFormat="1">
      <c r="J80" s="160"/>
      <c r="K80" s="160"/>
      <c r="L80" s="160"/>
      <c r="M80" s="160"/>
    </row>
    <row r="81" spans="7:13" s="9" customFormat="1">
      <c r="G81" s="160"/>
      <c r="H81" s="160"/>
      <c r="I81" s="160"/>
      <c r="J81" s="160"/>
      <c r="K81" s="160"/>
      <c r="L81" s="160"/>
      <c r="M81" s="160"/>
    </row>
    <row r="82" spans="7:13" s="9" customFormat="1">
      <c r="G82" s="160"/>
      <c r="H82" s="160"/>
      <c r="I82" s="160"/>
      <c r="J82" s="160"/>
      <c r="K82" s="160"/>
      <c r="L82" s="160"/>
      <c r="M82" s="160"/>
    </row>
    <row r="83" spans="7:13" s="9" customFormat="1">
      <c r="G83" s="160"/>
      <c r="H83" s="160"/>
      <c r="I83" s="160"/>
      <c r="J83" s="160"/>
      <c r="K83" s="160"/>
      <c r="L83" s="160"/>
      <c r="M83" s="160"/>
    </row>
    <row r="84" spans="7:13" s="9" customFormat="1">
      <c r="G84" s="160"/>
      <c r="H84" s="160"/>
      <c r="I84" s="160"/>
      <c r="J84" s="160"/>
    </row>
    <row r="85" spans="7:13" s="9" customFormat="1">
      <c r="G85" s="160"/>
      <c r="H85" s="160"/>
      <c r="I85" s="160"/>
      <c r="J85" s="160"/>
    </row>
    <row r="86" spans="7:13" s="9" customFormat="1">
      <c r="G86" s="160"/>
      <c r="H86" s="160"/>
      <c r="I86" s="160"/>
      <c r="J86" s="160"/>
    </row>
    <row r="87" spans="7:13" s="9" customFormat="1">
      <c r="G87" s="160"/>
      <c r="H87" s="160"/>
      <c r="I87" s="160"/>
      <c r="J87" s="160"/>
    </row>
    <row r="88" spans="7:13" s="9" customFormat="1">
      <c r="G88" s="160"/>
      <c r="H88" s="160"/>
      <c r="I88" s="160"/>
      <c r="J88" s="160"/>
    </row>
    <row r="89" spans="7:13" s="9" customFormat="1">
      <c r="G89" s="160"/>
      <c r="H89" s="160"/>
      <c r="I89" s="160"/>
      <c r="J89" s="160"/>
    </row>
    <row r="90" spans="7:13" s="9" customFormat="1">
      <c r="G90" s="160"/>
      <c r="H90" s="160"/>
      <c r="I90" s="160"/>
      <c r="J90" s="160"/>
    </row>
    <row r="91" spans="7:13" s="9" customFormat="1">
      <c r="G91" s="160"/>
      <c r="H91" s="160"/>
      <c r="I91" s="160"/>
      <c r="J91" s="160"/>
    </row>
    <row r="92" spans="7:13" s="9" customFormat="1">
      <c r="G92" s="160"/>
      <c r="H92" s="160"/>
      <c r="I92" s="160"/>
      <c r="J92" s="160"/>
    </row>
    <row r="93" spans="7:13" s="9" customFormat="1">
      <c r="G93" s="160"/>
      <c r="H93" s="160"/>
      <c r="I93" s="160"/>
      <c r="J93" s="160"/>
    </row>
    <row r="94" spans="7:13" s="9" customFormat="1"/>
    <row r="95" spans="7:13" s="9" customFormat="1"/>
    <row r="96" spans="7:13" s="9" customFormat="1">
      <c r="G96" s="160"/>
      <c r="H96" s="160"/>
      <c r="I96" s="160"/>
      <c r="J96" s="160"/>
    </row>
    <row r="97" spans="7:10" s="9" customFormat="1">
      <c r="G97" s="160"/>
      <c r="H97" s="160"/>
      <c r="I97" s="160"/>
      <c r="J97" s="160"/>
    </row>
    <row r="98" spans="7:10" s="9" customFormat="1">
      <c r="G98" s="160"/>
      <c r="H98" s="160"/>
      <c r="I98" s="160"/>
      <c r="J98" s="160"/>
    </row>
    <row r="99" spans="7:10" s="9" customFormat="1">
      <c r="G99" s="160"/>
      <c r="H99" s="160"/>
      <c r="I99" s="160"/>
      <c r="J99" s="160"/>
    </row>
    <row r="100" spans="7:10" s="9" customFormat="1">
      <c r="G100" s="160"/>
      <c r="H100" s="160"/>
      <c r="I100" s="160"/>
      <c r="J100" s="160"/>
    </row>
    <row r="101" spans="7:10" s="9" customFormat="1">
      <c r="G101" s="160"/>
      <c r="H101" s="160"/>
      <c r="I101" s="160"/>
      <c r="J101" s="160"/>
    </row>
    <row r="102" spans="7:10" s="9" customFormat="1">
      <c r="G102" s="160"/>
      <c r="H102" s="160"/>
      <c r="I102" s="160"/>
      <c r="J102" s="160"/>
    </row>
    <row r="103" spans="7:10" s="9" customFormat="1">
      <c r="G103" s="160"/>
      <c r="H103" s="160"/>
      <c r="I103" s="160"/>
      <c r="J103" s="160"/>
    </row>
    <row r="104" spans="7:10" s="9" customFormat="1">
      <c r="G104" s="160"/>
      <c r="H104" s="160"/>
      <c r="I104" s="160"/>
      <c r="J104" s="160"/>
    </row>
    <row r="105" spans="7:10" s="9" customFormat="1">
      <c r="G105" s="160"/>
      <c r="H105" s="160"/>
      <c r="I105" s="160"/>
      <c r="J105" s="160"/>
    </row>
    <row r="106" spans="7:10" s="9" customFormat="1">
      <c r="G106" s="160"/>
      <c r="H106" s="160"/>
      <c r="I106" s="160"/>
      <c r="J106" s="160"/>
    </row>
    <row r="107" spans="7:10" s="9" customFormat="1"/>
    <row r="108" spans="7:10" s="9" customFormat="1"/>
    <row r="109" spans="7:10" s="9" customFormat="1"/>
    <row r="110" spans="7:10" s="9" customFormat="1"/>
    <row r="111" spans="7:10" s="9" customFormat="1"/>
    <row r="112" spans="7:10" s="9" customFormat="1"/>
    <row r="113" s="9" customFormat="1"/>
    <row r="114" s="9" customFormat="1"/>
    <row r="115" s="9" customFormat="1"/>
    <row r="116" s="9" customFormat="1"/>
    <row r="117" s="9" customFormat="1"/>
    <row r="118" s="9" customFormat="1"/>
    <row r="119" s="9" customFormat="1"/>
    <row r="120" s="9" customFormat="1"/>
    <row r="121" s="9" customFormat="1"/>
    <row r="122" s="9" customFormat="1"/>
    <row r="123" s="9" customFormat="1"/>
    <row r="124" s="9" customFormat="1"/>
    <row r="125" s="9" customFormat="1"/>
    <row r="126" s="9" customFormat="1"/>
    <row r="127" s="9" customFormat="1"/>
    <row r="128" s="9" customFormat="1"/>
    <row r="129" s="9" customFormat="1"/>
    <row r="130" s="9" customFormat="1"/>
    <row r="131" s="9" customFormat="1"/>
    <row r="132" s="9" customFormat="1"/>
    <row r="133" s="9" customFormat="1"/>
    <row r="134" s="9" customFormat="1"/>
    <row r="135" s="9" customFormat="1"/>
    <row r="136" s="9" customFormat="1"/>
    <row r="137" s="9" customFormat="1"/>
    <row r="138" s="9" customFormat="1"/>
    <row r="139" s="9" customFormat="1"/>
    <row r="140" s="9" customFormat="1"/>
    <row r="141" s="9" customFormat="1"/>
    <row r="142" s="9" customFormat="1"/>
    <row r="143" s="9" customFormat="1"/>
    <row r="144" s="9" customFormat="1"/>
    <row r="145" s="9" customFormat="1"/>
    <row r="146" s="9" customFormat="1"/>
    <row r="147" s="9" customFormat="1"/>
    <row r="148" s="9" customFormat="1"/>
    <row r="149" s="9" customFormat="1"/>
    <row r="150" s="9" customFormat="1"/>
    <row r="151" s="9" customFormat="1"/>
    <row r="152" s="9" customFormat="1"/>
    <row r="153" s="9" customFormat="1"/>
    <row r="154" s="9" customFormat="1"/>
    <row r="155" s="9" customFormat="1"/>
    <row r="156" s="9" customFormat="1"/>
    <row r="157" s="9" customFormat="1"/>
    <row r="158" s="9" customFormat="1"/>
    <row r="159" s="9" customFormat="1"/>
    <row r="160" s="9" customFormat="1"/>
    <row r="161" s="9" customFormat="1"/>
    <row r="162" s="9" customFormat="1"/>
    <row r="163" s="9" customFormat="1"/>
    <row r="164" s="9" customFormat="1"/>
    <row r="165" s="9" customFormat="1"/>
    <row r="166" s="9" customFormat="1"/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="9" customFormat="1"/>
    <row r="226" s="9" customFormat="1"/>
    <row r="227" s="9" customFormat="1"/>
    <row r="228" s="9" customFormat="1"/>
    <row r="229" s="9" customFormat="1"/>
    <row r="230" s="9" customFormat="1"/>
    <row r="231" s="9" customFormat="1"/>
    <row r="232" s="9" customFormat="1"/>
    <row r="233" s="9" customFormat="1"/>
    <row r="234" s="9" customFormat="1"/>
    <row r="235" s="9" customFormat="1"/>
    <row r="236" s="9" customFormat="1"/>
    <row r="237" s="9" customFormat="1"/>
    <row r="238" s="9" customFormat="1"/>
    <row r="239" s="9" customFormat="1"/>
    <row r="240" s="9" customFormat="1"/>
    <row r="241" s="9" customFormat="1"/>
    <row r="242" s="9" customFormat="1"/>
    <row r="243" s="9" customFormat="1"/>
    <row r="244" s="9" customFormat="1"/>
    <row r="245" s="9" customFormat="1"/>
    <row r="246" s="9" customFormat="1"/>
    <row r="247" s="9" customFormat="1"/>
    <row r="248" s="9" customFormat="1"/>
    <row r="249" s="9" customFormat="1"/>
    <row r="250" s="9" customFormat="1"/>
    <row r="251" s="9" customFormat="1"/>
    <row r="252" s="9" customFormat="1"/>
    <row r="253" s="9" customFormat="1"/>
    <row r="254" s="9" customFormat="1"/>
    <row r="255" s="9" customFormat="1"/>
    <row r="256" s="9" customFormat="1"/>
    <row r="257" s="9" customFormat="1"/>
    <row r="258" s="9" customFormat="1"/>
    <row r="259" s="9" customFormat="1"/>
    <row r="260" s="9" customFormat="1"/>
    <row r="261" s="9" customFormat="1"/>
    <row r="262" s="9" customFormat="1"/>
    <row r="263" s="9" customFormat="1"/>
    <row r="264" s="9" customFormat="1"/>
    <row r="265" s="9" customFormat="1"/>
    <row r="266" s="9" customFormat="1"/>
    <row r="267" s="9" customFormat="1"/>
    <row r="268" s="9" customFormat="1"/>
    <row r="269" s="9" customFormat="1"/>
    <row r="270" s="9" customFormat="1"/>
    <row r="271" s="9" customFormat="1"/>
    <row r="272" s="9" customFormat="1"/>
    <row r="273" s="9" customFormat="1"/>
    <row r="274" s="9" customFormat="1"/>
    <row r="275" s="9" customFormat="1"/>
    <row r="276" s="9" customFormat="1"/>
    <row r="277" s="9" customFormat="1"/>
    <row r="278" s="9" customFormat="1"/>
    <row r="279" s="9" customFormat="1"/>
    <row r="280" s="9" customFormat="1"/>
    <row r="281" s="9" customFormat="1"/>
    <row r="282" s="9" customFormat="1"/>
    <row r="283" s="9" customFormat="1"/>
    <row r="284" s="9" customFormat="1"/>
    <row r="285" s="9" customFormat="1"/>
    <row r="286" s="9" customFormat="1"/>
    <row r="287" s="9" customFormat="1"/>
    <row r="288" s="9" customFormat="1"/>
    <row r="289" s="9" customFormat="1"/>
    <row r="290" s="9" customFormat="1"/>
    <row r="291" s="9" customFormat="1"/>
    <row r="292" s="9" customFormat="1"/>
    <row r="293" s="9" customFormat="1"/>
    <row r="294" s="9" customFormat="1"/>
    <row r="295" s="9" customFormat="1"/>
    <row r="296" s="9" customFormat="1"/>
    <row r="297" s="9" customFormat="1"/>
    <row r="298" s="9" customFormat="1"/>
    <row r="299" s="9" customFormat="1"/>
    <row r="300" s="9" customFormat="1"/>
    <row r="301" s="9" customFormat="1"/>
    <row r="302" s="9" customFormat="1"/>
    <row r="303" s="9" customFormat="1"/>
    <row r="304" s="9" customFormat="1"/>
    <row r="305" s="9" customFormat="1"/>
    <row r="306" s="9" customFormat="1"/>
    <row r="307" s="9" customFormat="1"/>
    <row r="308" s="9" customFormat="1"/>
    <row r="309" s="9" customFormat="1"/>
    <row r="310" s="9" customFormat="1"/>
    <row r="311" s="9" customFormat="1"/>
    <row r="312" s="9" customFormat="1"/>
    <row r="313" s="9" customFormat="1"/>
    <row r="314" s="9" customFormat="1"/>
    <row r="315" s="9" customFormat="1"/>
    <row r="316" s="9" customFormat="1"/>
    <row r="317" s="9" customFormat="1"/>
    <row r="318" s="9" customFormat="1"/>
    <row r="319" s="9" customFormat="1"/>
    <row r="320" s="9" customFormat="1"/>
    <row r="321" s="9" customFormat="1"/>
    <row r="322" s="9" customFormat="1"/>
    <row r="323" s="9" customFormat="1"/>
    <row r="324" s="9" customFormat="1"/>
    <row r="325" s="9" customFormat="1"/>
    <row r="326" s="9" customFormat="1"/>
    <row r="327" s="9" customFormat="1"/>
    <row r="328" s="9" customFormat="1"/>
    <row r="329" s="9" customFormat="1"/>
    <row r="330" s="9" customFormat="1"/>
    <row r="331" s="9" customFormat="1"/>
    <row r="332" s="9" customFormat="1"/>
    <row r="333" s="9" customFormat="1"/>
    <row r="334" s="9" customFormat="1"/>
    <row r="335" s="9" customFormat="1"/>
    <row r="336" s="9" customFormat="1"/>
    <row r="337" s="9" customFormat="1"/>
    <row r="338" s="9" customFormat="1"/>
    <row r="339" s="9" customFormat="1"/>
    <row r="340" s="9" customFormat="1"/>
    <row r="341" s="9" customFormat="1"/>
    <row r="342" s="9" customFormat="1"/>
    <row r="343" s="9" customFormat="1"/>
    <row r="344" s="9" customFormat="1"/>
    <row r="345" s="9" customFormat="1"/>
    <row r="346" s="9" customFormat="1"/>
    <row r="347" s="9" customFormat="1"/>
    <row r="348" s="9" customFormat="1"/>
    <row r="349" s="9" customFormat="1"/>
    <row r="350" s="9" customFormat="1"/>
    <row r="351" s="9" customFormat="1"/>
    <row r="352" s="9" customFormat="1"/>
    <row r="353" spans="1:21" s="9" customFormat="1"/>
    <row r="354" spans="1:21" s="9" customFormat="1"/>
    <row r="355" spans="1:21" s="9" customFormat="1"/>
    <row r="356" spans="1:21" s="9" customFormat="1"/>
    <row r="357" spans="1:21" s="9" customFormat="1"/>
    <row r="358" spans="1:21" s="9" customFormat="1"/>
    <row r="359" spans="1:21" s="9" customFormat="1"/>
    <row r="360" spans="1:21" s="9" customFormat="1"/>
    <row r="361" spans="1:21" s="9" customFormat="1"/>
    <row r="362" spans="1:21" s="9" customFormat="1"/>
    <row r="363" spans="1:21" s="9" customFormat="1"/>
    <row r="364" spans="1:21" s="9" customFormat="1"/>
    <row r="365" spans="1:21" s="9" customFormat="1"/>
    <row r="366" spans="1:21" s="9" customFormat="1"/>
    <row r="367" spans="1:2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</row>
  </sheetData>
  <customSheetViews>
    <customSheetView guid="{A374FC54-96E3-45F0-9C12-8450400C12DF}" scale="140">
      <pane xSplit="1" ySplit="3" topLeftCell="F35" activePane="bottomRight" state="frozen"/>
      <selection pane="bottomRight" activeCell="O48" sqref="O48"/>
      <pageMargins left="0.55118110236220497" right="0.511811023622047" top="0.511811023622047" bottom="0.27559055118110198" header="0" footer="0.143700787"/>
      <pageSetup paperSize="132" firstPageNumber="84" orientation="portrait" useFirstPageNumber="1" r:id="rId1"/>
      <headerFooter>
        <oddFooter>&amp;C&amp;"Times New Roman,Regular"&amp;8&amp;P</oddFooter>
      </headerFooter>
    </customSheetView>
  </customSheetViews>
  <mergeCells count="3">
    <mergeCell ref="T1:U1"/>
    <mergeCell ref="T2:U2"/>
    <mergeCell ref="A1:J1"/>
  </mergeCells>
  <phoneticPr fontId="43" type="noConversion"/>
  <pageMargins left="0.55118110236220497" right="0.511811023622047" top="0.511811023622047" bottom="0.27559055118110198" header="0" footer="0.143700787"/>
  <pageSetup paperSize="448" firstPageNumber="88" orientation="portrait" useFirstPageNumber="1" r:id="rId2"/>
  <headerFooter>
    <oddFooter>&amp;C&amp;"Times New Roman,Regular"&amp;8&amp;P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BW60"/>
  <sheetViews>
    <sheetView zoomScale="160" zoomScaleNormal="160" workbookViewId="0">
      <pane xSplit="1" ySplit="6" topLeftCell="B44" activePane="bottomRight" state="frozen"/>
      <selection activeCell="L47" sqref="L47"/>
      <selection pane="topRight" activeCell="L47" sqref="L47"/>
      <selection pane="bottomLeft" activeCell="L47" sqref="L47"/>
      <selection pane="bottomRight" activeCell="F61" sqref="F61"/>
    </sheetView>
  </sheetViews>
  <sheetFormatPr defaultColWidth="9.140625" defaultRowHeight="11.25"/>
  <cols>
    <col min="1" max="1" width="9.28515625" style="42" customWidth="1"/>
    <col min="2" max="2" width="9.85546875" style="9" customWidth="1"/>
    <col min="3" max="3" width="9.7109375" style="9" customWidth="1"/>
    <col min="4" max="4" width="10.140625" style="9" customWidth="1"/>
    <col min="5" max="5" width="11" style="9" customWidth="1"/>
    <col min="6" max="6" width="11.28515625" style="9" customWidth="1"/>
    <col min="7" max="7" width="11.85546875" style="9" customWidth="1"/>
    <col min="8" max="8" width="9.85546875" style="9" customWidth="1"/>
    <col min="9" max="9" width="9.5703125" style="9" customWidth="1"/>
    <col min="10" max="10" width="9.28515625" style="9" customWidth="1"/>
    <col min="11" max="11" width="9.7109375" style="9" customWidth="1"/>
    <col min="12" max="12" width="9.42578125" style="9" customWidth="1"/>
    <col min="13" max="13" width="8" style="9" customWidth="1"/>
    <col min="14" max="14" width="8.7109375" style="9" customWidth="1"/>
    <col min="15" max="15" width="7.5703125" style="9" customWidth="1"/>
    <col min="16" max="16" width="11.42578125" style="42" customWidth="1"/>
    <col min="17" max="17" width="10.7109375" style="9" customWidth="1"/>
    <col min="18" max="18" width="10.5703125" style="9" customWidth="1"/>
    <col min="19" max="19" width="10.7109375" style="9" customWidth="1"/>
    <col min="20" max="20" width="10.85546875" style="9" customWidth="1"/>
    <col min="21" max="21" width="10.5703125" style="9" customWidth="1"/>
    <col min="22" max="22" width="10.7109375" style="9" customWidth="1"/>
    <col min="23" max="23" width="9.85546875" style="9" customWidth="1"/>
    <col min="24" max="24" width="9.140625" style="9" customWidth="1"/>
    <col min="25" max="25" width="9.42578125" style="9" customWidth="1"/>
    <col min="26" max="26" width="9" style="9" customWidth="1"/>
    <col min="27" max="27" width="9.42578125" style="9" customWidth="1"/>
    <col min="28" max="29" width="9.7109375" style="9" customWidth="1"/>
    <col min="30" max="30" width="9.42578125" style="9" customWidth="1"/>
    <col min="31" max="31" width="10.42578125" style="42" customWidth="1"/>
    <col min="32" max="32" width="10.7109375" style="9" customWidth="1"/>
    <col min="33" max="34" width="10.85546875" style="9" customWidth="1"/>
    <col min="35" max="35" width="11.140625" style="9" customWidth="1"/>
    <col min="36" max="36" width="11.42578125" style="9" customWidth="1"/>
    <col min="37" max="37" width="9" style="9" customWidth="1"/>
    <col min="38" max="38" width="9.7109375" style="9" customWidth="1"/>
    <col min="39" max="39" width="9.5703125" style="9" customWidth="1"/>
    <col min="40" max="40" width="9.28515625" style="9" customWidth="1"/>
    <col min="41" max="41" width="9.42578125" style="9" customWidth="1"/>
    <col min="42" max="42" width="9.140625" style="9" customWidth="1"/>
    <col min="43" max="43" width="9.28515625" style="9" customWidth="1"/>
    <col min="44" max="44" width="10" style="9" customWidth="1"/>
    <col min="45" max="45" width="9.140625" style="9" customWidth="1"/>
    <col min="46" max="46" width="10.7109375" style="42" customWidth="1"/>
    <col min="47" max="47" width="10.85546875" style="9" customWidth="1"/>
    <col min="48" max="48" width="10.5703125" style="9" customWidth="1"/>
    <col min="49" max="49" width="10.28515625" style="9" customWidth="1"/>
    <col min="50" max="50" width="10.5703125" style="9" customWidth="1"/>
    <col min="51" max="51" width="11" style="9" customWidth="1"/>
    <col min="52" max="52" width="11.42578125" style="9" customWidth="1"/>
    <col min="53" max="53" width="9.85546875" style="9" customWidth="1"/>
    <col min="54" max="54" width="9.28515625" style="9" customWidth="1"/>
    <col min="55" max="55" width="9.85546875" style="9" customWidth="1"/>
    <col min="56" max="56" width="9.140625" style="9" customWidth="1"/>
    <col min="57" max="57" width="9.7109375" style="9" customWidth="1"/>
    <col min="58" max="58" width="8.7109375" style="9" customWidth="1"/>
    <col min="59" max="59" width="9" style="9" customWidth="1"/>
    <col min="60" max="60" width="9.28515625" style="9" customWidth="1"/>
    <col min="61" max="61" width="10" style="42" customWidth="1"/>
    <col min="62" max="62" width="10.28515625" style="9" customWidth="1"/>
    <col min="63" max="63" width="10.42578125" style="9" customWidth="1"/>
    <col min="64" max="64" width="10.140625" style="9" customWidth="1"/>
    <col min="65" max="65" width="11" style="9" customWidth="1"/>
    <col min="66" max="66" width="10.7109375" style="9" customWidth="1"/>
    <col min="67" max="67" width="11.42578125" style="9" customWidth="1"/>
    <col min="68" max="68" width="10" style="9" customWidth="1"/>
    <col min="69" max="69" width="9.42578125" style="9" customWidth="1"/>
    <col min="70" max="70" width="9" style="9" customWidth="1"/>
    <col min="71" max="71" width="9.7109375" style="9" customWidth="1"/>
    <col min="72" max="72" width="9.28515625" style="9" customWidth="1"/>
    <col min="73" max="73" width="9.42578125" style="9" customWidth="1"/>
    <col min="74" max="74" width="9.5703125" style="9" customWidth="1"/>
    <col min="75" max="75" width="9.140625" style="9" customWidth="1"/>
    <col min="76" max="16384" width="9.140625" style="9"/>
  </cols>
  <sheetData>
    <row r="1" spans="1:75" s="118" customFormat="1" ht="14.25" customHeight="1">
      <c r="C1" s="51"/>
      <c r="D1" s="51"/>
      <c r="F1" s="2238" t="s">
        <v>324</v>
      </c>
      <c r="G1" s="2238"/>
      <c r="H1" s="129" t="s">
        <v>322</v>
      </c>
      <c r="M1" s="2238" t="s">
        <v>1114</v>
      </c>
      <c r="N1" s="2238"/>
      <c r="O1" s="2238"/>
      <c r="U1" s="2238" t="s">
        <v>324</v>
      </c>
      <c r="V1" s="2238"/>
      <c r="W1" s="129" t="s">
        <v>322</v>
      </c>
      <c r="AB1" s="2238" t="s">
        <v>1114</v>
      </c>
      <c r="AC1" s="2238"/>
      <c r="AD1" s="2238"/>
      <c r="AJ1" s="2238" t="s">
        <v>324</v>
      </c>
      <c r="AK1" s="2238"/>
      <c r="AL1" s="129" t="s">
        <v>322</v>
      </c>
      <c r="AQ1" s="2238" t="s">
        <v>1114</v>
      </c>
      <c r="AR1" s="2238"/>
      <c r="AS1" s="2238"/>
      <c r="AY1" s="2238" t="s">
        <v>324</v>
      </c>
      <c r="AZ1" s="2238"/>
      <c r="BA1" s="129" t="s">
        <v>322</v>
      </c>
      <c r="BF1" s="2238" t="s">
        <v>1114</v>
      </c>
      <c r="BG1" s="2238"/>
      <c r="BH1" s="2238"/>
      <c r="BN1" s="2238" t="s">
        <v>324</v>
      </c>
      <c r="BO1" s="2238"/>
      <c r="BP1" s="129" t="s">
        <v>322</v>
      </c>
      <c r="BU1" s="2238" t="s">
        <v>1115</v>
      </c>
      <c r="BV1" s="2238"/>
      <c r="BW1" s="2238"/>
    </row>
    <row r="2" spans="1:75" s="59" customFormat="1" ht="12.75" customHeight="1">
      <c r="G2" s="1520" t="s">
        <v>321</v>
      </c>
      <c r="H2" s="978" t="s">
        <v>323</v>
      </c>
      <c r="I2" s="74"/>
      <c r="J2" s="74"/>
      <c r="K2" s="74"/>
      <c r="L2" s="74"/>
      <c r="M2" s="74"/>
      <c r="P2" s="74"/>
      <c r="Q2" s="74"/>
      <c r="R2" s="74"/>
      <c r="S2" s="74"/>
      <c r="T2" s="74"/>
      <c r="V2" s="1520" t="s">
        <v>321</v>
      </c>
      <c r="W2" s="978" t="s">
        <v>323</v>
      </c>
      <c r="AC2" s="2493"/>
      <c r="AD2" s="2493"/>
      <c r="AK2" s="1520" t="s">
        <v>321</v>
      </c>
      <c r="AL2" s="978" t="s">
        <v>323</v>
      </c>
      <c r="AZ2" s="1520" t="s">
        <v>321</v>
      </c>
      <c r="BA2" s="978" t="s">
        <v>323</v>
      </c>
      <c r="BO2" s="1520" t="s">
        <v>321</v>
      </c>
      <c r="BP2" s="978" t="s">
        <v>323</v>
      </c>
    </row>
    <row r="3" spans="1:75" s="81" customFormat="1" ht="11.25" customHeight="1">
      <c r="A3" s="2263" t="s">
        <v>487</v>
      </c>
      <c r="B3" s="2263" t="s">
        <v>618</v>
      </c>
      <c r="C3" s="2263"/>
      <c r="D3" s="2263" t="s">
        <v>520</v>
      </c>
      <c r="E3" s="2263"/>
      <c r="F3" s="2263" t="s">
        <v>521</v>
      </c>
      <c r="G3" s="2263"/>
      <c r="H3" s="2263" t="s">
        <v>522</v>
      </c>
      <c r="I3" s="2263"/>
      <c r="J3" s="2263" t="s">
        <v>56</v>
      </c>
      <c r="K3" s="2263"/>
      <c r="L3" s="2263" t="s">
        <v>523</v>
      </c>
      <c r="M3" s="2263"/>
      <c r="N3" s="2263" t="s">
        <v>1378</v>
      </c>
      <c r="O3" s="2263"/>
      <c r="P3" s="2263" t="s">
        <v>487</v>
      </c>
      <c r="Q3" s="2061" t="s">
        <v>58</v>
      </c>
      <c r="R3" s="2061"/>
      <c r="S3" s="2263" t="s">
        <v>524</v>
      </c>
      <c r="T3" s="2263"/>
      <c r="U3" s="2263" t="s">
        <v>525</v>
      </c>
      <c r="V3" s="2263"/>
      <c r="W3" s="2263" t="s">
        <v>242</v>
      </c>
      <c r="X3" s="2263"/>
      <c r="Y3" s="2263" t="s">
        <v>59</v>
      </c>
      <c r="Z3" s="2263"/>
      <c r="AA3" s="2263" t="s">
        <v>526</v>
      </c>
      <c r="AB3" s="2263"/>
      <c r="AC3" s="2263" t="s">
        <v>619</v>
      </c>
      <c r="AD3" s="2263"/>
      <c r="AE3" s="2263" t="s">
        <v>487</v>
      </c>
      <c r="AF3" s="2263" t="s">
        <v>243</v>
      </c>
      <c r="AG3" s="2263"/>
      <c r="AH3" s="2263" t="s">
        <v>527</v>
      </c>
      <c r="AI3" s="2263"/>
      <c r="AJ3" s="2263" t="s">
        <v>528</v>
      </c>
      <c r="AK3" s="2263"/>
      <c r="AL3" s="2263" t="s">
        <v>529</v>
      </c>
      <c r="AM3" s="2263"/>
      <c r="AN3" s="2263" t="s">
        <v>530</v>
      </c>
      <c r="AO3" s="2263"/>
      <c r="AP3" s="2263" t="s">
        <v>531</v>
      </c>
      <c r="AQ3" s="2263"/>
      <c r="AR3" s="2263" t="s">
        <v>532</v>
      </c>
      <c r="AS3" s="2263"/>
      <c r="AT3" s="2263" t="s">
        <v>487</v>
      </c>
      <c r="AU3" s="2263" t="s">
        <v>533</v>
      </c>
      <c r="AV3" s="2263"/>
      <c r="AW3" s="2263" t="s">
        <v>534</v>
      </c>
      <c r="AX3" s="2263"/>
      <c r="AY3" s="2263" t="s">
        <v>535</v>
      </c>
      <c r="AZ3" s="2263"/>
      <c r="BA3" s="2263" t="s">
        <v>244</v>
      </c>
      <c r="BB3" s="2263"/>
      <c r="BC3" s="2263" t="s">
        <v>536</v>
      </c>
      <c r="BD3" s="2263"/>
      <c r="BE3" s="2263" t="s">
        <v>537</v>
      </c>
      <c r="BF3" s="2263"/>
      <c r="BG3" s="2263" t="s">
        <v>381</v>
      </c>
      <c r="BH3" s="2263"/>
      <c r="BI3" s="2263" t="s">
        <v>487</v>
      </c>
      <c r="BJ3" s="2263" t="s">
        <v>659</v>
      </c>
      <c r="BK3" s="2263"/>
      <c r="BL3" s="2263" t="s">
        <v>620</v>
      </c>
      <c r="BM3" s="2263"/>
      <c r="BN3" s="2263" t="s">
        <v>538</v>
      </c>
      <c r="BO3" s="2263"/>
      <c r="BP3" s="2263" t="s">
        <v>1577</v>
      </c>
      <c r="BQ3" s="2263"/>
      <c r="BR3" s="2263" t="s">
        <v>539</v>
      </c>
      <c r="BS3" s="2263"/>
      <c r="BT3" s="2263" t="s">
        <v>540</v>
      </c>
      <c r="BU3" s="2263"/>
      <c r="BV3" s="2263" t="s">
        <v>1149</v>
      </c>
      <c r="BW3" s="2263"/>
    </row>
    <row r="4" spans="1:75" s="1522" customFormat="1" ht="20.25" customHeight="1">
      <c r="A4" s="2263"/>
      <c r="B4" s="2492" t="s">
        <v>1028</v>
      </c>
      <c r="C4" s="2492" t="s">
        <v>1029</v>
      </c>
      <c r="D4" s="2492" t="s">
        <v>1028</v>
      </c>
      <c r="E4" s="2492" t="s">
        <v>1029</v>
      </c>
      <c r="F4" s="2492" t="s">
        <v>1028</v>
      </c>
      <c r="G4" s="2492" t="s">
        <v>1030</v>
      </c>
      <c r="H4" s="2492" t="s">
        <v>1028</v>
      </c>
      <c r="I4" s="2492" t="s">
        <v>1029</v>
      </c>
      <c r="J4" s="2492" t="s">
        <v>1028</v>
      </c>
      <c r="K4" s="2492" t="s">
        <v>1029</v>
      </c>
      <c r="L4" s="2492" t="s">
        <v>1028</v>
      </c>
      <c r="M4" s="2492" t="s">
        <v>1029</v>
      </c>
      <c r="N4" s="2492" t="s">
        <v>1028</v>
      </c>
      <c r="O4" s="2492" t="s">
        <v>1029</v>
      </c>
      <c r="P4" s="2263"/>
      <c r="Q4" s="2492" t="s">
        <v>1028</v>
      </c>
      <c r="R4" s="2492" t="s">
        <v>1029</v>
      </c>
      <c r="S4" s="2492" t="s">
        <v>1028</v>
      </c>
      <c r="T4" s="2492" t="s">
        <v>1029</v>
      </c>
      <c r="U4" s="2492" t="s">
        <v>1028</v>
      </c>
      <c r="V4" s="2492" t="s">
        <v>1030</v>
      </c>
      <c r="W4" s="2492" t="s">
        <v>1028</v>
      </c>
      <c r="X4" s="2492" t="s">
        <v>1029</v>
      </c>
      <c r="Y4" s="2492" t="s">
        <v>1028</v>
      </c>
      <c r="Z4" s="2492" t="s">
        <v>1029</v>
      </c>
      <c r="AA4" s="2492" t="s">
        <v>1028</v>
      </c>
      <c r="AB4" s="2492" t="s">
        <v>1029</v>
      </c>
      <c r="AC4" s="2492" t="s">
        <v>1028</v>
      </c>
      <c r="AD4" s="2492" t="s">
        <v>1029</v>
      </c>
      <c r="AE4" s="2263"/>
      <c r="AF4" s="2492" t="s">
        <v>1028</v>
      </c>
      <c r="AG4" s="2492" t="s">
        <v>1029</v>
      </c>
      <c r="AH4" s="2492" t="s">
        <v>1028</v>
      </c>
      <c r="AI4" s="2492" t="s">
        <v>1029</v>
      </c>
      <c r="AJ4" s="2492" t="s">
        <v>1028</v>
      </c>
      <c r="AK4" s="2492" t="s">
        <v>1030</v>
      </c>
      <c r="AL4" s="2492" t="s">
        <v>1028</v>
      </c>
      <c r="AM4" s="2492" t="s">
        <v>1029</v>
      </c>
      <c r="AN4" s="2492" t="s">
        <v>1028</v>
      </c>
      <c r="AO4" s="2492" t="s">
        <v>1029</v>
      </c>
      <c r="AP4" s="2492" t="s">
        <v>1028</v>
      </c>
      <c r="AQ4" s="2492" t="s">
        <v>1029</v>
      </c>
      <c r="AR4" s="2492" t="s">
        <v>1028</v>
      </c>
      <c r="AS4" s="2492" t="s">
        <v>1029</v>
      </c>
      <c r="AT4" s="2263"/>
      <c r="AU4" s="2492" t="s">
        <v>1028</v>
      </c>
      <c r="AV4" s="2492" t="s">
        <v>1029</v>
      </c>
      <c r="AW4" s="2492" t="s">
        <v>1028</v>
      </c>
      <c r="AX4" s="2492" t="s">
        <v>1029</v>
      </c>
      <c r="AY4" s="2492" t="s">
        <v>1028</v>
      </c>
      <c r="AZ4" s="2492" t="s">
        <v>1030</v>
      </c>
      <c r="BA4" s="2492" t="s">
        <v>1028</v>
      </c>
      <c r="BB4" s="2492" t="s">
        <v>1029</v>
      </c>
      <c r="BC4" s="2492" t="s">
        <v>1028</v>
      </c>
      <c r="BD4" s="2492" t="s">
        <v>1029</v>
      </c>
      <c r="BE4" s="2492" t="s">
        <v>1028</v>
      </c>
      <c r="BF4" s="2492" t="s">
        <v>1029</v>
      </c>
      <c r="BG4" s="2492" t="s">
        <v>1028</v>
      </c>
      <c r="BH4" s="2492" t="s">
        <v>1029</v>
      </c>
      <c r="BI4" s="2263"/>
      <c r="BJ4" s="2492" t="s">
        <v>1028</v>
      </c>
      <c r="BK4" s="2492" t="s">
        <v>1029</v>
      </c>
      <c r="BL4" s="2492" t="s">
        <v>1028</v>
      </c>
      <c r="BM4" s="2492" t="s">
        <v>1029</v>
      </c>
      <c r="BN4" s="2492" t="s">
        <v>1028</v>
      </c>
      <c r="BO4" s="2492" t="s">
        <v>1030</v>
      </c>
      <c r="BP4" s="2492" t="s">
        <v>1028</v>
      </c>
      <c r="BQ4" s="2492" t="s">
        <v>1029</v>
      </c>
      <c r="BR4" s="2492" t="s">
        <v>1028</v>
      </c>
      <c r="BS4" s="2492" t="s">
        <v>1029</v>
      </c>
      <c r="BT4" s="2492" t="s">
        <v>1028</v>
      </c>
      <c r="BU4" s="2492" t="s">
        <v>1029</v>
      </c>
      <c r="BV4" s="2492" t="s">
        <v>1028</v>
      </c>
      <c r="BW4" s="2492" t="s">
        <v>1029</v>
      </c>
    </row>
    <row r="5" spans="1:75" s="1522" customFormat="1" ht="15.75" customHeight="1">
      <c r="A5" s="2263"/>
      <c r="B5" s="2068"/>
      <c r="C5" s="2068"/>
      <c r="D5" s="2068"/>
      <c r="E5" s="2068"/>
      <c r="F5" s="2068"/>
      <c r="G5" s="2068"/>
      <c r="H5" s="2068"/>
      <c r="I5" s="2068"/>
      <c r="J5" s="2068"/>
      <c r="K5" s="2068"/>
      <c r="L5" s="2068"/>
      <c r="M5" s="2068"/>
      <c r="N5" s="2068"/>
      <c r="O5" s="2068"/>
      <c r="P5" s="2263"/>
      <c r="Q5" s="2068"/>
      <c r="R5" s="2068"/>
      <c r="S5" s="2068"/>
      <c r="T5" s="2068"/>
      <c r="U5" s="2068"/>
      <c r="V5" s="2068"/>
      <c r="W5" s="2068"/>
      <c r="X5" s="2068"/>
      <c r="Y5" s="2068"/>
      <c r="Z5" s="2068"/>
      <c r="AA5" s="2068"/>
      <c r="AB5" s="2068"/>
      <c r="AC5" s="2068"/>
      <c r="AD5" s="2068"/>
      <c r="AE5" s="2263"/>
      <c r="AF5" s="2068"/>
      <c r="AG5" s="2068"/>
      <c r="AH5" s="2068"/>
      <c r="AI5" s="2068"/>
      <c r="AJ5" s="2068"/>
      <c r="AK5" s="2068"/>
      <c r="AL5" s="2068"/>
      <c r="AM5" s="2068"/>
      <c r="AN5" s="2068"/>
      <c r="AO5" s="2068"/>
      <c r="AP5" s="2068"/>
      <c r="AQ5" s="2068"/>
      <c r="AR5" s="2068"/>
      <c r="AS5" s="2068"/>
      <c r="AT5" s="2263"/>
      <c r="AU5" s="2068"/>
      <c r="AV5" s="2068"/>
      <c r="AW5" s="2068"/>
      <c r="AX5" s="2068"/>
      <c r="AY5" s="2068"/>
      <c r="AZ5" s="2068"/>
      <c r="BA5" s="2068"/>
      <c r="BB5" s="2068"/>
      <c r="BC5" s="2068"/>
      <c r="BD5" s="2068"/>
      <c r="BE5" s="2068"/>
      <c r="BF5" s="2068"/>
      <c r="BG5" s="2068"/>
      <c r="BH5" s="2068"/>
      <c r="BI5" s="2263"/>
      <c r="BJ5" s="2068"/>
      <c r="BK5" s="2068"/>
      <c r="BL5" s="2068"/>
      <c r="BM5" s="2068"/>
      <c r="BN5" s="2068"/>
      <c r="BO5" s="2068"/>
      <c r="BP5" s="2068"/>
      <c r="BQ5" s="2068"/>
      <c r="BR5" s="2068"/>
      <c r="BS5" s="2068"/>
      <c r="BT5" s="2068"/>
      <c r="BU5" s="2068"/>
      <c r="BV5" s="2068"/>
      <c r="BW5" s="2068"/>
    </row>
    <row r="6" spans="1:75" s="130" customFormat="1" ht="12">
      <c r="A6" s="2263"/>
      <c r="B6" s="1526">
        <v>1</v>
      </c>
      <c r="C6" s="1526">
        <v>2</v>
      </c>
      <c r="D6" s="1526">
        <v>3</v>
      </c>
      <c r="E6" s="1526">
        <v>4</v>
      </c>
      <c r="F6" s="1526">
        <v>5</v>
      </c>
      <c r="G6" s="1526">
        <v>6</v>
      </c>
      <c r="H6" s="1526">
        <v>7</v>
      </c>
      <c r="I6" s="1526">
        <v>8</v>
      </c>
      <c r="J6" s="1526">
        <v>9</v>
      </c>
      <c r="K6" s="1526">
        <v>10</v>
      </c>
      <c r="L6" s="1526">
        <v>11</v>
      </c>
      <c r="M6" s="1526">
        <v>12</v>
      </c>
      <c r="N6" s="1526">
        <v>13</v>
      </c>
      <c r="O6" s="1526">
        <v>14</v>
      </c>
      <c r="P6" s="2263"/>
      <c r="Q6" s="1526">
        <v>15</v>
      </c>
      <c r="R6" s="1526">
        <v>16</v>
      </c>
      <c r="S6" s="1526">
        <v>17</v>
      </c>
      <c r="T6" s="1526">
        <v>18</v>
      </c>
      <c r="U6" s="1526">
        <v>19</v>
      </c>
      <c r="V6" s="1526">
        <v>20</v>
      </c>
      <c r="W6" s="1526">
        <v>21</v>
      </c>
      <c r="X6" s="1526">
        <v>22</v>
      </c>
      <c r="Y6" s="1526">
        <v>23</v>
      </c>
      <c r="Z6" s="1526">
        <v>24</v>
      </c>
      <c r="AA6" s="1526">
        <v>25</v>
      </c>
      <c r="AB6" s="1526">
        <v>26</v>
      </c>
      <c r="AC6" s="1526">
        <v>27</v>
      </c>
      <c r="AD6" s="1526">
        <v>28</v>
      </c>
      <c r="AE6" s="2263"/>
      <c r="AF6" s="1526">
        <v>29</v>
      </c>
      <c r="AG6" s="1526">
        <v>30</v>
      </c>
      <c r="AH6" s="1526">
        <v>31</v>
      </c>
      <c r="AI6" s="1526">
        <v>32</v>
      </c>
      <c r="AJ6" s="1526">
        <v>33</v>
      </c>
      <c r="AK6" s="1526">
        <v>34</v>
      </c>
      <c r="AL6" s="1526">
        <v>35</v>
      </c>
      <c r="AM6" s="1526">
        <v>36</v>
      </c>
      <c r="AN6" s="1526">
        <v>37</v>
      </c>
      <c r="AO6" s="1526">
        <v>38</v>
      </c>
      <c r="AP6" s="1526">
        <v>39</v>
      </c>
      <c r="AQ6" s="1526">
        <v>40</v>
      </c>
      <c r="AR6" s="1526">
        <v>41</v>
      </c>
      <c r="AS6" s="1526">
        <v>42</v>
      </c>
      <c r="AT6" s="2263"/>
      <c r="AU6" s="1526">
        <v>43</v>
      </c>
      <c r="AV6" s="1526">
        <v>44</v>
      </c>
      <c r="AW6" s="1526">
        <v>45</v>
      </c>
      <c r="AX6" s="1526">
        <v>46</v>
      </c>
      <c r="AY6" s="1526">
        <v>47</v>
      </c>
      <c r="AZ6" s="1526">
        <v>48</v>
      </c>
      <c r="BA6" s="1526">
        <v>49</v>
      </c>
      <c r="BB6" s="1526">
        <v>50</v>
      </c>
      <c r="BC6" s="1526">
        <v>51</v>
      </c>
      <c r="BD6" s="1526">
        <v>52</v>
      </c>
      <c r="BE6" s="1526">
        <v>53</v>
      </c>
      <c r="BF6" s="1526">
        <v>54</v>
      </c>
      <c r="BG6" s="1526">
        <v>55</v>
      </c>
      <c r="BH6" s="1526">
        <v>56</v>
      </c>
      <c r="BI6" s="2263"/>
      <c r="BJ6" s="1526">
        <v>57</v>
      </c>
      <c r="BK6" s="1526">
        <v>58</v>
      </c>
      <c r="BL6" s="1526">
        <v>59</v>
      </c>
      <c r="BM6" s="1526">
        <v>60</v>
      </c>
      <c r="BN6" s="1526">
        <v>61</v>
      </c>
      <c r="BO6" s="1526">
        <v>62</v>
      </c>
      <c r="BP6" s="1526">
        <v>63</v>
      </c>
      <c r="BQ6" s="1526">
        <v>64</v>
      </c>
      <c r="BR6" s="1526">
        <v>65</v>
      </c>
      <c r="BS6" s="1526">
        <v>66</v>
      </c>
      <c r="BT6" s="1526">
        <v>67</v>
      </c>
      <c r="BU6" s="1526">
        <v>68</v>
      </c>
      <c r="BV6" s="1526">
        <v>69</v>
      </c>
      <c r="BW6" s="1526">
        <v>70</v>
      </c>
    </row>
    <row r="7" spans="1:75" ht="10.7" customHeight="1">
      <c r="A7" s="244" t="s">
        <v>81</v>
      </c>
      <c r="B7" s="16">
        <v>61.05</v>
      </c>
      <c r="C7" s="16">
        <v>58.93</v>
      </c>
      <c r="D7" s="16">
        <v>69.180000000000007</v>
      </c>
      <c r="E7" s="16">
        <v>69.45</v>
      </c>
      <c r="F7" s="16">
        <v>183.54</v>
      </c>
      <c r="G7" s="16">
        <v>184.2</v>
      </c>
      <c r="H7" s="16">
        <v>65.569999999999993</v>
      </c>
      <c r="I7" s="16">
        <v>65.67</v>
      </c>
      <c r="J7" s="16">
        <v>10.130000000000001</v>
      </c>
      <c r="K7" s="16">
        <v>10.23</v>
      </c>
      <c r="L7" s="16">
        <v>12.93</v>
      </c>
      <c r="M7" s="16">
        <v>11.37</v>
      </c>
      <c r="N7" s="16">
        <v>96.24</v>
      </c>
      <c r="O7" s="16">
        <v>84.66</v>
      </c>
      <c r="P7" s="244" t="s">
        <v>81</v>
      </c>
      <c r="Q7" s="16">
        <v>8.92</v>
      </c>
      <c r="R7" s="16">
        <v>8.92</v>
      </c>
      <c r="S7" s="16">
        <v>1.49</v>
      </c>
      <c r="T7" s="16">
        <v>1.5</v>
      </c>
      <c r="U7" s="16">
        <v>0.01</v>
      </c>
      <c r="V7" s="16">
        <v>0.01</v>
      </c>
      <c r="W7" s="16">
        <v>0.01</v>
      </c>
      <c r="X7" s="16">
        <v>0.01</v>
      </c>
      <c r="Y7" s="16">
        <v>0.76</v>
      </c>
      <c r="Z7" s="16">
        <v>0.78</v>
      </c>
      <c r="AA7" s="16">
        <v>253.28</v>
      </c>
      <c r="AB7" s="16">
        <v>238.89</v>
      </c>
      <c r="AC7" s="16">
        <v>20.47</v>
      </c>
      <c r="AD7" s="16">
        <v>21.33</v>
      </c>
      <c r="AE7" s="244" t="s">
        <v>81</v>
      </c>
      <c r="AF7" s="16">
        <v>10.78</v>
      </c>
      <c r="AG7" s="16">
        <v>10.82</v>
      </c>
      <c r="AH7" s="16">
        <v>0.93</v>
      </c>
      <c r="AI7" s="16">
        <v>0.93</v>
      </c>
      <c r="AJ7" s="16">
        <v>48.64</v>
      </c>
      <c r="AK7" s="16">
        <v>48.06</v>
      </c>
      <c r="AL7" s="16">
        <v>11.61</v>
      </c>
      <c r="AM7" s="16">
        <v>10.67</v>
      </c>
      <c r="AN7" s="16">
        <v>179.7</v>
      </c>
      <c r="AO7" s="16">
        <v>180.38</v>
      </c>
      <c r="AP7" s="16">
        <v>0.83</v>
      </c>
      <c r="AQ7" s="16">
        <v>0.81</v>
      </c>
      <c r="AR7" s="16">
        <v>1.49</v>
      </c>
      <c r="AS7" s="16">
        <v>1.5</v>
      </c>
      <c r="AT7" s="244" t="s">
        <v>81</v>
      </c>
      <c r="AU7" s="16">
        <v>19.010000000000002</v>
      </c>
      <c r="AV7" s="16">
        <v>19.079999999999998</v>
      </c>
      <c r="AW7" s="16">
        <v>2.29</v>
      </c>
      <c r="AX7" s="16">
        <v>2.2200000000000002</v>
      </c>
      <c r="AY7" s="16">
        <v>18.63</v>
      </c>
      <c r="AZ7" s="16">
        <v>18.52</v>
      </c>
      <c r="BA7" s="16">
        <v>0.06</v>
      </c>
      <c r="BB7" s="16">
        <v>0.06</v>
      </c>
      <c r="BC7" s="16">
        <v>49.19</v>
      </c>
      <c r="BD7" s="16">
        <v>49.51</v>
      </c>
      <c r="BE7" s="16">
        <v>9.5399999999999991</v>
      </c>
      <c r="BF7" s="16">
        <v>8.94</v>
      </c>
      <c r="BG7" s="16">
        <v>0.61</v>
      </c>
      <c r="BH7" s="16">
        <v>0.61</v>
      </c>
      <c r="BI7" s="244" t="s">
        <v>81</v>
      </c>
      <c r="BJ7" s="16">
        <v>65.19</v>
      </c>
      <c r="BK7" s="16">
        <v>64.180000000000007</v>
      </c>
      <c r="BL7" s="16">
        <v>1.5</v>
      </c>
      <c r="BM7" s="16">
        <v>1.48</v>
      </c>
      <c r="BN7" s="16">
        <v>106.99</v>
      </c>
      <c r="BO7" s="16">
        <v>184.2</v>
      </c>
      <c r="BP7" s="16">
        <v>2.09</v>
      </c>
      <c r="BQ7" s="16">
        <v>2.14</v>
      </c>
      <c r="BR7" s="16">
        <v>18.84</v>
      </c>
      <c r="BS7" s="16">
        <v>18.91</v>
      </c>
      <c r="BT7" s="16">
        <v>69.180000000000007</v>
      </c>
      <c r="BU7" s="16">
        <v>69.45</v>
      </c>
      <c r="BV7" s="16">
        <v>109.42</v>
      </c>
      <c r="BW7" s="16">
        <v>104.62</v>
      </c>
    </row>
    <row r="8" spans="1:75" ht="10.7" customHeight="1">
      <c r="A8" s="335" t="s">
        <v>190</v>
      </c>
      <c r="B8" s="300">
        <v>70.510000000000005</v>
      </c>
      <c r="C8" s="300">
        <v>79.22</v>
      </c>
      <c r="D8" s="300">
        <v>71.17</v>
      </c>
      <c r="E8" s="300">
        <v>74.150000000000006</v>
      </c>
      <c r="F8" s="300">
        <v>188.78</v>
      </c>
      <c r="G8" s="300">
        <v>196.65</v>
      </c>
      <c r="H8" s="300">
        <v>71.12</v>
      </c>
      <c r="I8" s="300">
        <v>76.41</v>
      </c>
      <c r="J8" s="300">
        <v>10.74</v>
      </c>
      <c r="K8" s="300">
        <v>11.46</v>
      </c>
      <c r="L8" s="300">
        <v>13.03</v>
      </c>
      <c r="M8" s="300">
        <v>14.35</v>
      </c>
      <c r="N8" s="300">
        <v>97.14</v>
      </c>
      <c r="O8" s="300">
        <v>107.02</v>
      </c>
      <c r="P8" s="335" t="s">
        <v>190</v>
      </c>
      <c r="Q8" s="300">
        <v>9.15</v>
      </c>
      <c r="R8" s="300">
        <v>9.5299999999999994</v>
      </c>
      <c r="S8" s="300">
        <v>1.57</v>
      </c>
      <c r="T8" s="300">
        <v>1.66</v>
      </c>
      <c r="U8" s="300">
        <v>0.01</v>
      </c>
      <c r="V8" s="300">
        <v>0.01</v>
      </c>
      <c r="W8" s="300">
        <v>0.01</v>
      </c>
      <c r="X8" s="300">
        <v>0.01</v>
      </c>
      <c r="Y8" s="300">
        <v>0.86</v>
      </c>
      <c r="Z8" s="300">
        <v>0.92</v>
      </c>
      <c r="AA8" s="300">
        <v>253.51</v>
      </c>
      <c r="AB8" s="300">
        <v>270.16000000000003</v>
      </c>
      <c r="AC8" s="300">
        <v>23.09</v>
      </c>
      <c r="AD8" s="300">
        <v>24.56</v>
      </c>
      <c r="AE8" s="335" t="s">
        <v>190</v>
      </c>
      <c r="AF8" s="300">
        <v>11.09</v>
      </c>
      <c r="AG8" s="300">
        <v>11.55</v>
      </c>
      <c r="AH8" s="300">
        <v>0.98</v>
      </c>
      <c r="AI8" s="300">
        <v>1.03</v>
      </c>
      <c r="AJ8" s="300">
        <v>53.99</v>
      </c>
      <c r="AK8" s="300">
        <v>61.19</v>
      </c>
      <c r="AL8" s="300">
        <v>12.28</v>
      </c>
      <c r="AM8" s="300">
        <v>13.78</v>
      </c>
      <c r="AN8" s="300">
        <v>184.85</v>
      </c>
      <c r="AO8" s="300">
        <v>192.58</v>
      </c>
      <c r="AP8" s="300">
        <v>0.83</v>
      </c>
      <c r="AQ8" s="300">
        <v>0.86</v>
      </c>
      <c r="AR8" s="300">
        <v>1.62</v>
      </c>
      <c r="AS8" s="300">
        <v>1.71</v>
      </c>
      <c r="AT8" s="335" t="s">
        <v>190</v>
      </c>
      <c r="AU8" s="300">
        <v>19.55</v>
      </c>
      <c r="AV8" s="300">
        <v>20.36</v>
      </c>
      <c r="AW8" s="300">
        <v>2.41</v>
      </c>
      <c r="AX8" s="300">
        <v>2.65</v>
      </c>
      <c r="AY8" s="300">
        <v>18.98</v>
      </c>
      <c r="AZ8" s="300">
        <v>19.77</v>
      </c>
      <c r="BA8" s="300">
        <v>0.06</v>
      </c>
      <c r="BB8" s="300">
        <v>7.0000000000000007E-2</v>
      </c>
      <c r="BC8" s="300">
        <v>55.09</v>
      </c>
      <c r="BD8" s="300">
        <v>60.14</v>
      </c>
      <c r="BE8" s="300">
        <v>10.67</v>
      </c>
      <c r="BF8" s="300">
        <v>11.75</v>
      </c>
      <c r="BG8" s="300">
        <v>0.64</v>
      </c>
      <c r="BH8" s="300">
        <v>0.68</v>
      </c>
      <c r="BI8" s="335" t="s">
        <v>190</v>
      </c>
      <c r="BJ8" s="300">
        <v>74.92</v>
      </c>
      <c r="BK8" s="300">
        <v>88.84</v>
      </c>
      <c r="BL8" s="300">
        <v>1.52</v>
      </c>
      <c r="BM8" s="300">
        <v>1.56</v>
      </c>
      <c r="BN8" s="300">
        <v>110.89</v>
      </c>
      <c r="BO8" s="300">
        <v>118.42</v>
      </c>
      <c r="BP8" s="300">
        <v>2.33</v>
      </c>
      <c r="BQ8" s="300">
        <v>2.41</v>
      </c>
      <c r="BR8" s="300">
        <v>19.38</v>
      </c>
      <c r="BS8" s="300">
        <v>20.190000000000001</v>
      </c>
      <c r="BT8" s="300">
        <v>71.17</v>
      </c>
      <c r="BU8" s="300">
        <v>74.150000000000006</v>
      </c>
      <c r="BV8" s="300">
        <v>113.26</v>
      </c>
      <c r="BW8" s="300">
        <v>119.13</v>
      </c>
    </row>
    <row r="9" spans="1:75" ht="10.7" customHeight="1">
      <c r="A9" s="244" t="s">
        <v>731</v>
      </c>
      <c r="B9" s="16">
        <v>81.650000000000006</v>
      </c>
      <c r="C9" s="16">
        <v>83.78</v>
      </c>
      <c r="D9" s="16">
        <v>79.099999999999994</v>
      </c>
      <c r="E9" s="16">
        <v>81.819999999999993</v>
      </c>
      <c r="F9" s="16">
        <v>209.8</v>
      </c>
      <c r="G9" s="16">
        <v>217.03</v>
      </c>
      <c r="H9" s="16">
        <v>78.84</v>
      </c>
      <c r="I9" s="16">
        <v>80.45</v>
      </c>
      <c r="J9" s="16">
        <v>12.47</v>
      </c>
      <c r="K9" s="16">
        <v>12.94</v>
      </c>
      <c r="L9" s="16">
        <v>14.22</v>
      </c>
      <c r="M9" s="16">
        <v>13.91</v>
      </c>
      <c r="N9" s="16">
        <v>105.78</v>
      </c>
      <c r="O9" s="16">
        <v>103.45</v>
      </c>
      <c r="P9" s="244" t="s">
        <v>731</v>
      </c>
      <c r="Q9" s="16">
        <v>10.18</v>
      </c>
      <c r="R9" s="16">
        <v>10.55</v>
      </c>
      <c r="S9" s="16">
        <v>1.58</v>
      </c>
      <c r="T9" s="16">
        <v>1.47</v>
      </c>
      <c r="U9" s="16">
        <v>0.01</v>
      </c>
      <c r="V9" s="16">
        <v>0.01</v>
      </c>
      <c r="W9" s="16">
        <v>0.01</v>
      </c>
      <c r="X9" s="16">
        <v>0.01</v>
      </c>
      <c r="Y9" s="16">
        <v>1.01</v>
      </c>
      <c r="Z9" s="16">
        <v>1.02</v>
      </c>
      <c r="AA9" s="16">
        <v>285.58</v>
      </c>
      <c r="AB9" s="16">
        <v>292.27</v>
      </c>
      <c r="AC9" s="16">
        <v>25.63</v>
      </c>
      <c r="AD9" s="16">
        <v>25.81</v>
      </c>
      <c r="AE9" s="244" t="s">
        <v>731</v>
      </c>
      <c r="AF9" s="16">
        <v>12.32</v>
      </c>
      <c r="AG9" s="16">
        <v>12.74</v>
      </c>
      <c r="AH9" s="16">
        <v>0.99</v>
      </c>
      <c r="AI9" s="16">
        <v>0.9</v>
      </c>
      <c r="AJ9" s="16">
        <v>63.62</v>
      </c>
      <c r="AK9" s="16">
        <v>65.52</v>
      </c>
      <c r="AL9" s="16">
        <v>13.79</v>
      </c>
      <c r="AM9" s="16">
        <v>13.72</v>
      </c>
      <c r="AN9" s="16">
        <v>205.3</v>
      </c>
      <c r="AO9" s="16">
        <v>212.52</v>
      </c>
      <c r="AP9" s="16">
        <v>0.89</v>
      </c>
      <c r="AQ9" s="16">
        <v>0.87</v>
      </c>
      <c r="AR9" s="16">
        <v>1.84</v>
      </c>
      <c r="AS9" s="16">
        <v>1.94</v>
      </c>
      <c r="AT9" s="244" t="s">
        <v>731</v>
      </c>
      <c r="AU9" s="16">
        <v>21.72</v>
      </c>
      <c r="AV9" s="16">
        <v>22.47</v>
      </c>
      <c r="AW9" s="16">
        <v>2.61</v>
      </c>
      <c r="AX9" s="16">
        <v>2.4900000000000002</v>
      </c>
      <c r="AY9" s="16">
        <v>21.09</v>
      </c>
      <c r="AZ9" s="16">
        <v>21.82</v>
      </c>
      <c r="BA9" s="16">
        <v>7.0000000000000007E-2</v>
      </c>
      <c r="BB9" s="16">
        <v>7.0000000000000007E-2</v>
      </c>
      <c r="BC9" s="16">
        <v>62.78</v>
      </c>
      <c r="BD9" s="16">
        <v>64.650000000000006</v>
      </c>
      <c r="BE9" s="16">
        <v>11.76</v>
      </c>
      <c r="BF9" s="16">
        <v>11.82</v>
      </c>
      <c r="BG9" s="16">
        <v>0.68</v>
      </c>
      <c r="BH9" s="16">
        <v>0.61</v>
      </c>
      <c r="BI9" s="244" t="s">
        <v>731</v>
      </c>
      <c r="BJ9" s="16">
        <v>88.18</v>
      </c>
      <c r="BK9" s="16">
        <v>86.11</v>
      </c>
      <c r="BL9" s="16">
        <v>1.47</v>
      </c>
      <c r="BM9" s="16">
        <v>1.28</v>
      </c>
      <c r="BN9" s="16">
        <v>123.03</v>
      </c>
      <c r="BO9" s="16">
        <v>124.16</v>
      </c>
      <c r="BP9" s="16">
        <v>2.56</v>
      </c>
      <c r="BQ9" s="16">
        <v>2.59</v>
      </c>
      <c r="BR9" s="16">
        <v>21.53</v>
      </c>
      <c r="BS9" s="16">
        <v>22.28</v>
      </c>
      <c r="BT9" s="16">
        <v>79.099999999999994</v>
      </c>
      <c r="BU9" s="16">
        <v>81.819999999999993</v>
      </c>
      <c r="BV9" s="16">
        <v>125.28</v>
      </c>
      <c r="BW9" s="16">
        <v>128.19999999999999</v>
      </c>
    </row>
    <row r="10" spans="1:75" ht="10.7" customHeight="1">
      <c r="A10" s="335" t="s">
        <v>840</v>
      </c>
      <c r="B10" s="300">
        <v>82.13</v>
      </c>
      <c r="C10" s="300">
        <v>71.099999999999994</v>
      </c>
      <c r="D10" s="300">
        <v>79.930000000000007</v>
      </c>
      <c r="E10" s="300">
        <v>77.77</v>
      </c>
      <c r="F10" s="300">
        <v>212.02</v>
      </c>
      <c r="G10" s="300">
        <v>206.27</v>
      </c>
      <c r="H10" s="300">
        <v>79.62</v>
      </c>
      <c r="I10" s="300">
        <v>73.900000000000006</v>
      </c>
      <c r="J10" s="300">
        <v>12.72</v>
      </c>
      <c r="K10" s="300">
        <v>12.59</v>
      </c>
      <c r="L10" s="300">
        <v>13.87</v>
      </c>
      <c r="M10" s="300">
        <v>13.57</v>
      </c>
      <c r="N10" s="300">
        <v>103.37</v>
      </c>
      <c r="O10" s="300">
        <v>101.19</v>
      </c>
      <c r="P10" s="335" t="s">
        <v>840</v>
      </c>
      <c r="Q10" s="300">
        <v>10.31</v>
      </c>
      <c r="R10" s="300">
        <v>10.029999999999999</v>
      </c>
      <c r="S10" s="300">
        <v>1.46</v>
      </c>
      <c r="T10" s="300">
        <v>1.31</v>
      </c>
      <c r="U10" s="300">
        <v>0.01</v>
      </c>
      <c r="V10" s="300">
        <v>0.01</v>
      </c>
      <c r="W10" s="300">
        <v>0.01</v>
      </c>
      <c r="X10" s="300">
        <v>0.01</v>
      </c>
      <c r="Y10" s="300">
        <v>0.92</v>
      </c>
      <c r="Z10" s="300">
        <v>0.78</v>
      </c>
      <c r="AA10" s="300">
        <v>282.77999999999997</v>
      </c>
      <c r="AB10" s="300">
        <v>272.62</v>
      </c>
      <c r="AC10" s="300">
        <v>25.93</v>
      </c>
      <c r="AD10" s="300">
        <v>24.61</v>
      </c>
      <c r="AE10" s="335" t="s">
        <v>840</v>
      </c>
      <c r="AF10" s="300">
        <v>12.45</v>
      </c>
      <c r="AG10" s="300">
        <v>12.11</v>
      </c>
      <c r="AH10" s="300">
        <v>0.91</v>
      </c>
      <c r="AI10" s="300">
        <v>0.81</v>
      </c>
      <c r="AJ10" s="300">
        <v>65.7</v>
      </c>
      <c r="AK10" s="300">
        <v>60.24</v>
      </c>
      <c r="AL10" s="300">
        <v>13.88</v>
      </c>
      <c r="AM10" s="300">
        <v>12.81</v>
      </c>
      <c r="AN10" s="300">
        <v>207.59</v>
      </c>
      <c r="AO10" s="300">
        <v>201.99</v>
      </c>
      <c r="AP10" s="300">
        <v>0.83</v>
      </c>
      <c r="AQ10" s="300">
        <v>0.78</v>
      </c>
      <c r="AR10" s="300">
        <v>1.93</v>
      </c>
      <c r="AS10" s="300">
        <v>1.8</v>
      </c>
      <c r="AT10" s="335" t="s">
        <v>840</v>
      </c>
      <c r="AU10" s="300">
        <v>21.95</v>
      </c>
      <c r="AV10" s="300">
        <v>21.36</v>
      </c>
      <c r="AW10" s="300">
        <v>2.56</v>
      </c>
      <c r="AX10" s="300">
        <v>2.36</v>
      </c>
      <c r="AY10" s="300">
        <v>21.31</v>
      </c>
      <c r="AZ10" s="300">
        <v>20.74</v>
      </c>
      <c r="BA10" s="300">
        <v>7.0000000000000007E-2</v>
      </c>
      <c r="BB10" s="300">
        <v>7.0000000000000007E-2</v>
      </c>
      <c r="BC10" s="300">
        <v>64.540000000000006</v>
      </c>
      <c r="BD10" s="300">
        <v>61.36</v>
      </c>
      <c r="BE10" s="300">
        <v>12.12</v>
      </c>
      <c r="BF10" s="300">
        <v>11.6</v>
      </c>
      <c r="BG10" s="300">
        <v>0.62</v>
      </c>
      <c r="BH10" s="300">
        <v>0.6</v>
      </c>
      <c r="BI10" s="335" t="s">
        <v>840</v>
      </c>
      <c r="BJ10" s="300">
        <v>84.91</v>
      </c>
      <c r="BK10" s="300">
        <v>82.32</v>
      </c>
      <c r="BL10" s="300">
        <v>1.1200000000000001</v>
      </c>
      <c r="BM10" s="300">
        <v>0.77</v>
      </c>
      <c r="BN10" s="300">
        <v>121.56</v>
      </c>
      <c r="BO10" s="300">
        <v>116.96</v>
      </c>
      <c r="BP10" s="300">
        <v>2.63</v>
      </c>
      <c r="BQ10" s="300">
        <v>2.5</v>
      </c>
      <c r="BR10" s="300">
        <v>21.76</v>
      </c>
      <c r="BS10" s="300">
        <v>21.17</v>
      </c>
      <c r="BT10" s="300">
        <v>79.930000000000007</v>
      </c>
      <c r="BU10" s="300">
        <v>77.77</v>
      </c>
      <c r="BV10" s="300">
        <v>125.45</v>
      </c>
      <c r="BW10" s="300">
        <v>118.24</v>
      </c>
    </row>
    <row r="11" spans="1:75" s="143" customFormat="1" ht="10.7" customHeight="1">
      <c r="A11" s="612" t="s">
        <v>1019</v>
      </c>
      <c r="B11" s="336">
        <v>71.366500000000002</v>
      </c>
      <c r="C11" s="336">
        <v>73.17</v>
      </c>
      <c r="D11" s="336">
        <v>77.721800000000002</v>
      </c>
      <c r="E11" s="336">
        <v>77.63</v>
      </c>
      <c r="F11" s="336">
        <v>206.1584</v>
      </c>
      <c r="G11" s="336">
        <v>205.92</v>
      </c>
      <c r="H11" s="336">
        <v>72.688100000000006</v>
      </c>
      <c r="I11" s="336">
        <v>72.81</v>
      </c>
      <c r="J11" s="336">
        <v>12.6509</v>
      </c>
      <c r="K11" s="336">
        <v>12.62</v>
      </c>
      <c r="L11" s="336">
        <v>14.135199999999999</v>
      </c>
      <c r="M11" s="336">
        <v>14.21</v>
      </c>
      <c r="N11" s="336">
        <v>105.4555</v>
      </c>
      <c r="O11" s="336">
        <v>105.96</v>
      </c>
      <c r="P11" s="612" t="s">
        <v>1019</v>
      </c>
      <c r="Q11" s="336">
        <v>10.021800000000001</v>
      </c>
      <c r="R11" s="336">
        <v>10.02</v>
      </c>
      <c r="S11" s="336">
        <v>1.2666999999999999</v>
      </c>
      <c r="T11" s="336">
        <v>1.29</v>
      </c>
      <c r="U11" s="336">
        <v>6.7999999999999996E-3</v>
      </c>
      <c r="V11" s="336">
        <v>0.01</v>
      </c>
      <c r="W11" s="336">
        <v>3.0999999999999999E-3</v>
      </c>
      <c r="X11" s="336">
        <v>0</v>
      </c>
      <c r="Y11" s="336">
        <v>0.76949999999999996</v>
      </c>
      <c r="Z11" s="336">
        <v>0.77</v>
      </c>
      <c r="AA11" s="336">
        <v>274.81169999999997</v>
      </c>
      <c r="AB11" s="336">
        <v>275.48</v>
      </c>
      <c r="AC11" s="336">
        <v>23.951899999999998</v>
      </c>
      <c r="AD11" s="336">
        <v>24.19</v>
      </c>
      <c r="AE11" s="612" t="s">
        <v>1019</v>
      </c>
      <c r="AF11" s="336">
        <v>12.106199999999999</v>
      </c>
      <c r="AG11" s="336">
        <v>12.09</v>
      </c>
      <c r="AH11" s="336">
        <v>0.79120000000000001</v>
      </c>
      <c r="AI11" s="336">
        <v>0.81</v>
      </c>
      <c r="AJ11" s="336">
        <v>64.542199999999994</v>
      </c>
      <c r="AK11" s="336">
        <v>68.16</v>
      </c>
      <c r="AL11" s="336">
        <v>12.898300000000001</v>
      </c>
      <c r="AM11" s="336">
        <v>12.68</v>
      </c>
      <c r="AN11" s="336">
        <v>201.87649999999999</v>
      </c>
      <c r="AO11" s="336">
        <v>201.64</v>
      </c>
      <c r="AP11" s="336">
        <v>0.75619999999999998</v>
      </c>
      <c r="AQ11" s="336">
        <v>0.79</v>
      </c>
      <c r="AR11" s="336">
        <v>1.7890999999999999</v>
      </c>
      <c r="AS11" s="336">
        <v>1.78</v>
      </c>
      <c r="AT11" s="612" t="s">
        <v>1019</v>
      </c>
      <c r="AU11" s="336">
        <v>21.345800000000001</v>
      </c>
      <c r="AV11" s="336">
        <v>21.32</v>
      </c>
      <c r="AW11" s="336">
        <v>2.3018000000000001</v>
      </c>
      <c r="AX11" s="336">
        <v>2.2999999999999998</v>
      </c>
      <c r="AY11" s="336">
        <v>20.723500000000001</v>
      </c>
      <c r="AZ11" s="336">
        <v>20.7</v>
      </c>
      <c r="BA11" s="336">
        <v>7.3099999999999998E-2</v>
      </c>
      <c r="BB11" s="336">
        <v>0.08</v>
      </c>
      <c r="BC11" s="336">
        <v>61.703600000000002</v>
      </c>
      <c r="BD11" s="336">
        <v>62.12</v>
      </c>
      <c r="BE11" s="336">
        <v>11.901199999999999</v>
      </c>
      <c r="BF11" s="336">
        <v>11.52</v>
      </c>
      <c r="BG11" s="336">
        <v>0.5927</v>
      </c>
      <c r="BH11" s="336">
        <v>0.6</v>
      </c>
      <c r="BI11" s="612" t="s">
        <v>1019</v>
      </c>
      <c r="BJ11" s="336">
        <v>85.985900000000001</v>
      </c>
      <c r="BK11" s="336">
        <v>87.15</v>
      </c>
      <c r="BL11" s="336">
        <v>0.57769999999999999</v>
      </c>
      <c r="BM11" s="336">
        <v>0.52</v>
      </c>
      <c r="BN11" s="336">
        <v>119.22799999999999</v>
      </c>
      <c r="BO11" s="336">
        <v>119.87</v>
      </c>
      <c r="BP11" s="336">
        <v>2.4632000000000001</v>
      </c>
      <c r="BQ11" s="336">
        <v>2.39</v>
      </c>
      <c r="BR11" s="336">
        <v>21.160299999999999</v>
      </c>
      <c r="BS11" s="336">
        <v>21.14</v>
      </c>
      <c r="BT11" s="336">
        <v>77.721800000000002</v>
      </c>
      <c r="BU11" s="336">
        <v>77.63</v>
      </c>
      <c r="BV11" s="336">
        <v>126.401</v>
      </c>
      <c r="BW11" s="336">
        <v>132.24</v>
      </c>
    </row>
    <row r="12" spans="1:75" s="28" customFormat="1" ht="10.7" customHeight="1">
      <c r="A12" s="501" t="s">
        <v>1070</v>
      </c>
      <c r="B12" s="377">
        <v>65.014200000000002</v>
      </c>
      <c r="C12" s="377">
        <v>59.81</v>
      </c>
      <c r="D12" s="377">
        <v>77.674599999999998</v>
      </c>
      <c r="E12" s="377">
        <v>77.81</v>
      </c>
      <c r="F12" s="377">
        <v>206.0292</v>
      </c>
      <c r="G12" s="377">
        <v>206.35</v>
      </c>
      <c r="H12" s="377">
        <v>66.458699999999993</v>
      </c>
      <c r="I12" s="377">
        <v>62.78</v>
      </c>
      <c r="J12" s="377">
        <v>12.6549</v>
      </c>
      <c r="K12" s="377">
        <v>12.73</v>
      </c>
      <c r="L12" s="377">
        <v>12.5419</v>
      </c>
      <c r="M12" s="377">
        <v>11.72</v>
      </c>
      <c r="N12" s="377">
        <v>93.459400000000002</v>
      </c>
      <c r="O12" s="377">
        <v>87.43</v>
      </c>
      <c r="P12" s="501" t="s">
        <v>1070</v>
      </c>
      <c r="Q12" s="377">
        <v>10.017799999999999</v>
      </c>
      <c r="R12" s="377">
        <v>10.039999999999999</v>
      </c>
      <c r="S12" s="377">
        <v>1.2528999999999999</v>
      </c>
      <c r="T12" s="377">
        <v>1.22</v>
      </c>
      <c r="U12" s="377">
        <v>6.1999999999999998E-3</v>
      </c>
      <c r="V12" s="377">
        <v>0.01</v>
      </c>
      <c r="W12" s="377">
        <v>2.8E-3</v>
      </c>
      <c r="X12" s="377">
        <v>0</v>
      </c>
      <c r="Y12" s="377">
        <v>0.6804</v>
      </c>
      <c r="Z12" s="377">
        <v>0.63</v>
      </c>
      <c r="AA12" s="377">
        <v>265.0548</v>
      </c>
      <c r="AB12" s="377">
        <v>257.42</v>
      </c>
      <c r="AC12" s="377">
        <v>22.543600000000001</v>
      </c>
      <c r="AD12" s="377">
        <v>20.55</v>
      </c>
      <c r="AE12" s="501" t="s">
        <v>1070</v>
      </c>
      <c r="AF12" s="377">
        <v>7.5800000000000006E-2</v>
      </c>
      <c r="AG12" s="377">
        <v>7.0000000000000007E-2</v>
      </c>
      <c r="AH12" s="377">
        <v>0.78300000000000003</v>
      </c>
      <c r="AI12" s="377">
        <v>0.76</v>
      </c>
      <c r="AJ12" s="377">
        <v>60.438099999999999</v>
      </c>
      <c r="AK12" s="377">
        <v>53.34</v>
      </c>
      <c r="AL12" s="377">
        <v>10.959300000000001</v>
      </c>
      <c r="AM12" s="377">
        <v>9.9</v>
      </c>
      <c r="AN12" s="377">
        <v>201.7544</v>
      </c>
      <c r="AO12" s="377">
        <v>202.12</v>
      </c>
      <c r="AP12" s="377">
        <v>0.76639999999999997</v>
      </c>
      <c r="AQ12" s="377">
        <v>0.76</v>
      </c>
      <c r="AR12" s="377">
        <v>1.7483</v>
      </c>
      <c r="AS12" s="377">
        <v>1.72</v>
      </c>
      <c r="AT12" s="501" t="s">
        <v>1070</v>
      </c>
      <c r="AU12" s="377">
        <v>21.332699999999999</v>
      </c>
      <c r="AV12" s="377">
        <v>21.37</v>
      </c>
      <c r="AW12" s="377">
        <v>1.6351</v>
      </c>
      <c r="AX12" s="377">
        <v>1.4</v>
      </c>
      <c r="AY12" s="377">
        <v>20.705300000000001</v>
      </c>
      <c r="AZ12" s="377">
        <v>20.74</v>
      </c>
      <c r="BA12" s="377">
        <v>7.2099999999999997E-2</v>
      </c>
      <c r="BB12" s="377">
        <v>7.0000000000000007E-2</v>
      </c>
      <c r="BC12" s="377">
        <v>59.317100000000003</v>
      </c>
      <c r="BD12" s="377">
        <v>57.8</v>
      </c>
      <c r="BE12" s="377">
        <v>10.058400000000001</v>
      </c>
      <c r="BF12" s="377">
        <v>9.44</v>
      </c>
      <c r="BG12" s="377">
        <v>0.58940000000000003</v>
      </c>
      <c r="BH12" s="377">
        <v>0.57999999999999996</v>
      </c>
      <c r="BI12" s="501" t="s">
        <v>1070</v>
      </c>
      <c r="BJ12" s="377">
        <v>82.442999999999998</v>
      </c>
      <c r="BK12" s="377">
        <v>84.03</v>
      </c>
      <c r="BL12" s="377">
        <v>0.43109999999999998</v>
      </c>
      <c r="BM12" s="377">
        <v>0.36</v>
      </c>
      <c r="BN12" s="377">
        <v>112.64660000000001</v>
      </c>
      <c r="BO12" s="377">
        <v>109.18</v>
      </c>
      <c r="BP12" s="377">
        <v>2.3778999999999999</v>
      </c>
      <c r="BQ12" s="377">
        <v>2.2999999999999998</v>
      </c>
      <c r="BR12" s="377">
        <v>21.147400000000001</v>
      </c>
      <c r="BS12" s="377">
        <v>21.18</v>
      </c>
      <c r="BT12" s="377">
        <v>77.674599999999998</v>
      </c>
      <c r="BU12" s="377">
        <v>77.81</v>
      </c>
      <c r="BV12" s="377">
        <v>122.4104</v>
      </c>
      <c r="BW12" s="377">
        <v>122.42</v>
      </c>
    </row>
    <row r="13" spans="1:75" s="256" customFormat="1" ht="10.7" customHeight="1">
      <c r="A13" s="506" t="s">
        <v>1193</v>
      </c>
      <c r="B13" s="363">
        <v>57.023499999999999</v>
      </c>
      <c r="C13" s="363">
        <v>58.42</v>
      </c>
      <c r="D13" s="363">
        <v>78.2637</v>
      </c>
      <c r="E13" s="363">
        <v>78.400000000000006</v>
      </c>
      <c r="F13" s="363">
        <v>207.56620000000001</v>
      </c>
      <c r="G13" s="363">
        <v>207.76</v>
      </c>
      <c r="H13" s="363">
        <v>59.080199999999998</v>
      </c>
      <c r="I13" s="363">
        <v>60.63</v>
      </c>
      <c r="J13" s="363">
        <v>12.1837</v>
      </c>
      <c r="K13" s="363">
        <v>11.82</v>
      </c>
      <c r="L13" s="363">
        <v>11.653600000000001</v>
      </c>
      <c r="M13" s="363">
        <v>11.73</v>
      </c>
      <c r="N13" s="363">
        <v>86.882900000000006</v>
      </c>
      <c r="O13" s="363">
        <v>87.21</v>
      </c>
      <c r="P13" s="506" t="s">
        <v>1193</v>
      </c>
      <c r="Q13" s="363">
        <v>10.0863</v>
      </c>
      <c r="R13" s="363">
        <v>10.1</v>
      </c>
      <c r="S13" s="363">
        <v>1.1812</v>
      </c>
      <c r="T13" s="363">
        <v>1.1599999999999999</v>
      </c>
      <c r="U13" s="363">
        <v>5.7999999999999996E-3</v>
      </c>
      <c r="V13" s="363">
        <v>0.01</v>
      </c>
      <c r="W13" s="363">
        <v>2.5999999999999999E-3</v>
      </c>
      <c r="X13" s="363">
        <v>0</v>
      </c>
      <c r="Y13" s="363">
        <v>0.67200000000000004</v>
      </c>
      <c r="Z13" s="363">
        <v>0.76</v>
      </c>
      <c r="AA13" s="363">
        <v>258.94290000000001</v>
      </c>
      <c r="AB13" s="363">
        <v>259.52</v>
      </c>
      <c r="AC13" s="363">
        <v>18.955200000000001</v>
      </c>
      <c r="AD13" s="363">
        <v>19.5</v>
      </c>
      <c r="AE13" s="506" t="s">
        <v>1193</v>
      </c>
      <c r="AF13" s="363">
        <v>6.3100000000000003E-2</v>
      </c>
      <c r="AG13" s="363">
        <v>7.0000000000000007E-2</v>
      </c>
      <c r="AH13" s="363">
        <v>0.73850000000000005</v>
      </c>
      <c r="AI13" s="363">
        <v>0.72</v>
      </c>
      <c r="AJ13" s="363">
        <v>52.3</v>
      </c>
      <c r="AK13" s="363">
        <v>55.76</v>
      </c>
      <c r="AL13" s="363">
        <v>9.3177000000000003</v>
      </c>
      <c r="AM13" s="363">
        <v>9.34</v>
      </c>
      <c r="AN13" s="363">
        <v>203.2773</v>
      </c>
      <c r="AO13" s="363">
        <v>203.63</v>
      </c>
      <c r="AP13" s="363">
        <v>0.75029999999999997</v>
      </c>
      <c r="AQ13" s="363">
        <v>0.75</v>
      </c>
      <c r="AR13" s="363">
        <v>1.6767000000000001</v>
      </c>
      <c r="AS13" s="363">
        <v>1.67</v>
      </c>
      <c r="AT13" s="506" t="s">
        <v>1193</v>
      </c>
      <c r="AU13" s="363">
        <v>21.494900000000001</v>
      </c>
      <c r="AV13" s="363">
        <v>21.53</v>
      </c>
      <c r="AW13" s="363">
        <v>1.1691</v>
      </c>
      <c r="AX13" s="363">
        <v>1.22</v>
      </c>
      <c r="AY13" s="363">
        <v>20.8674</v>
      </c>
      <c r="AZ13" s="363">
        <v>20.9</v>
      </c>
      <c r="BA13" s="363">
        <v>6.6699999999999995E-2</v>
      </c>
      <c r="BB13" s="363">
        <v>7.0000000000000007E-2</v>
      </c>
      <c r="BC13" s="363">
        <v>56.334699999999998</v>
      </c>
      <c r="BD13" s="363">
        <v>58.16</v>
      </c>
      <c r="BE13" s="363">
        <v>9.3073999999999995</v>
      </c>
      <c r="BF13" s="363">
        <v>9.25</v>
      </c>
      <c r="BG13" s="363">
        <v>0.55110000000000003</v>
      </c>
      <c r="BH13" s="363">
        <v>0.54</v>
      </c>
      <c r="BI13" s="506" t="s">
        <v>1193</v>
      </c>
      <c r="BJ13" s="363">
        <v>79.908100000000005</v>
      </c>
      <c r="BK13" s="363">
        <v>80.02</v>
      </c>
      <c r="BL13" s="363">
        <v>0.35630000000000001</v>
      </c>
      <c r="BM13" s="363">
        <v>0.36</v>
      </c>
      <c r="BN13" s="363">
        <v>109.4175</v>
      </c>
      <c r="BO13" s="363">
        <v>109.44</v>
      </c>
      <c r="BP13" s="363">
        <v>2.2054999999999998</v>
      </c>
      <c r="BQ13" s="363">
        <v>2.2200000000000002</v>
      </c>
      <c r="BR13" s="363">
        <v>21.308199999999999</v>
      </c>
      <c r="BS13" s="363">
        <v>21.35</v>
      </c>
      <c r="BT13" s="363">
        <v>78.2637</v>
      </c>
      <c r="BU13" s="363">
        <v>78.400000000000006</v>
      </c>
      <c r="BV13" s="363">
        <v>116.15600000000001</v>
      </c>
      <c r="BW13" s="363">
        <v>105.25</v>
      </c>
    </row>
    <row r="14" spans="1:75" s="256" customFormat="1" ht="10.7" customHeight="1">
      <c r="A14" s="501" t="s">
        <v>1225</v>
      </c>
      <c r="B14" s="377">
        <v>59.658900000000003</v>
      </c>
      <c r="C14" s="377">
        <v>61.93</v>
      </c>
      <c r="D14" s="377">
        <v>79.119200000000006</v>
      </c>
      <c r="E14" s="377">
        <v>80.599999999999994</v>
      </c>
      <c r="F14" s="377">
        <v>209.82980000000001</v>
      </c>
      <c r="G14" s="377">
        <v>213.64</v>
      </c>
      <c r="H14" s="377">
        <v>59.645600000000002</v>
      </c>
      <c r="I14" s="377">
        <v>61.98</v>
      </c>
      <c r="J14" s="377">
        <v>11.6242</v>
      </c>
      <c r="K14" s="377">
        <v>11.9</v>
      </c>
      <c r="L14" s="377">
        <v>11.596</v>
      </c>
      <c r="M14" s="377">
        <v>12.4</v>
      </c>
      <c r="N14" s="377">
        <v>86.2637</v>
      </c>
      <c r="O14" s="377">
        <v>92.21</v>
      </c>
      <c r="P14" s="501" t="s">
        <v>1225</v>
      </c>
      <c r="Q14" s="377">
        <v>10.189</v>
      </c>
      <c r="R14" s="377">
        <v>10.33</v>
      </c>
      <c r="S14" s="377">
        <v>1.1911</v>
      </c>
      <c r="T14" s="377">
        <v>1.25</v>
      </c>
      <c r="U14" s="377">
        <v>6.0000000000000001E-3</v>
      </c>
      <c r="V14" s="377">
        <v>0.01</v>
      </c>
      <c r="W14" s="377">
        <v>2.5000000000000001E-3</v>
      </c>
      <c r="X14" s="377">
        <v>0</v>
      </c>
      <c r="Y14" s="377">
        <v>0.7268</v>
      </c>
      <c r="Z14" s="377">
        <v>0.72</v>
      </c>
      <c r="AA14" s="377">
        <v>260.45460000000003</v>
      </c>
      <c r="AB14" s="377">
        <v>265.73</v>
      </c>
      <c r="AC14" s="377">
        <v>18.4786</v>
      </c>
      <c r="AD14" s="377">
        <v>18.77</v>
      </c>
      <c r="AE14" s="501" t="s">
        <v>1225</v>
      </c>
      <c r="AF14" s="377">
        <v>6.0699999999999997E-2</v>
      </c>
      <c r="AG14" s="377">
        <v>0.06</v>
      </c>
      <c r="AH14" s="377">
        <v>0.74399999999999999</v>
      </c>
      <c r="AI14" s="377">
        <v>0.78</v>
      </c>
      <c r="AJ14" s="377">
        <v>56.3782</v>
      </c>
      <c r="AK14" s="377">
        <v>58.84</v>
      </c>
      <c r="AL14" s="377">
        <v>9.4036000000000008</v>
      </c>
      <c r="AM14" s="377">
        <v>9.61</v>
      </c>
      <c r="AN14" s="377">
        <v>205.4922</v>
      </c>
      <c r="AO14" s="377">
        <v>209.23</v>
      </c>
      <c r="AP14" s="377">
        <v>0.75529999999999997</v>
      </c>
      <c r="AQ14" s="377">
        <v>0.77</v>
      </c>
      <c r="AR14" s="377">
        <v>1.6155999999999999</v>
      </c>
      <c r="AS14" s="377">
        <v>1.6</v>
      </c>
      <c r="AT14" s="501" t="s">
        <v>1225</v>
      </c>
      <c r="AU14" s="377">
        <v>21.713799999999999</v>
      </c>
      <c r="AV14" s="377">
        <v>21.58</v>
      </c>
      <c r="AW14" s="377">
        <v>1.3027</v>
      </c>
      <c r="AX14" s="377">
        <v>1.36</v>
      </c>
      <c r="AY14" s="377">
        <v>21.095400000000001</v>
      </c>
      <c r="AZ14" s="377">
        <v>21.49</v>
      </c>
      <c r="BA14" s="377">
        <v>6.9400000000000003E-2</v>
      </c>
      <c r="BB14" s="377">
        <v>7.0000000000000007E-2</v>
      </c>
      <c r="BC14" s="377">
        <v>56.838999999999999</v>
      </c>
      <c r="BD14" s="377">
        <v>58.43</v>
      </c>
      <c r="BE14" s="377">
        <v>8.9743999999999993</v>
      </c>
      <c r="BF14" s="377">
        <v>9.52</v>
      </c>
      <c r="BG14" s="377">
        <v>0.53</v>
      </c>
      <c r="BH14" s="377">
        <v>0.52</v>
      </c>
      <c r="BI14" s="501" t="s">
        <v>1225</v>
      </c>
      <c r="BJ14" s="377">
        <v>79.829700000000003</v>
      </c>
      <c r="BK14" s="377">
        <v>84.32</v>
      </c>
      <c r="BL14" s="377">
        <v>0.2079</v>
      </c>
      <c r="BM14" s="377">
        <v>0.16</v>
      </c>
      <c r="BN14" s="377">
        <v>108.5568</v>
      </c>
      <c r="BO14" s="377">
        <v>112.08</v>
      </c>
      <c r="BP14" s="377">
        <v>2.2667000000000002</v>
      </c>
      <c r="BQ14" s="377">
        <v>2.37</v>
      </c>
      <c r="BR14" s="377">
        <v>21.540900000000001</v>
      </c>
      <c r="BS14" s="377">
        <v>21.94</v>
      </c>
      <c r="BT14" s="377">
        <v>79.119200000000006</v>
      </c>
      <c r="BU14" s="377">
        <v>80.599999999999994</v>
      </c>
      <c r="BV14" s="377">
        <v>100.3793</v>
      </c>
      <c r="BW14" s="377">
        <v>104.82</v>
      </c>
    </row>
    <row r="15" spans="1:75" s="256" customFormat="1" ht="10.7" customHeight="1">
      <c r="A15" s="506" t="s">
        <v>1350</v>
      </c>
      <c r="B15" s="363">
        <v>63.658630000000002</v>
      </c>
      <c r="C15" s="363">
        <v>61.58</v>
      </c>
      <c r="D15" s="363">
        <v>82.100874000000005</v>
      </c>
      <c r="E15" s="363">
        <v>83.73</v>
      </c>
      <c r="F15" s="363">
        <v>217.64671100000001</v>
      </c>
      <c r="G15" s="363">
        <v>221.47</v>
      </c>
      <c r="H15" s="363">
        <v>64.688146000000003</v>
      </c>
      <c r="I15" s="363">
        <v>63.21</v>
      </c>
      <c r="J15" s="363">
        <v>12.660601</v>
      </c>
      <c r="K15" s="363">
        <v>12.65</v>
      </c>
      <c r="L15" s="363">
        <v>13.163303000000001</v>
      </c>
      <c r="M15" s="363">
        <v>13</v>
      </c>
      <c r="N15" s="363">
        <v>97.992005000000006</v>
      </c>
      <c r="O15" s="363">
        <v>96.86</v>
      </c>
      <c r="P15" s="506" t="s">
        <v>1350</v>
      </c>
      <c r="Q15" s="363">
        <v>10.493054000000001</v>
      </c>
      <c r="R15" s="363">
        <v>10.67</v>
      </c>
      <c r="S15" s="363">
        <v>1.2622720000000001</v>
      </c>
      <c r="T15" s="363">
        <v>1.22</v>
      </c>
      <c r="U15" s="363">
        <v>6.0390000000000001E-3</v>
      </c>
      <c r="V15" s="363">
        <v>0.01</v>
      </c>
      <c r="W15" s="363">
        <v>2.258E-3</v>
      </c>
      <c r="X15" s="363">
        <v>0</v>
      </c>
      <c r="Y15" s="363">
        <v>0.74442600000000003</v>
      </c>
      <c r="Z15" s="363">
        <v>0.76</v>
      </c>
      <c r="AA15" s="363">
        <v>272.38111300000003</v>
      </c>
      <c r="AB15" s="363">
        <v>276.82</v>
      </c>
      <c r="AC15" s="363">
        <v>20.178184999999999</v>
      </c>
      <c r="AD15" s="363">
        <v>20.74</v>
      </c>
      <c r="AE15" s="506" t="s">
        <v>1350</v>
      </c>
      <c r="AF15" s="363">
        <v>6.0657999999999997E-2</v>
      </c>
      <c r="AG15" s="363">
        <v>0.06</v>
      </c>
      <c r="AH15" s="363">
        <v>0.78928299999999996</v>
      </c>
      <c r="AI15" s="363">
        <v>0.77</v>
      </c>
      <c r="AJ15" s="363">
        <v>58.730638999999996</v>
      </c>
      <c r="AK15" s="363">
        <v>56.56</v>
      </c>
      <c r="AL15" s="363">
        <v>10.272456</v>
      </c>
      <c r="AM15" s="363">
        <v>10.220000000000001</v>
      </c>
      <c r="AN15" s="363">
        <v>213.226247</v>
      </c>
      <c r="AO15" s="363">
        <v>217.47</v>
      </c>
      <c r="AP15" s="363">
        <v>0.74837200000000004</v>
      </c>
      <c r="AQ15" s="363">
        <v>0.69</v>
      </c>
      <c r="AR15" s="363">
        <v>1.597353</v>
      </c>
      <c r="AS15" s="363">
        <v>1.57</v>
      </c>
      <c r="AT15" s="506" t="s">
        <v>1350</v>
      </c>
      <c r="AU15" s="558">
        <v>22.433156</v>
      </c>
      <c r="AV15" s="363">
        <v>23</v>
      </c>
      <c r="AW15" s="363">
        <v>1.392849</v>
      </c>
      <c r="AX15" s="363">
        <v>1.33</v>
      </c>
      <c r="AY15" s="363">
        <v>21.892281000000001</v>
      </c>
      <c r="AZ15" s="363">
        <v>22.32</v>
      </c>
      <c r="BA15" s="363">
        <v>7.4847999999999998E-2</v>
      </c>
      <c r="BB15" s="363">
        <v>0.08</v>
      </c>
      <c r="BC15" s="363">
        <v>61.194586000000001</v>
      </c>
      <c r="BD15" s="363">
        <v>61.21</v>
      </c>
      <c r="BE15" s="363">
        <v>9.896687</v>
      </c>
      <c r="BF15" s="363">
        <v>9.34</v>
      </c>
      <c r="BG15" s="363">
        <v>0.53053300000000003</v>
      </c>
      <c r="BH15" s="363">
        <v>0.53</v>
      </c>
      <c r="BI15" s="506" t="s">
        <v>1350</v>
      </c>
      <c r="BJ15" s="363">
        <v>84.626541000000003</v>
      </c>
      <c r="BK15" s="363">
        <v>83.94</v>
      </c>
      <c r="BL15" s="363">
        <v>0.159326</v>
      </c>
      <c r="BM15" s="363">
        <v>0.16</v>
      </c>
      <c r="BN15" s="363">
        <v>116.904573</v>
      </c>
      <c r="BO15" s="363">
        <v>117.62</v>
      </c>
      <c r="BP15" s="363">
        <v>2.5323829999999998</v>
      </c>
      <c r="BQ15" s="363">
        <v>2.5299999999999998</v>
      </c>
      <c r="BR15" s="363">
        <v>22.35247</v>
      </c>
      <c r="BS15" s="363">
        <v>22.79</v>
      </c>
      <c r="BT15" s="363">
        <v>82.100874000000005</v>
      </c>
      <c r="BU15" s="363">
        <v>83.73</v>
      </c>
      <c r="BV15" s="363">
        <v>110.612995</v>
      </c>
      <c r="BW15" s="363">
        <v>109.5</v>
      </c>
    </row>
    <row r="16" spans="1:75" s="256" customFormat="1" ht="10.7" customHeight="1">
      <c r="A16" s="585" t="s">
        <v>1466</v>
      </c>
      <c r="B16" s="377">
        <v>60.13044</v>
      </c>
      <c r="C16" s="377">
        <v>59.32</v>
      </c>
      <c r="D16" s="377">
        <v>84.026285999999999</v>
      </c>
      <c r="E16" s="377">
        <v>84.5</v>
      </c>
      <c r="F16" s="377">
        <v>222.77708799999999</v>
      </c>
      <c r="G16" s="377">
        <v>224.14</v>
      </c>
      <c r="H16" s="377">
        <v>63.498502999999999</v>
      </c>
      <c r="I16" s="377">
        <v>64.540000000000006</v>
      </c>
      <c r="J16" s="377">
        <v>12.329136</v>
      </c>
      <c r="K16" s="377">
        <v>12.29</v>
      </c>
      <c r="L16" s="377">
        <v>12.848271</v>
      </c>
      <c r="M16" s="377">
        <v>12.87</v>
      </c>
      <c r="N16" s="377">
        <v>95.877876000000001</v>
      </c>
      <c r="O16" s="377">
        <v>96.08</v>
      </c>
      <c r="P16" s="585" t="s">
        <v>1466</v>
      </c>
      <c r="Q16" s="377">
        <v>10.717393</v>
      </c>
      <c r="R16" s="377">
        <v>10.82</v>
      </c>
      <c r="S16" s="377">
        <v>1.1916819999999999</v>
      </c>
      <c r="T16" s="377">
        <v>1.23</v>
      </c>
      <c r="U16" s="377">
        <v>5.8180000000000003E-3</v>
      </c>
      <c r="V16" s="377">
        <v>0.01</v>
      </c>
      <c r="W16" s="377">
        <v>1.9940000000000001E-3</v>
      </c>
      <c r="X16" s="377">
        <v>0</v>
      </c>
      <c r="Y16" s="377">
        <v>0.75638300000000003</v>
      </c>
      <c r="Z16" s="377">
        <v>0.78</v>
      </c>
      <c r="AA16" s="377">
        <v>276.78387400000003</v>
      </c>
      <c r="AB16" s="377">
        <v>278.45999999999998</v>
      </c>
      <c r="AC16" s="377">
        <v>20.365683000000001</v>
      </c>
      <c r="AD16" s="377">
        <v>20.45</v>
      </c>
      <c r="AE16" s="585" t="s">
        <v>1466</v>
      </c>
      <c r="AF16" s="377">
        <v>5.4908999999999999E-2</v>
      </c>
      <c r="AG16" s="377">
        <v>0.06</v>
      </c>
      <c r="AH16" s="377">
        <v>0.738479</v>
      </c>
      <c r="AI16" s="377">
        <v>0.74</v>
      </c>
      <c r="AJ16" s="377">
        <v>56.357278000000001</v>
      </c>
      <c r="AK16" s="377">
        <v>56.78</v>
      </c>
      <c r="AL16" s="377">
        <v>9.9208660000000002</v>
      </c>
      <c r="AM16" s="377">
        <v>9.9</v>
      </c>
      <c r="AN16" s="377">
        <v>218.257195</v>
      </c>
      <c r="AO16" s="377">
        <v>219.48</v>
      </c>
      <c r="AP16" s="377">
        <v>0.61963699999999999</v>
      </c>
      <c r="AQ16" s="377">
        <v>0.52</v>
      </c>
      <c r="AR16" s="377">
        <v>1.5919129999999999</v>
      </c>
      <c r="AS16" s="377">
        <v>1.65</v>
      </c>
      <c r="AT16" s="585" t="s">
        <v>1466</v>
      </c>
      <c r="AU16" s="447">
        <v>23.075112000000001</v>
      </c>
      <c r="AV16" s="377">
        <v>23.21</v>
      </c>
      <c r="AW16" s="377">
        <v>1.2804949999999999</v>
      </c>
      <c r="AX16" s="377">
        <v>1.34</v>
      </c>
      <c r="AY16" s="377">
        <v>22.402844999999999</v>
      </c>
      <c r="AZ16" s="377">
        <v>22.53</v>
      </c>
      <c r="BA16" s="377">
        <v>7.4062000000000003E-2</v>
      </c>
      <c r="BB16" s="377">
        <v>7.0000000000000007E-2</v>
      </c>
      <c r="BC16" s="377">
        <v>61.545448</v>
      </c>
      <c r="BD16" s="377">
        <v>62.47</v>
      </c>
      <c r="BE16" s="377">
        <v>9.1900670000000009</v>
      </c>
      <c r="BF16" s="377">
        <v>9.1</v>
      </c>
      <c r="BG16" s="377">
        <v>0.48621799999999998</v>
      </c>
      <c r="BH16" s="377">
        <v>0.48</v>
      </c>
      <c r="BI16" s="562" t="s">
        <v>1466</v>
      </c>
      <c r="BJ16" s="377">
        <v>84.462277</v>
      </c>
      <c r="BK16" s="377">
        <v>86.56</v>
      </c>
      <c r="BL16" s="377">
        <v>0.16306300000000001</v>
      </c>
      <c r="BM16" s="377">
        <v>0.16</v>
      </c>
      <c r="BN16" s="377">
        <v>116.893812</v>
      </c>
      <c r="BO16" s="377">
        <v>117.48</v>
      </c>
      <c r="BP16" s="377">
        <v>2.6052249999999999</v>
      </c>
      <c r="BQ16" s="377">
        <v>2.75</v>
      </c>
      <c r="BR16" s="377">
        <v>22.875958000000001</v>
      </c>
      <c r="BS16" s="377">
        <v>23</v>
      </c>
      <c r="BT16" s="377">
        <v>84.026285999999999</v>
      </c>
      <c r="BU16" s="377">
        <v>84.5</v>
      </c>
      <c r="BV16" s="377">
        <v>108.79983300000001</v>
      </c>
      <c r="BW16" s="377">
        <v>107.27</v>
      </c>
    </row>
    <row r="17" spans="1:75" s="174" customFormat="1" ht="10.7" customHeight="1">
      <c r="A17" s="544" t="s">
        <v>1550</v>
      </c>
      <c r="B17" s="606">
        <v>56.938333333333333</v>
      </c>
      <c r="C17" s="363">
        <v>58.28</v>
      </c>
      <c r="D17" s="606">
        <v>84.781146000000007</v>
      </c>
      <c r="E17" s="363">
        <v>84.9</v>
      </c>
      <c r="F17" s="606">
        <v>224.80451299999999</v>
      </c>
      <c r="G17" s="363">
        <v>224.84</v>
      </c>
      <c r="H17" s="363">
        <v>63.281075000000001</v>
      </c>
      <c r="I17" s="363">
        <v>62.16</v>
      </c>
      <c r="J17" s="606">
        <v>12.082319</v>
      </c>
      <c r="K17" s="363">
        <v>11.99</v>
      </c>
      <c r="L17" s="606">
        <v>12.557464</v>
      </c>
      <c r="M17" s="363">
        <v>12.81</v>
      </c>
      <c r="N17" s="606">
        <v>93.728005999999993</v>
      </c>
      <c r="O17" s="363">
        <v>95.44</v>
      </c>
      <c r="P17" s="544" t="s">
        <v>1550</v>
      </c>
      <c r="Q17" s="363">
        <v>10.875048</v>
      </c>
      <c r="R17" s="363">
        <v>10.95</v>
      </c>
      <c r="S17" s="363">
        <v>1.1732959999999999</v>
      </c>
      <c r="T17" s="363">
        <v>1.1200000000000001</v>
      </c>
      <c r="U17" s="363">
        <v>5.947E-3</v>
      </c>
      <c r="V17" s="363">
        <v>0.01</v>
      </c>
      <c r="W17" s="363">
        <v>2.019E-3</v>
      </c>
      <c r="X17" s="363">
        <v>0</v>
      </c>
      <c r="Y17" s="363">
        <v>0.78395800000000004</v>
      </c>
      <c r="Z17" s="363">
        <v>0.79</v>
      </c>
      <c r="AA17" s="363">
        <v>277.50460600000002</v>
      </c>
      <c r="AB17" s="363">
        <v>275.87</v>
      </c>
      <c r="AC17" s="363">
        <v>20.179838</v>
      </c>
      <c r="AD17" s="363">
        <v>19.84</v>
      </c>
      <c r="AE17" s="544" t="s">
        <v>1550</v>
      </c>
      <c r="AF17" s="363">
        <v>5.7696999999999998E-2</v>
      </c>
      <c r="AG17" s="363">
        <v>0.06</v>
      </c>
      <c r="AH17" s="363">
        <v>0.73525200000000002</v>
      </c>
      <c r="AI17" s="363">
        <v>0.74</v>
      </c>
      <c r="AJ17" s="363">
        <v>54.053877999999997</v>
      </c>
      <c r="AK17" s="363">
        <v>54.51</v>
      </c>
      <c r="AL17" s="363">
        <v>9.1142979999999998</v>
      </c>
      <c r="AM17" s="363">
        <v>8.7799999999999994</v>
      </c>
      <c r="AN17" s="363">
        <v>220.280869</v>
      </c>
      <c r="AO17" s="363">
        <v>220.52</v>
      </c>
      <c r="AP17" s="363">
        <v>0.53694600000000003</v>
      </c>
      <c r="AQ17" s="363">
        <v>0.51</v>
      </c>
      <c r="AR17" s="363">
        <v>1.6620809999999999</v>
      </c>
      <c r="AS17" s="363">
        <v>1.71</v>
      </c>
      <c r="AT17" s="544" t="s">
        <v>1550</v>
      </c>
      <c r="AU17" s="558">
        <v>23.267150999999998</v>
      </c>
      <c r="AV17" s="363">
        <v>23.32</v>
      </c>
      <c r="AW17" s="363">
        <v>1.2791429999999999</v>
      </c>
      <c r="AX17" s="363">
        <v>1.21</v>
      </c>
      <c r="AY17" s="363">
        <v>22.595566999999999</v>
      </c>
      <c r="AZ17" s="363">
        <v>22.63</v>
      </c>
      <c r="BA17" s="363">
        <v>7.0989999999999998E-2</v>
      </c>
      <c r="BB17" s="363">
        <v>7.0000000000000007E-2</v>
      </c>
      <c r="BC17" s="363">
        <v>61.346919</v>
      </c>
      <c r="BD17" s="363">
        <v>60.92</v>
      </c>
      <c r="BE17" s="363">
        <v>8.8075340000000004</v>
      </c>
      <c r="BF17" s="363">
        <v>9.1</v>
      </c>
      <c r="BG17" s="363">
        <v>0.46550399999999997</v>
      </c>
      <c r="BH17" s="363">
        <v>0.46</v>
      </c>
      <c r="BI17" s="559" t="s">
        <v>1550</v>
      </c>
      <c r="BJ17" s="606">
        <v>86.748475999999997</v>
      </c>
      <c r="BK17" s="363">
        <v>89.24</v>
      </c>
      <c r="BL17" s="606">
        <v>0.180815</v>
      </c>
      <c r="BM17" s="363">
        <v>0.17</v>
      </c>
      <c r="BN17" s="606">
        <v>116.43907</v>
      </c>
      <c r="BO17" s="363">
        <v>117.14</v>
      </c>
      <c r="BP17" s="606">
        <v>2.7366299999999999</v>
      </c>
      <c r="BQ17" s="363">
        <v>2.75</v>
      </c>
      <c r="BR17" s="606">
        <v>23.081669999999999</v>
      </c>
      <c r="BS17" s="363">
        <v>23.11</v>
      </c>
      <c r="BT17" s="606">
        <v>84.781146000000007</v>
      </c>
      <c r="BU17" s="363">
        <v>84.9</v>
      </c>
      <c r="BV17" s="606">
        <v>106.809804</v>
      </c>
      <c r="BW17" s="363">
        <v>104.41</v>
      </c>
    </row>
    <row r="18" spans="1:75" s="174" customFormat="1" ht="10.7" customHeight="1">
      <c r="A18" s="585" t="s">
        <v>1606</v>
      </c>
      <c r="B18" s="605">
        <v>63.341738999999997</v>
      </c>
      <c r="C18" s="605">
        <v>63.71</v>
      </c>
      <c r="D18" s="605">
        <v>84.806312000000005</v>
      </c>
      <c r="E18" s="747">
        <v>84.81</v>
      </c>
      <c r="F18" s="605">
        <v>224.924701</v>
      </c>
      <c r="G18" s="747">
        <v>224.97</v>
      </c>
      <c r="H18" s="605">
        <v>66.165549999999996</v>
      </c>
      <c r="I18" s="605">
        <v>68.39</v>
      </c>
      <c r="J18" s="605">
        <v>12.812291999999999</v>
      </c>
      <c r="K18" s="605">
        <v>13.13</v>
      </c>
      <c r="L18" s="605">
        <v>13.594389</v>
      </c>
      <c r="M18" s="605">
        <v>13.57</v>
      </c>
      <c r="N18" s="605">
        <v>101.153004</v>
      </c>
      <c r="O18" s="605">
        <v>100.9</v>
      </c>
      <c r="P18" s="585" t="s">
        <v>1606</v>
      </c>
      <c r="Q18" s="377">
        <v>10.933994999999999</v>
      </c>
      <c r="R18" s="377">
        <v>10.92</v>
      </c>
      <c r="S18" s="377">
        <v>1.150649</v>
      </c>
      <c r="T18" s="377">
        <v>1.1399999999999999</v>
      </c>
      <c r="U18" s="377">
        <v>5.8910000000000004E-3</v>
      </c>
      <c r="V18" s="377">
        <v>0.01</v>
      </c>
      <c r="W18" s="377">
        <v>2.019E-3</v>
      </c>
      <c r="X18" s="377">
        <v>0</v>
      </c>
      <c r="Y18" s="377">
        <v>0.79669900000000005</v>
      </c>
      <c r="Z18" s="377">
        <v>0.77</v>
      </c>
      <c r="AA18" s="377">
        <v>279.00494600000002</v>
      </c>
      <c r="AB18" s="377">
        <v>281.68</v>
      </c>
      <c r="AC18" s="377">
        <v>20.559958000000002</v>
      </c>
      <c r="AD18" s="377">
        <v>20.420000000000002</v>
      </c>
      <c r="AE18" s="585" t="s">
        <v>1606</v>
      </c>
      <c r="AF18" s="377">
        <v>6.0921000000000003E-2</v>
      </c>
      <c r="AG18" s="377">
        <v>0.05</v>
      </c>
      <c r="AH18" s="377">
        <v>0.76285199999999997</v>
      </c>
      <c r="AI18" s="377">
        <v>0.77</v>
      </c>
      <c r="AJ18" s="377">
        <v>58.96931</v>
      </c>
      <c r="AK18" s="377">
        <v>59.29</v>
      </c>
      <c r="AL18" s="377">
        <v>9.6923999999999992</v>
      </c>
      <c r="AM18" s="377">
        <v>9.9</v>
      </c>
      <c r="AN18" s="377">
        <v>220.282085</v>
      </c>
      <c r="AO18" s="377">
        <v>220.29</v>
      </c>
      <c r="AP18" s="377">
        <v>0.52952200000000005</v>
      </c>
      <c r="AQ18" s="377">
        <v>0.54</v>
      </c>
      <c r="AR18" s="377">
        <v>1.751452</v>
      </c>
      <c r="AS18" s="377">
        <v>1.74</v>
      </c>
      <c r="AT18" s="585" t="s">
        <v>1606</v>
      </c>
      <c r="AU18" s="447">
        <v>23.249677999999999</v>
      </c>
      <c r="AV18" s="377">
        <v>22.91</v>
      </c>
      <c r="AW18" s="377">
        <v>1.13683</v>
      </c>
      <c r="AX18" s="377">
        <v>1.1599999999999999</v>
      </c>
      <c r="AY18" s="377">
        <v>22.610361999999999</v>
      </c>
      <c r="AZ18" s="377">
        <v>22.61</v>
      </c>
      <c r="BA18" s="377">
        <v>7.4756000000000003E-2</v>
      </c>
      <c r="BB18" s="377">
        <v>0.08</v>
      </c>
      <c r="BC18" s="377">
        <v>62.987192999999998</v>
      </c>
      <c r="BD18" s="377">
        <v>63.04</v>
      </c>
      <c r="BE18" s="377">
        <v>9.8980940000000004</v>
      </c>
      <c r="BF18" s="377">
        <v>9.9499999999999993</v>
      </c>
      <c r="BG18" s="377">
        <v>0.44517299999999999</v>
      </c>
      <c r="BH18" s="377">
        <v>0.43</v>
      </c>
      <c r="BI18" s="585" t="s">
        <v>1606</v>
      </c>
      <c r="BJ18" s="605">
        <v>93.197113000000002</v>
      </c>
      <c r="BK18" s="377">
        <v>92.11</v>
      </c>
      <c r="BL18" s="605">
        <v>6.0878000000000002E-2</v>
      </c>
      <c r="BM18" s="377">
        <v>0.03</v>
      </c>
      <c r="BN18" s="605">
        <v>120.843248</v>
      </c>
      <c r="BO18" s="377">
        <v>121.01</v>
      </c>
      <c r="BP18" s="605">
        <v>2.7461980000000001</v>
      </c>
      <c r="BQ18" s="377">
        <v>2.65</v>
      </c>
      <c r="BR18" s="605">
        <v>23.088276</v>
      </c>
      <c r="BS18" s="377">
        <v>23.09</v>
      </c>
      <c r="BT18" s="605">
        <v>84.806312000000005</v>
      </c>
      <c r="BU18" s="377">
        <v>84.81</v>
      </c>
      <c r="BV18" s="605">
        <v>114.20348300000001</v>
      </c>
      <c r="BW18" s="377">
        <v>117.36</v>
      </c>
    </row>
    <row r="19" spans="1:75" s="174" customFormat="1" ht="10.7" customHeight="1">
      <c r="A19" s="570" t="s">
        <v>1927</v>
      </c>
      <c r="B19" s="691">
        <v>62.632107885953701</v>
      </c>
      <c r="C19" s="691">
        <v>64.312288642109806</v>
      </c>
      <c r="D19" s="691">
        <v>86.300625801282095</v>
      </c>
      <c r="E19" s="1201">
        <v>93.45</v>
      </c>
      <c r="F19" s="691">
        <v>228.90339795048399</v>
      </c>
      <c r="G19" s="691">
        <v>247.87798408488101</v>
      </c>
      <c r="H19" s="691">
        <v>68.192807053052405</v>
      </c>
      <c r="I19" s="691">
        <v>72.4811913441402</v>
      </c>
      <c r="J19" s="691">
        <v>13.3677632698337</v>
      </c>
      <c r="K19" s="691">
        <v>13.924069493697299</v>
      </c>
      <c r="L19" s="691">
        <v>13.0828722420963</v>
      </c>
      <c r="M19" s="691">
        <v>13.1145010314776</v>
      </c>
      <c r="N19" s="691">
        <v>97.316128944854796</v>
      </c>
      <c r="O19" s="691">
        <v>97.571141419883105</v>
      </c>
      <c r="P19" s="570" t="s">
        <v>1927</v>
      </c>
      <c r="Q19" s="623">
        <v>11.057872111094801</v>
      </c>
      <c r="R19" s="623">
        <v>11.909465125466699</v>
      </c>
      <c r="S19" s="623">
        <v>1.1454707387132601</v>
      </c>
      <c r="T19" s="623">
        <v>1.1837355120653601</v>
      </c>
      <c r="U19" s="623">
        <v>5.9986516404194898E-3</v>
      </c>
      <c r="V19" s="623">
        <v>6.2791869645556896E-3</v>
      </c>
      <c r="W19" s="623">
        <v>2.0547768047924301E-3</v>
      </c>
      <c r="X19" s="623">
        <v>2.225E-3</v>
      </c>
      <c r="Y19" s="623">
        <v>0.73792922776657999</v>
      </c>
      <c r="Z19" s="623">
        <v>0.68413924374977098</v>
      </c>
      <c r="AA19" s="623">
        <v>284.79494477316598</v>
      </c>
      <c r="AB19" s="623">
        <v>304.59582790091298</v>
      </c>
      <c r="AC19" s="623">
        <v>20.4044480830926</v>
      </c>
      <c r="AD19" s="623">
        <v>21.209714026327699</v>
      </c>
      <c r="AE19" s="570" t="s">
        <v>1927</v>
      </c>
      <c r="AF19" s="623">
        <v>4.8513262948088498E-2</v>
      </c>
      <c r="AG19" s="623">
        <v>5.0472589792060499E-2</v>
      </c>
      <c r="AH19" s="623">
        <v>0.75722637675896198</v>
      </c>
      <c r="AI19" s="623">
        <v>0.78847119274724597</v>
      </c>
      <c r="AJ19" s="623">
        <v>58.7731230587749</v>
      </c>
      <c r="AK19" s="623">
        <v>58.102537124246098</v>
      </c>
      <c r="AL19" s="623">
        <v>9.6705436584064195</v>
      </c>
      <c r="AM19" s="623">
        <v>9.4238303408007997</v>
      </c>
      <c r="AN19" s="623">
        <v>224.15752312170301</v>
      </c>
      <c r="AO19" s="623">
        <v>242.727272727273</v>
      </c>
      <c r="AP19" s="623">
        <v>0.48789368554130003</v>
      </c>
      <c r="AQ19" s="623">
        <v>0.45752753977968202</v>
      </c>
      <c r="AR19" s="623">
        <v>1.68568591537709</v>
      </c>
      <c r="AS19" s="623">
        <v>1.7028061224489801</v>
      </c>
      <c r="AT19" s="570" t="s">
        <v>1927</v>
      </c>
      <c r="AU19" s="552">
        <v>23.6001978973406</v>
      </c>
      <c r="AV19" s="623">
        <v>25.511875511875498</v>
      </c>
      <c r="AW19" s="623">
        <v>1.1694251333424299</v>
      </c>
      <c r="AX19" s="623">
        <v>1.7690487458589701</v>
      </c>
      <c r="AY19" s="623">
        <v>23.005250020056899</v>
      </c>
      <c r="AZ19" s="623">
        <v>24.906052610538101</v>
      </c>
      <c r="BA19" s="623">
        <v>7.18486640819683E-2</v>
      </c>
      <c r="BB19" s="623">
        <v>7.1928879310344807E-2</v>
      </c>
      <c r="BC19" s="623">
        <v>63.469752162503802</v>
      </c>
      <c r="BD19" s="623">
        <v>67.0493273542601</v>
      </c>
      <c r="BE19" s="623">
        <v>9.4821334587212203</v>
      </c>
      <c r="BF19" s="623">
        <v>9.1328886608517195</v>
      </c>
      <c r="BG19" s="623">
        <v>0.37657004942998001</v>
      </c>
      <c r="BH19" s="623">
        <v>0.25886426592797801</v>
      </c>
      <c r="BI19" s="570" t="s">
        <v>1927</v>
      </c>
      <c r="BJ19" s="691">
        <v>92.631618793016997</v>
      </c>
      <c r="BK19" s="623">
        <v>97.827793771264098</v>
      </c>
      <c r="BL19" s="691">
        <v>3.43529430421185E-2</v>
      </c>
      <c r="BM19" s="623">
        <v>3.7194029850746303E-2</v>
      </c>
      <c r="BN19" s="691">
        <v>120.167964158673</v>
      </c>
      <c r="BO19" s="623">
        <v>124.08710662594601</v>
      </c>
      <c r="BP19" s="691">
        <v>2.5815933240538902</v>
      </c>
      <c r="BQ19" s="623">
        <v>2.6476838079048002</v>
      </c>
      <c r="BR19" s="691">
        <v>23.495424609959599</v>
      </c>
      <c r="BS19" s="623">
        <v>25.441724973455699</v>
      </c>
      <c r="BT19" s="691">
        <v>86.300625801282095</v>
      </c>
      <c r="BU19" s="623">
        <v>93.45</v>
      </c>
      <c r="BV19" s="691">
        <v>114.891880227879</v>
      </c>
      <c r="BW19" s="623">
        <v>113.326811917622</v>
      </c>
    </row>
    <row r="20" spans="1:75" s="174" customFormat="1" ht="10.7" customHeight="1">
      <c r="A20" s="621" t="s">
        <v>2183</v>
      </c>
      <c r="B20" s="971">
        <v>66.962726434477901</v>
      </c>
      <c r="C20" s="971">
        <f>C32</f>
        <v>70.786798412698403</v>
      </c>
      <c r="D20" s="971">
        <v>99.457405033238302</v>
      </c>
      <c r="E20" s="971">
        <f>E32</f>
        <v>106</v>
      </c>
      <c r="F20" s="971">
        <v>263.790933102991</v>
      </c>
      <c r="G20" s="971">
        <f>G32</f>
        <v>281.16710875331597</v>
      </c>
      <c r="H20" s="971">
        <v>74.260788473910196</v>
      </c>
      <c r="I20" s="971">
        <f>I32</f>
        <v>80.403534721432095</v>
      </c>
      <c r="J20" s="971">
        <v>14.3315080422354</v>
      </c>
      <c r="K20" s="971">
        <f>K32</f>
        <v>14.7107805040524</v>
      </c>
      <c r="L20" s="971">
        <v>14.0118337590119</v>
      </c>
      <c r="M20" s="971">
        <f>M32</f>
        <v>15.507505047254</v>
      </c>
      <c r="N20" s="971">
        <v>104.284585209852</v>
      </c>
      <c r="O20" s="971">
        <f>O32</f>
        <v>115.444596106877</v>
      </c>
      <c r="P20" s="621" t="s">
        <v>2183</v>
      </c>
      <c r="Q20" s="551">
        <v>12.6905904001521</v>
      </c>
      <c r="R20" s="971">
        <f>R32</f>
        <v>13.537762054674699</v>
      </c>
      <c r="S20" s="551">
        <v>1.21949019522715</v>
      </c>
      <c r="T20" s="971">
        <f>T32</f>
        <v>1.29291943648228</v>
      </c>
      <c r="U20" s="551">
        <v>6.5674701106130402E-3</v>
      </c>
      <c r="V20" s="971">
        <f>V32</f>
        <v>7.0537348194975903E-3</v>
      </c>
      <c r="W20" s="551">
        <v>2.3679287805333199E-3</v>
      </c>
      <c r="X20" s="971">
        <f>X32</f>
        <v>2.5236593059936902E-3</v>
      </c>
      <c r="Y20" s="551">
        <v>0.72529589117079796</v>
      </c>
      <c r="Z20" s="971">
        <f>Z32</f>
        <v>0.73767354466056601</v>
      </c>
      <c r="AA20" s="551">
        <v>323.64031586335</v>
      </c>
      <c r="AB20" s="971">
        <f>AB32</f>
        <v>344.77150756220499</v>
      </c>
      <c r="AC20" s="551">
        <v>22.156097467835</v>
      </c>
      <c r="AD20" s="971">
        <f>AD32</f>
        <v>22.627815135019699</v>
      </c>
      <c r="AE20" s="621" t="s">
        <v>2183</v>
      </c>
      <c r="AF20" s="551">
        <v>4.8009859112513299E-2</v>
      </c>
      <c r="AG20" s="971">
        <f>AG32</f>
        <v>5.0476190476190501E-2</v>
      </c>
      <c r="AH20" s="551">
        <v>0.83168799222397405</v>
      </c>
      <c r="AI20" s="971">
        <f>AI32</f>
        <v>0.89241890143233205</v>
      </c>
      <c r="AJ20" s="551">
        <v>61.334728638673099</v>
      </c>
      <c r="AK20" s="971">
        <f>AK32</f>
        <v>65.105193096711204</v>
      </c>
      <c r="AL20" s="551">
        <v>9.6828386732266605</v>
      </c>
      <c r="AM20" s="971">
        <f>AM32</f>
        <v>9.7922382654805098</v>
      </c>
      <c r="AN20" s="551">
        <v>258.33117304075</v>
      </c>
      <c r="AO20" s="971">
        <f>AO32</f>
        <v>275.32467532467501</v>
      </c>
      <c r="AP20" s="551">
        <v>0.40540064524465602</v>
      </c>
      <c r="AQ20" s="971">
        <f>AQ32</f>
        <v>0.36949891067538099</v>
      </c>
      <c r="AR20" s="551">
        <v>1.77552705814055</v>
      </c>
      <c r="AS20" s="971">
        <f>AS32</f>
        <v>1.9013452914798199</v>
      </c>
      <c r="AT20" s="621" t="s">
        <v>2183</v>
      </c>
      <c r="AU20" s="622">
        <v>27.1894410334999</v>
      </c>
      <c r="AV20" s="971">
        <f>AV32</f>
        <v>29.0960994757212</v>
      </c>
      <c r="AW20" s="551">
        <v>1.4556590647005301</v>
      </c>
      <c r="AX20" s="971">
        <f>AX32</f>
        <v>1.26718469814704</v>
      </c>
      <c r="AY20" s="551">
        <v>26.4846636399181</v>
      </c>
      <c r="AZ20" s="971">
        <f>AZ32</f>
        <v>28.2583775425875</v>
      </c>
      <c r="BA20" s="551">
        <v>7.5355456564335399E-2</v>
      </c>
      <c r="BB20" s="971">
        <f>BB32</f>
        <v>8.1377896688457005E-2</v>
      </c>
      <c r="BC20" s="551">
        <v>72.992704996318196</v>
      </c>
      <c r="BD20" s="971">
        <f>BD32</f>
        <v>78.405266466955098</v>
      </c>
      <c r="BE20" s="551">
        <v>9.4282679094709891</v>
      </c>
      <c r="BF20" s="971">
        <f>BF32</f>
        <v>9.9008976191143407</v>
      </c>
      <c r="BG20" s="551">
        <v>0.28801197172235798</v>
      </c>
      <c r="BH20" s="971">
        <f>BH32</f>
        <v>0.34527687296416898</v>
      </c>
      <c r="BI20" s="621" t="s">
        <v>2183</v>
      </c>
      <c r="BJ20" s="971">
        <v>106.17056906989799</v>
      </c>
      <c r="BK20" s="971">
        <f>BK32</f>
        <v>118.11242966182</v>
      </c>
      <c r="BL20" s="971">
        <v>3.9590655314694898E-2</v>
      </c>
      <c r="BM20" s="971">
        <f>BM32</f>
        <v>4.2189054726368198E-2</v>
      </c>
      <c r="BN20" s="971">
        <v>131.65247142856401</v>
      </c>
      <c r="BO20" s="971">
        <f>BO32</f>
        <v>141.38988928904899</v>
      </c>
      <c r="BP20" s="971">
        <v>2.82572198213329</v>
      </c>
      <c r="BQ20" s="971">
        <f>BQ32</f>
        <v>3.0100809314212702</v>
      </c>
      <c r="BR20" s="971">
        <v>27.077377690671</v>
      </c>
      <c r="BS20" s="971">
        <f>BS32</f>
        <v>28.860028860028901</v>
      </c>
      <c r="BT20" s="971">
        <v>99.457405033238302</v>
      </c>
      <c r="BU20" s="971">
        <f>BU32</f>
        <v>106</v>
      </c>
      <c r="BV20" s="971">
        <v>119.88750660689399</v>
      </c>
      <c r="BW20" s="971">
        <f>BW32</f>
        <v>134.75249812389399</v>
      </c>
    </row>
    <row r="21" spans="1:75" s="174" customFormat="1" ht="10.7" customHeight="1">
      <c r="A21" s="559" t="s">
        <v>565</v>
      </c>
      <c r="B21" s="606">
        <v>64.313102826423204</v>
      </c>
      <c r="C21" s="606">
        <v>66.157418644431701</v>
      </c>
      <c r="D21" s="606">
        <v>93.887307692307701</v>
      </c>
      <c r="E21" s="606">
        <v>94.7</v>
      </c>
      <c r="F21" s="606">
        <v>249.03287411392699</v>
      </c>
      <c r="G21" s="606">
        <v>251.193633952255</v>
      </c>
      <c r="H21" s="606">
        <v>72.5457807112643</v>
      </c>
      <c r="I21" s="606">
        <v>74.019071439737402</v>
      </c>
      <c r="J21" s="606">
        <v>13.944326977049901</v>
      </c>
      <c r="K21" s="606">
        <v>14.0427361834008</v>
      </c>
      <c r="L21" s="606">
        <v>12.8679722375028</v>
      </c>
      <c r="M21" s="606">
        <v>13.009313954446799</v>
      </c>
      <c r="N21" s="606">
        <v>95.770371364574004</v>
      </c>
      <c r="O21" s="606">
        <v>96.783396293542097</v>
      </c>
      <c r="P21" s="559" t="s">
        <v>565</v>
      </c>
      <c r="Q21" s="363">
        <v>11.962244657245799</v>
      </c>
      <c r="R21" s="363">
        <v>12.063771106822299</v>
      </c>
      <c r="S21" s="363">
        <v>1.18063850697232</v>
      </c>
      <c r="T21" s="363">
        <v>1.1934317147861999</v>
      </c>
      <c r="U21" s="363">
        <v>6.2669218081374597E-3</v>
      </c>
      <c r="V21" s="363">
        <v>6.3846283499073E-3</v>
      </c>
      <c r="W21" s="363">
        <v>2.2354120879120899E-3</v>
      </c>
      <c r="X21" s="363">
        <v>2.2547619047619E-3</v>
      </c>
      <c r="Y21" s="363">
        <v>0.68689277079517796</v>
      </c>
      <c r="Z21" s="363">
        <v>0.71093427423895506</v>
      </c>
      <c r="AA21" s="363">
        <v>305.40960513152299</v>
      </c>
      <c r="AB21" s="363">
        <v>308.46905537459298</v>
      </c>
      <c r="AC21" s="363">
        <v>21.146921771252298</v>
      </c>
      <c r="AD21" s="363">
        <v>21.278508032805298</v>
      </c>
      <c r="AE21" s="559" t="s">
        <v>565</v>
      </c>
      <c r="AF21" s="363">
        <v>5.0708780822202398E-2</v>
      </c>
      <c r="AG21" s="363">
        <v>5.1147718066432597E-2</v>
      </c>
      <c r="AH21" s="363">
        <v>0.78214028837757199</v>
      </c>
      <c r="AI21" s="363">
        <v>0.79142354280289295</v>
      </c>
      <c r="AJ21" s="363">
        <v>58.188778688785703</v>
      </c>
      <c r="AK21" s="363">
        <v>59.5710255909705</v>
      </c>
      <c r="AL21" s="363">
        <v>9.3817939303312006</v>
      </c>
      <c r="AM21" s="363">
        <v>9.7859896043236105</v>
      </c>
      <c r="AN21" s="363">
        <v>243.871776510937</v>
      </c>
      <c r="AO21" s="363">
        <v>246.29388816644999</v>
      </c>
      <c r="AP21" s="363">
        <v>0.434842893322957</v>
      </c>
      <c r="AQ21" s="363">
        <v>0.394435420050814</v>
      </c>
      <c r="AR21" s="363">
        <v>1.6798184899917299</v>
      </c>
      <c r="AS21" s="363">
        <v>1.7106213872832401</v>
      </c>
      <c r="AT21" s="559" t="s">
        <v>565</v>
      </c>
      <c r="AU21" s="558">
        <v>25.627346299755899</v>
      </c>
      <c r="AV21" s="363">
        <v>25.725656384553702</v>
      </c>
      <c r="AW21" s="363">
        <v>1.6105926823093599</v>
      </c>
      <c r="AX21" s="363">
        <v>1.5212851405622501</v>
      </c>
      <c r="AY21" s="363">
        <v>25.003825093993399</v>
      </c>
      <c r="AZ21" s="363">
        <v>25.212992545260899</v>
      </c>
      <c r="BA21" s="363">
        <v>7.1838194025281105E-2</v>
      </c>
      <c r="BB21" s="363">
        <v>7.2662541193982896E-2</v>
      </c>
      <c r="BC21" s="363">
        <v>67.248553251076004</v>
      </c>
      <c r="BD21" s="363">
        <v>68.590881106725107</v>
      </c>
      <c r="BE21" s="363">
        <v>9.0532191359009406</v>
      </c>
      <c r="BF21" s="363">
        <v>9.3263738428205603</v>
      </c>
      <c r="BG21" s="363">
        <v>0.26027505053809102</v>
      </c>
      <c r="BH21" s="363">
        <v>0.26378830083565502</v>
      </c>
      <c r="BI21" s="559" t="s">
        <v>565</v>
      </c>
      <c r="BJ21" s="606">
        <v>96.960907575628099</v>
      </c>
      <c r="BK21" s="606">
        <v>99.516603614964296</v>
      </c>
      <c r="BL21" s="606">
        <v>3.7373247089412399E-2</v>
      </c>
      <c r="BM21" s="606">
        <v>3.7706549870595303E-2</v>
      </c>
      <c r="BN21" s="606">
        <v>123.737225941327</v>
      </c>
      <c r="BO21" s="606">
        <v>125.347452018531</v>
      </c>
      <c r="BP21" s="606">
        <v>2.5826076552129602</v>
      </c>
      <c r="BQ21" s="606">
        <v>2.6088154269972499</v>
      </c>
      <c r="BR21" s="606">
        <v>25.560795173085101</v>
      </c>
      <c r="BS21" s="606">
        <v>25.782036971495501</v>
      </c>
      <c r="BT21" s="606">
        <v>93.887307692307701</v>
      </c>
      <c r="BU21" s="606">
        <v>94.7</v>
      </c>
      <c r="BV21" s="606">
        <v>112.599162398907</v>
      </c>
      <c r="BW21" s="606">
        <v>115.226223248819</v>
      </c>
    </row>
    <row r="22" spans="1:75" s="174" customFormat="1" ht="10.7" customHeight="1">
      <c r="A22" s="562" t="s">
        <v>566</v>
      </c>
      <c r="B22" s="605">
        <v>66.052825065238693</v>
      </c>
      <c r="C22" s="605">
        <v>65.093998613543505</v>
      </c>
      <c r="D22" s="605">
        <v>94.905555555555495</v>
      </c>
      <c r="E22" s="605">
        <v>95</v>
      </c>
      <c r="F22" s="605">
        <v>251.73392983800099</v>
      </c>
      <c r="G22" s="605">
        <v>251.989389920424</v>
      </c>
      <c r="H22" s="605">
        <v>73.522786523457398</v>
      </c>
      <c r="I22" s="605">
        <v>72.5495437015541</v>
      </c>
      <c r="J22" s="605">
        <v>13.9698871147971</v>
      </c>
      <c r="K22" s="605">
        <v>13.786898093054299</v>
      </c>
      <c r="L22" s="605">
        <v>12.9184433745143</v>
      </c>
      <c r="M22" s="605">
        <v>12.7907368137601</v>
      </c>
      <c r="N22" s="605">
        <v>96.097041519315098</v>
      </c>
      <c r="O22" s="605">
        <v>95.132996205312594</v>
      </c>
      <c r="P22" s="562" t="s">
        <v>566</v>
      </c>
      <c r="Q22" s="377">
        <v>12.0959499771105</v>
      </c>
      <c r="R22" s="377">
        <v>12.103992406337399</v>
      </c>
      <c r="S22" s="377">
        <v>1.19386270295547</v>
      </c>
      <c r="T22" s="377">
        <v>1.1922316694380799</v>
      </c>
      <c r="U22" s="377">
        <v>6.3948336670053103E-3</v>
      </c>
      <c r="V22" s="377">
        <v>6.3938618925831201E-3</v>
      </c>
      <c r="W22" s="377">
        <v>2.25965608465608E-3</v>
      </c>
      <c r="X22" s="377">
        <v>2.2619047619047601E-3</v>
      </c>
      <c r="Y22" s="377">
        <v>0.70225238117899003</v>
      </c>
      <c r="Z22" s="377">
        <v>0.68443804034582101</v>
      </c>
      <c r="AA22" s="377">
        <v>309.03116231970102</v>
      </c>
      <c r="AB22" s="377">
        <v>308.39149488719403</v>
      </c>
      <c r="AC22" s="377">
        <v>21.256171121493299</v>
      </c>
      <c r="AD22" s="377">
        <v>21.226678583398499</v>
      </c>
      <c r="AE22" s="562" t="s">
        <v>566</v>
      </c>
      <c r="AF22" s="377">
        <v>4.6982863217958602E-2</v>
      </c>
      <c r="AG22" s="377">
        <v>4.5238095238095202E-2</v>
      </c>
      <c r="AH22" s="377">
        <v>0.788832045352308</v>
      </c>
      <c r="AI22" s="377">
        <v>0.78091477178382296</v>
      </c>
      <c r="AJ22" s="377">
        <v>59.462371367342897</v>
      </c>
      <c r="AK22" s="377">
        <v>58.225493799967403</v>
      </c>
      <c r="AL22" s="377">
        <v>9.7745541727696708</v>
      </c>
      <c r="AM22" s="377">
        <v>9.68152866242038</v>
      </c>
      <c r="AN22" s="377">
        <v>246.51031058486601</v>
      </c>
      <c r="AO22" s="377">
        <v>246.753246753247</v>
      </c>
      <c r="AP22" s="377">
        <v>0.42994096566641099</v>
      </c>
      <c r="AQ22" s="377">
        <v>0.43152396093572598</v>
      </c>
      <c r="AR22" s="377">
        <v>1.6999527733878399</v>
      </c>
      <c r="AS22" s="377">
        <v>1.6917460600124701</v>
      </c>
      <c r="AT22" s="562" t="s">
        <v>566</v>
      </c>
      <c r="AU22" s="447">
        <v>25.865025577501999</v>
      </c>
      <c r="AV22" s="377">
        <v>25.860895603647698</v>
      </c>
      <c r="AW22" s="377">
        <v>1.56879821739793</v>
      </c>
      <c r="AX22" s="377">
        <v>1.5833333333333299</v>
      </c>
      <c r="AY22" s="377">
        <v>25.2623507312607</v>
      </c>
      <c r="AZ22" s="377">
        <v>25.289498203114601</v>
      </c>
      <c r="BA22" s="377">
        <v>7.1913633152842299E-2</v>
      </c>
      <c r="BB22" s="377">
        <v>7.07081984295337E-2</v>
      </c>
      <c r="BC22" s="377">
        <v>68.580087529985093</v>
      </c>
      <c r="BD22" s="377">
        <v>67.954220314735295</v>
      </c>
      <c r="BE22" s="377">
        <v>9.1551351483493093</v>
      </c>
      <c r="BF22" s="377">
        <v>8.9036345573487807</v>
      </c>
      <c r="BG22" s="377">
        <v>0.26337934764999399</v>
      </c>
      <c r="BH22" s="377">
        <v>0.26099618121377</v>
      </c>
      <c r="BI22" s="562" t="s">
        <v>566</v>
      </c>
      <c r="BJ22" s="605">
        <v>99.192847040729504</v>
      </c>
      <c r="BK22" s="605">
        <v>97.525921363309706</v>
      </c>
      <c r="BL22" s="605">
        <v>3.77766948653111E-2</v>
      </c>
      <c r="BM22" s="605">
        <v>3.7810945273631803E-2</v>
      </c>
      <c r="BN22" s="605">
        <v>124.859487163271</v>
      </c>
      <c r="BO22" s="605">
        <v>123.907656188861</v>
      </c>
      <c r="BP22" s="605">
        <v>2.64714872692223</v>
      </c>
      <c r="BQ22" s="605">
        <v>2.6016705463508099</v>
      </c>
      <c r="BR22" s="605">
        <v>25.838051466066901</v>
      </c>
      <c r="BS22" s="605">
        <v>25.863711851024998</v>
      </c>
      <c r="BT22" s="605">
        <v>94.905555555555495</v>
      </c>
      <c r="BU22" s="605">
        <v>95</v>
      </c>
      <c r="BV22" s="605">
        <v>113.87061999013901</v>
      </c>
      <c r="BW22" s="605">
        <v>110.731999184969</v>
      </c>
    </row>
    <row r="23" spans="1:75" s="174" customFormat="1" ht="10.7" customHeight="1">
      <c r="A23" s="559" t="s">
        <v>560</v>
      </c>
      <c r="B23" s="606">
        <v>64.090733843446998</v>
      </c>
      <c r="C23" s="606">
        <v>62.620798528284503</v>
      </c>
      <c r="D23" s="606">
        <v>95.615384615384599</v>
      </c>
      <c r="E23" s="606">
        <v>96</v>
      </c>
      <c r="F23" s="606">
        <v>253.61521607472599</v>
      </c>
      <c r="G23" s="606">
        <v>254.64190981432401</v>
      </c>
      <c r="H23" s="606">
        <v>71.9595212468044</v>
      </c>
      <c r="I23" s="606">
        <v>70.551921804953295</v>
      </c>
      <c r="J23" s="606">
        <v>13.750255549319499</v>
      </c>
      <c r="K23" s="606">
        <v>13.501729909144601</v>
      </c>
      <c r="L23" s="606">
        <v>12.7472039538688</v>
      </c>
      <c r="M23" s="606">
        <v>12.567912548275199</v>
      </c>
      <c r="N23" s="606">
        <v>94.785950476250704</v>
      </c>
      <c r="O23" s="606">
        <v>93.460797781315804</v>
      </c>
      <c r="P23" s="559" t="s">
        <v>560</v>
      </c>
      <c r="Q23" s="363">
        <v>12.181264344655</v>
      </c>
      <c r="R23" s="363">
        <v>12.2307016091017</v>
      </c>
      <c r="S23" s="363">
        <v>1.19406554674399</v>
      </c>
      <c r="T23" s="363">
        <v>1.17891220788152</v>
      </c>
      <c r="U23" s="363">
        <v>6.3836841542673703E-3</v>
      </c>
      <c r="V23" s="363">
        <v>6.2998326606949501E-3</v>
      </c>
      <c r="W23" s="363">
        <v>2.2765567765567801E-3</v>
      </c>
      <c r="X23" s="363">
        <v>2.2857142857142898E-3</v>
      </c>
      <c r="Y23" s="363">
        <v>0.66951814770074702</v>
      </c>
      <c r="Z23" s="363">
        <v>0.66590365206534197</v>
      </c>
      <c r="AA23" s="363">
        <v>309.26534176829898</v>
      </c>
      <c r="AB23" s="363">
        <v>309.22853921726499</v>
      </c>
      <c r="AC23" s="363">
        <v>21.056103146311202</v>
      </c>
      <c r="AD23" s="363">
        <v>20.662935858803301</v>
      </c>
      <c r="AE23" s="559" t="s">
        <v>560</v>
      </c>
      <c r="AF23" s="363">
        <v>4.5531135531135497E-2</v>
      </c>
      <c r="AG23" s="363">
        <v>4.57142857142857E-2</v>
      </c>
      <c r="AH23" s="363">
        <v>0.781279108654932</v>
      </c>
      <c r="AI23" s="363">
        <v>0.77095058206768896</v>
      </c>
      <c r="AJ23" s="363">
        <v>56.951463967383198</v>
      </c>
      <c r="AK23" s="363">
        <v>55.007993298429298</v>
      </c>
      <c r="AL23" s="363">
        <v>9.3658784074262407</v>
      </c>
      <c r="AM23" s="363">
        <v>9.0012376701796502</v>
      </c>
      <c r="AN23" s="363">
        <v>248.363989716395</v>
      </c>
      <c r="AO23" s="363">
        <v>249.35064935064901</v>
      </c>
      <c r="AP23" s="363">
        <v>0.41450641596170101</v>
      </c>
      <c r="AQ23" s="363">
        <v>0.41388230222030598</v>
      </c>
      <c r="AR23" s="363">
        <v>1.6602252157153901</v>
      </c>
      <c r="AS23" s="363">
        <v>1.6289132094680601</v>
      </c>
      <c r="AT23" s="559" t="s">
        <v>560</v>
      </c>
      <c r="AU23" s="558">
        <v>26.068999913964198</v>
      </c>
      <c r="AV23" s="363">
        <v>26.208741707390299</v>
      </c>
      <c r="AW23" s="363">
        <v>1.5871031064411201</v>
      </c>
      <c r="AX23" s="363">
        <v>1.6580310880828999</v>
      </c>
      <c r="AY23" s="363">
        <v>25.42878320486</v>
      </c>
      <c r="AZ23" s="363">
        <v>25.487853444842699</v>
      </c>
      <c r="BA23" s="363">
        <v>6.8581936955508696E-2</v>
      </c>
      <c r="BB23" s="363">
        <v>6.6926938092582294E-2</v>
      </c>
      <c r="BC23" s="363">
        <v>67.739629679544095</v>
      </c>
      <c r="BD23" s="363">
        <v>66.919940050887007</v>
      </c>
      <c r="BE23" s="363">
        <v>8.7803753687616908</v>
      </c>
      <c r="BF23" s="363">
        <v>8.5253763154389208</v>
      </c>
      <c r="BG23" s="363">
        <v>0.26398440791600097</v>
      </c>
      <c r="BH23" s="363">
        <v>0.26377974391383202</v>
      </c>
      <c r="BI23" s="559" t="s">
        <v>560</v>
      </c>
      <c r="BJ23" s="606">
        <v>98.324002859608697</v>
      </c>
      <c r="BK23" s="606">
        <v>98.330431219911901</v>
      </c>
      <c r="BL23" s="606">
        <v>3.80617014774517E-2</v>
      </c>
      <c r="BM23" s="606">
        <v>3.8208955223880597E-2</v>
      </c>
      <c r="BN23" s="606">
        <v>123.555031507547</v>
      </c>
      <c r="BO23" s="606">
        <v>122.480224547078</v>
      </c>
      <c r="BP23" s="606">
        <v>2.5835292700463399</v>
      </c>
      <c r="BQ23" s="606">
        <v>2.5193544154310499</v>
      </c>
      <c r="BR23" s="606">
        <v>26.031263606754301</v>
      </c>
      <c r="BS23" s="606">
        <v>26.1359614494569</v>
      </c>
      <c r="BT23" s="606">
        <v>95.615384615384599</v>
      </c>
      <c r="BU23" s="606">
        <v>96</v>
      </c>
      <c r="BV23" s="606">
        <v>108.432195739555</v>
      </c>
      <c r="BW23" s="606">
        <v>104.543996473829</v>
      </c>
    </row>
    <row r="24" spans="1:75" s="174" customFormat="1" ht="10.7" customHeight="1">
      <c r="A24" s="562" t="s">
        <v>567</v>
      </c>
      <c r="B24" s="605">
        <v>61.5424534778818</v>
      </c>
      <c r="C24" s="605">
        <v>62.196398487211503</v>
      </c>
      <c r="D24" s="605">
        <v>96.615384615384599</v>
      </c>
      <c r="E24" s="605">
        <v>97</v>
      </c>
      <c r="F24" s="605">
        <v>256.211508834857</v>
      </c>
      <c r="G24" s="605">
        <v>257.26031030367301</v>
      </c>
      <c r="H24" s="605">
        <v>70.496410154389295</v>
      </c>
      <c r="I24" s="605">
        <v>71.313042199676502</v>
      </c>
      <c r="J24" s="605">
        <v>13.5678718738738</v>
      </c>
      <c r="K24" s="605">
        <v>13.515773046483099</v>
      </c>
      <c r="L24" s="605">
        <v>12.7800029334058</v>
      </c>
      <c r="M24" s="605">
        <v>12.987186868213501</v>
      </c>
      <c r="N24" s="605">
        <v>95.055577421852306</v>
      </c>
      <c r="O24" s="605">
        <v>96.660496106372307</v>
      </c>
      <c r="P24" s="562" t="s">
        <v>567</v>
      </c>
      <c r="Q24" s="377">
        <v>12.3079914779421</v>
      </c>
      <c r="R24" s="377">
        <v>12.3578685861706</v>
      </c>
      <c r="S24" s="377">
        <v>1.17556638274229</v>
      </c>
      <c r="T24" s="377">
        <v>1.17906610671156</v>
      </c>
      <c r="U24" s="377">
        <v>6.26340338978829E-3</v>
      </c>
      <c r="V24" s="377">
        <v>6.22213669457006E-3</v>
      </c>
      <c r="W24" s="377">
        <v>2.3003663003662998E-3</v>
      </c>
      <c r="X24" s="377">
        <v>2.3095238095238099E-3</v>
      </c>
      <c r="Y24" s="377">
        <v>0.65785929670688303</v>
      </c>
      <c r="Z24" s="377">
        <v>0.65778320279388303</v>
      </c>
      <c r="AA24" s="377">
        <v>311.63927184644399</v>
      </c>
      <c r="AB24" s="377">
        <v>313.30749354005201</v>
      </c>
      <c r="AC24" s="377">
        <v>20.594951339743101</v>
      </c>
      <c r="AD24" s="377">
        <v>20.519329419853001</v>
      </c>
      <c r="AE24" s="562" t="s">
        <v>567</v>
      </c>
      <c r="AF24" s="377">
        <v>4.6007326007326002E-2</v>
      </c>
      <c r="AG24" s="377">
        <v>4.6190476190476198E-2</v>
      </c>
      <c r="AH24" s="377">
        <v>0.78058592305782204</v>
      </c>
      <c r="AI24" s="377">
        <v>0.78724948017186402</v>
      </c>
      <c r="AJ24" s="377">
        <v>54.9481924122002</v>
      </c>
      <c r="AK24" s="377">
        <v>56.405493327601</v>
      </c>
      <c r="AL24" s="377">
        <v>9.1322133322901493</v>
      </c>
      <c r="AM24" s="377">
        <v>9.3858554191219898</v>
      </c>
      <c r="AN24" s="377">
        <v>250.93654559957599</v>
      </c>
      <c r="AO24" s="377">
        <v>251.915335670692</v>
      </c>
      <c r="AP24" s="377">
        <v>0.436110217630921</v>
      </c>
      <c r="AQ24" s="377">
        <v>0.43817052512704702</v>
      </c>
      <c r="AR24" s="377">
        <v>1.6444369217622199</v>
      </c>
      <c r="AS24" s="377">
        <v>1.6715491986903299</v>
      </c>
      <c r="AT24" s="562" t="s">
        <v>567</v>
      </c>
      <c r="AU24" s="447">
        <v>26.4777066925894</v>
      </c>
      <c r="AV24" s="377">
        <v>26.389531245749101</v>
      </c>
      <c r="AW24" s="377">
        <v>1.5723933302824</v>
      </c>
      <c r="AX24" s="377">
        <v>1.57659488013003</v>
      </c>
      <c r="AY24" s="377">
        <v>25.704843331950698</v>
      </c>
      <c r="AZ24" s="377">
        <v>25.807481509072499</v>
      </c>
      <c r="BA24" s="377">
        <v>6.7718085368116507E-2</v>
      </c>
      <c r="BB24" s="377">
        <v>6.8316113447005694E-2</v>
      </c>
      <c r="BC24" s="377">
        <v>67.830028671621704</v>
      </c>
      <c r="BD24" s="377">
        <v>68.7528794698231</v>
      </c>
      <c r="BE24" s="377">
        <v>8.6947969315943894</v>
      </c>
      <c r="BF24" s="377">
        <v>8.8577598999164397</v>
      </c>
      <c r="BG24" s="377">
        <v>0.26405197466354402</v>
      </c>
      <c r="BH24" s="377">
        <v>0.26430517711171703</v>
      </c>
      <c r="BI24" s="562" t="s">
        <v>567</v>
      </c>
      <c r="BJ24" s="605">
        <v>97.1279654022713</v>
      </c>
      <c r="BK24" s="605">
        <v>97.360232861587903</v>
      </c>
      <c r="BL24" s="605">
        <v>3.8459187241178097E-2</v>
      </c>
      <c r="BM24" s="605">
        <v>3.8606965174129398E-2</v>
      </c>
      <c r="BN24" s="605">
        <v>123.726139352833</v>
      </c>
      <c r="BO24" s="605">
        <v>124.67866323907499</v>
      </c>
      <c r="BP24" s="605">
        <v>2.54840474068931</v>
      </c>
      <c r="BQ24" s="605">
        <v>2.5549848544712201</v>
      </c>
      <c r="BR24" s="605">
        <v>26.3036379322923</v>
      </c>
      <c r="BS24" s="605">
        <v>26.408211047888699</v>
      </c>
      <c r="BT24" s="605">
        <v>96.615384615384599</v>
      </c>
      <c r="BU24" s="605">
        <v>97</v>
      </c>
      <c r="BV24" s="605">
        <v>109.094649570805</v>
      </c>
      <c r="BW24" s="605">
        <v>112.64609248256301</v>
      </c>
    </row>
    <row r="25" spans="1:75" s="174" customFormat="1" ht="10.7" customHeight="1">
      <c r="A25" s="559" t="s">
        <v>568</v>
      </c>
      <c r="B25" s="606">
        <v>64.403006730917895</v>
      </c>
      <c r="C25" s="606">
        <v>65.542394138755995</v>
      </c>
      <c r="D25" s="606">
        <v>97.615384615384599</v>
      </c>
      <c r="E25" s="606">
        <v>98</v>
      </c>
      <c r="F25" s="606">
        <v>258.90299428118698</v>
      </c>
      <c r="G25" s="606">
        <v>259.91247845113401</v>
      </c>
      <c r="H25" s="606">
        <v>72.624314564148307</v>
      </c>
      <c r="I25" s="606">
        <v>72.164948453608204</v>
      </c>
      <c r="J25" s="606">
        <v>13.6281100526193</v>
      </c>
      <c r="K25" s="606">
        <v>13.6549206481907</v>
      </c>
      <c r="L25" s="606">
        <v>13.378575052021899</v>
      </c>
      <c r="M25" s="606">
        <v>13.610922070526801</v>
      </c>
      <c r="N25" s="606">
        <v>99.5264565661967</v>
      </c>
      <c r="O25" s="606">
        <v>101.22419620485999</v>
      </c>
      <c r="P25" s="559" t="s">
        <v>568</v>
      </c>
      <c r="Q25" s="363">
        <v>12.464383580854101</v>
      </c>
      <c r="R25" s="363">
        <v>12.5472924095283</v>
      </c>
      <c r="S25" s="363">
        <v>1.1952282620302701</v>
      </c>
      <c r="T25" s="363">
        <v>1.20059784872467</v>
      </c>
      <c r="U25" s="363">
        <v>6.2306816778415703E-3</v>
      </c>
      <c r="V25" s="363">
        <v>6.2265709384331904E-3</v>
      </c>
      <c r="W25" s="363">
        <v>2.32417582417582E-3</v>
      </c>
      <c r="X25" s="363">
        <v>2.3333333333333301E-3</v>
      </c>
      <c r="Y25" s="363">
        <v>0.68531062981354396</v>
      </c>
      <c r="Z25" s="363">
        <v>0.706535452939692</v>
      </c>
      <c r="AA25" s="363">
        <v>316.462889243728</v>
      </c>
      <c r="AB25" s="363">
        <v>318.49203769905802</v>
      </c>
      <c r="AC25" s="363">
        <v>21.161951072462301</v>
      </c>
      <c r="AD25" s="363">
        <v>21.89699474919</v>
      </c>
      <c r="AE25" s="559" t="s">
        <v>568</v>
      </c>
      <c r="AF25" s="363">
        <v>4.64835164835165E-2</v>
      </c>
      <c r="AG25" s="363">
        <v>4.6666666666666697E-2</v>
      </c>
      <c r="AH25" s="363">
        <v>0.80145062122703503</v>
      </c>
      <c r="AI25" s="363">
        <v>0.81498033652034996</v>
      </c>
      <c r="AJ25" s="363">
        <v>59.117903399819603</v>
      </c>
      <c r="AK25" s="363">
        <v>60.759993677419303</v>
      </c>
      <c r="AL25" s="363">
        <v>9.6269360047477495</v>
      </c>
      <c r="AM25" s="363">
        <v>9.7940745848761495</v>
      </c>
      <c r="AN25" s="363">
        <v>253.54392393737899</v>
      </c>
      <c r="AO25" s="363">
        <v>254.54545454545499</v>
      </c>
      <c r="AP25" s="363">
        <v>0.43849944449162698</v>
      </c>
      <c r="AQ25" s="363">
        <v>0.43628269337785203</v>
      </c>
      <c r="AR25" s="363">
        <v>1.69626757820174</v>
      </c>
      <c r="AS25" s="363">
        <v>1.7323669789641201</v>
      </c>
      <c r="AT25" s="559" t="s">
        <v>568</v>
      </c>
      <c r="AU25" s="558">
        <v>26.6793186961456</v>
      </c>
      <c r="AV25" s="363">
        <v>26.7540267540268</v>
      </c>
      <c r="AW25" s="363">
        <v>1.5992967271329499</v>
      </c>
      <c r="AX25" s="363">
        <v>1.6087991463514699</v>
      </c>
      <c r="AY25" s="363">
        <v>25.971343516208901</v>
      </c>
      <c r="AZ25" s="363">
        <v>26.075966207676402</v>
      </c>
      <c r="BA25" s="363">
        <v>7.1901923230715994E-2</v>
      </c>
      <c r="BB25" s="363">
        <v>7.4356211778630901E-2</v>
      </c>
      <c r="BC25" s="363">
        <v>70.369739822752905</v>
      </c>
      <c r="BD25" s="363">
        <v>71.322004293875807</v>
      </c>
      <c r="BE25" s="363">
        <v>9.1472348393530698</v>
      </c>
      <c r="BF25" s="363">
        <v>9.2848751279038897</v>
      </c>
      <c r="BG25" s="363">
        <v>0.266389813954025</v>
      </c>
      <c r="BH25" s="363">
        <v>0.269601100412655</v>
      </c>
      <c r="BI25" s="559" t="s">
        <v>568</v>
      </c>
      <c r="BJ25" s="606">
        <v>101.189115408749</v>
      </c>
      <c r="BK25" s="606">
        <v>102.736135863298</v>
      </c>
      <c r="BL25" s="606">
        <v>3.88590257490629E-2</v>
      </c>
      <c r="BM25" s="606">
        <v>3.9020505673900099E-2</v>
      </c>
      <c r="BN25" s="606">
        <v>126.960043272693</v>
      </c>
      <c r="BO25" s="606">
        <v>128.794848206072</v>
      </c>
      <c r="BP25" s="606">
        <v>2.6815757644682399</v>
      </c>
      <c r="BQ25" s="606">
        <v>2.7762039660056699</v>
      </c>
      <c r="BR25" s="606">
        <v>26.5757907426072</v>
      </c>
      <c r="BS25" s="606">
        <v>26.680460646320501</v>
      </c>
      <c r="BT25" s="606">
        <v>97.615384615384599</v>
      </c>
      <c r="BU25" s="606">
        <v>98</v>
      </c>
      <c r="BV25" s="606">
        <v>114.547877857789</v>
      </c>
      <c r="BW25" s="606">
        <v>117.158996721037</v>
      </c>
    </row>
    <row r="26" spans="1:75" s="174" customFormat="1" ht="10.7" customHeight="1">
      <c r="A26" s="562" t="s">
        <v>561</v>
      </c>
      <c r="B26" s="605">
        <v>66.7106587996592</v>
      </c>
      <c r="C26" s="605">
        <v>67.112098539607601</v>
      </c>
      <c r="D26" s="605">
        <v>98.846153846153797</v>
      </c>
      <c r="E26" s="605">
        <v>99</v>
      </c>
      <c r="F26" s="605">
        <v>262.15929941417198</v>
      </c>
      <c r="G26" s="605">
        <v>262.56464659859398</v>
      </c>
      <c r="H26" s="605">
        <v>72.752917162379504</v>
      </c>
      <c r="I26" s="605">
        <v>73.073516386182504</v>
      </c>
      <c r="J26" s="605">
        <v>14.151392426508201</v>
      </c>
      <c r="K26" s="605">
        <v>14.1966014196601</v>
      </c>
      <c r="L26" s="605">
        <v>14.0466612671097</v>
      </c>
      <c r="M26" s="605">
        <v>14.128325151273</v>
      </c>
      <c r="N26" s="605">
        <v>104.490433760675</v>
      </c>
      <c r="O26" s="605">
        <v>105.548849767856</v>
      </c>
      <c r="P26" s="562" t="s">
        <v>561</v>
      </c>
      <c r="Q26" s="377">
        <v>12.6901585076995</v>
      </c>
      <c r="R26" s="377">
        <v>12.7003675409394</v>
      </c>
      <c r="S26" s="377">
        <v>1.1995101363951499</v>
      </c>
      <c r="T26" s="377">
        <v>1.19583992655852</v>
      </c>
      <c r="U26" s="377">
        <v>6.3288065296305497E-3</v>
      </c>
      <c r="V26" s="377">
        <v>6.2897077509529902E-3</v>
      </c>
      <c r="W26" s="377">
        <v>2.3534043085260302E-3</v>
      </c>
      <c r="X26" s="377">
        <v>2.3570025593714701E-3</v>
      </c>
      <c r="Y26" s="377">
        <v>0.73126233435584898</v>
      </c>
      <c r="Z26" s="377">
        <v>0.744276961244972</v>
      </c>
      <c r="AA26" s="377">
        <v>322.37505440709498</v>
      </c>
      <c r="AB26" s="377">
        <v>323.15978456014398</v>
      </c>
      <c r="AC26" s="377">
        <v>22.3890584017999</v>
      </c>
      <c r="AD26" s="377">
        <v>22.395656599932099</v>
      </c>
      <c r="AE26" s="562" t="s">
        <v>561</v>
      </c>
      <c r="AF26" s="377">
        <v>4.7069597069597097E-2</v>
      </c>
      <c r="AG26" s="377">
        <v>4.7142857142857097E-2</v>
      </c>
      <c r="AH26" s="377">
        <v>0.82902352415101699</v>
      </c>
      <c r="AI26" s="377">
        <v>0.831860072733139</v>
      </c>
      <c r="AJ26" s="377">
        <v>62.793520347501797</v>
      </c>
      <c r="AK26" s="377">
        <v>62.478893725241598</v>
      </c>
      <c r="AL26" s="377">
        <v>10.0065923155296</v>
      </c>
      <c r="AM26" s="377">
        <v>10.0025258903764</v>
      </c>
      <c r="AN26" s="377">
        <v>256.741972480188</v>
      </c>
      <c r="AO26" s="377">
        <v>257.142857142857</v>
      </c>
      <c r="AP26" s="377">
        <v>0.43889349923997101</v>
      </c>
      <c r="AQ26" s="377">
        <v>0.43660418963616299</v>
      </c>
      <c r="AR26" s="377">
        <v>1.7781716502841201</v>
      </c>
      <c r="AS26" s="377">
        <v>1.7762626715708301</v>
      </c>
      <c r="AT26" s="562" t="s">
        <v>561</v>
      </c>
      <c r="AU26" s="447">
        <v>26.978926656934799</v>
      </c>
      <c r="AV26" s="377">
        <v>27.027027027027</v>
      </c>
      <c r="AW26" s="377">
        <v>1.50756152171142</v>
      </c>
      <c r="AX26" s="377">
        <v>1.36082474226804</v>
      </c>
      <c r="AY26" s="377">
        <v>26.287637113113099</v>
      </c>
      <c r="AZ26" s="377">
        <v>26.333289001196999</v>
      </c>
      <c r="BA26" s="377">
        <v>7.6391758494049694E-2</v>
      </c>
      <c r="BB26" s="377">
        <v>7.8133323862627405E-2</v>
      </c>
      <c r="BC26" s="377">
        <v>73.061577762215407</v>
      </c>
      <c r="BD26" s="377">
        <v>73.679901760131003</v>
      </c>
      <c r="BE26" s="377">
        <v>9.5199173636819108</v>
      </c>
      <c r="BF26" s="377">
        <v>9.4615064820876498</v>
      </c>
      <c r="BG26" s="377">
        <v>0.26946025610109903</v>
      </c>
      <c r="BH26" s="377">
        <v>0.27086183310533501</v>
      </c>
      <c r="BI26" s="562" t="s">
        <v>561</v>
      </c>
      <c r="BJ26" s="605">
        <v>105.90077118008401</v>
      </c>
      <c r="BK26" s="605">
        <v>106.583409592507</v>
      </c>
      <c r="BL26" s="605">
        <v>3.9350176330098498E-2</v>
      </c>
      <c r="BM26" s="605">
        <v>3.9402985074626903E-2</v>
      </c>
      <c r="BN26" s="605">
        <v>131.33890365527901</v>
      </c>
      <c r="BO26" s="605">
        <v>131.75405908969901</v>
      </c>
      <c r="BP26" s="605">
        <v>2.8422731081319199</v>
      </c>
      <c r="BQ26" s="605">
        <v>2.8596187175043299</v>
      </c>
      <c r="BR26" s="605">
        <v>26.912081292318501</v>
      </c>
      <c r="BS26" s="605">
        <v>26.9556457102404</v>
      </c>
      <c r="BT26" s="605">
        <v>98.846153846153797</v>
      </c>
      <c r="BU26" s="605">
        <v>99</v>
      </c>
      <c r="BV26" s="605">
        <v>120.328060398982</v>
      </c>
      <c r="BW26" s="605">
        <v>119.344492608876</v>
      </c>
    </row>
    <row r="27" spans="1:75" s="174" customFormat="1" ht="10.7" customHeight="1">
      <c r="A27" s="559" t="s">
        <v>569</v>
      </c>
      <c r="B27" s="606">
        <v>69.351179447134001</v>
      </c>
      <c r="C27" s="606">
        <v>70.599998583569402</v>
      </c>
      <c r="D27" s="606">
        <v>99.8888888888889</v>
      </c>
      <c r="E27" s="606">
        <v>100</v>
      </c>
      <c r="F27" s="606">
        <v>264.93646118936499</v>
      </c>
      <c r="G27" s="606">
        <v>265.21681474605498</v>
      </c>
      <c r="H27" s="606">
        <v>74.357623812719197</v>
      </c>
      <c r="I27" s="606">
        <v>74.704915583445398</v>
      </c>
      <c r="J27" s="606">
        <v>14.685108546341301</v>
      </c>
      <c r="K27" s="606">
        <v>14.792024140583401</v>
      </c>
      <c r="L27" s="606">
        <v>14.466241930185801</v>
      </c>
      <c r="M27" s="606">
        <v>14.5874664488272</v>
      </c>
      <c r="N27" s="606">
        <v>107.598433577943</v>
      </c>
      <c r="O27" s="606">
        <v>108.45999631200399</v>
      </c>
      <c r="P27" s="559" t="s">
        <v>569</v>
      </c>
      <c r="Q27" s="363">
        <v>12.776219641505699</v>
      </c>
      <c r="R27" s="363">
        <v>12.7626717377016</v>
      </c>
      <c r="S27" s="363">
        <v>1.2207602742921</v>
      </c>
      <c r="T27" s="363">
        <v>1.2266176019625901</v>
      </c>
      <c r="U27" s="363">
        <v>6.5465968019949999E-3</v>
      </c>
      <c r="V27" s="363">
        <v>6.6735626814374898E-3</v>
      </c>
      <c r="W27" s="363">
        <v>2.3784834259761201E-3</v>
      </c>
      <c r="X27" s="363">
        <v>2.3808106660317802E-3</v>
      </c>
      <c r="Y27" s="363">
        <v>0.76581681263343104</v>
      </c>
      <c r="Z27" s="363">
        <v>0.76657723265619004</v>
      </c>
      <c r="AA27" s="363">
        <v>326.83673693751899</v>
      </c>
      <c r="AB27" s="363">
        <v>327.493040772884</v>
      </c>
      <c r="AC27" s="363">
        <v>23.061669045797299</v>
      </c>
      <c r="AD27" s="363">
        <v>23.529411764705898</v>
      </c>
      <c r="AE27" s="559" t="s">
        <v>569</v>
      </c>
      <c r="AF27" s="363">
        <v>4.7566137566137603E-2</v>
      </c>
      <c r="AG27" s="363">
        <v>4.7619047619047603E-2</v>
      </c>
      <c r="AH27" s="363">
        <v>0.84607810195548905</v>
      </c>
      <c r="AI27" s="363">
        <v>0.85308000269573303</v>
      </c>
      <c r="AJ27" s="363">
        <v>63.9504864329299</v>
      </c>
      <c r="AK27" s="363">
        <v>64.689993816664099</v>
      </c>
      <c r="AL27" s="363">
        <v>10.062101351622101</v>
      </c>
      <c r="AM27" s="363">
        <v>10.0255651912376</v>
      </c>
      <c r="AN27" s="363">
        <v>259.46040947746201</v>
      </c>
      <c r="AO27" s="363">
        <v>259.74025974026</v>
      </c>
      <c r="AP27" s="363">
        <v>0.43078265232228202</v>
      </c>
      <c r="AQ27" s="363">
        <v>0.37418147801683799</v>
      </c>
      <c r="AR27" s="363">
        <v>1.8166401585829399</v>
      </c>
      <c r="AS27" s="363">
        <v>1.8341892883345601</v>
      </c>
      <c r="AT27" s="559" t="s">
        <v>569</v>
      </c>
      <c r="AU27" s="558">
        <v>27.313973869859499</v>
      </c>
      <c r="AV27" s="363">
        <v>27.300027300027299</v>
      </c>
      <c r="AW27" s="363">
        <v>1.43052957172633</v>
      </c>
      <c r="AX27" s="363">
        <v>1.4211610886093899</v>
      </c>
      <c r="AY27" s="363">
        <v>26.592140565768901</v>
      </c>
      <c r="AZ27" s="363">
        <v>26.638252530633999</v>
      </c>
      <c r="BA27" s="363">
        <v>8.0285269288344799E-2</v>
      </c>
      <c r="BB27" s="363">
        <v>8.1185635013740695E-2</v>
      </c>
      <c r="BC27" s="363">
        <v>75.325832015675303</v>
      </c>
      <c r="BD27" s="363">
        <v>76.077446840883994</v>
      </c>
      <c r="BE27" s="363">
        <v>9.6224312141239796</v>
      </c>
      <c r="BF27" s="363">
        <v>9.6019972154208109</v>
      </c>
      <c r="BG27" s="363">
        <v>0.27317413349474001</v>
      </c>
      <c r="BH27" s="363">
        <v>0.27322404371584702</v>
      </c>
      <c r="BI27" s="559" t="s">
        <v>569</v>
      </c>
      <c r="BJ27" s="606">
        <v>108.080749881324</v>
      </c>
      <c r="BK27" s="606">
        <v>108.09057990596099</v>
      </c>
      <c r="BL27" s="606">
        <v>3.9762054196907599E-2</v>
      </c>
      <c r="BM27" s="606">
        <v>3.9816842524387802E-2</v>
      </c>
      <c r="BN27" s="606">
        <v>134.16660215373699</v>
      </c>
      <c r="BO27" s="606">
        <v>135.171668018383</v>
      </c>
      <c r="BP27" s="606">
        <v>3.0005612681621598</v>
      </c>
      <c r="BQ27" s="606">
        <v>3.0525030525030501</v>
      </c>
      <c r="BR27" s="606">
        <v>27.195393482410001</v>
      </c>
      <c r="BS27" s="606">
        <v>27.224959843184202</v>
      </c>
      <c r="BT27" s="606">
        <v>99.8888888888889</v>
      </c>
      <c r="BU27" s="606">
        <v>100</v>
      </c>
      <c r="BV27" s="606">
        <v>122.173534391513</v>
      </c>
      <c r="BW27" s="606">
        <v>123.524999797612</v>
      </c>
    </row>
    <row r="28" spans="1:75" s="174" customFormat="1" ht="10.7" customHeight="1">
      <c r="A28" s="562" t="s">
        <v>570</v>
      </c>
      <c r="B28" s="605">
        <v>69.720989193036502</v>
      </c>
      <c r="C28" s="605">
        <v>68.023498500371204</v>
      </c>
      <c r="D28" s="605">
        <v>100.958333333333</v>
      </c>
      <c r="E28" s="605">
        <v>101</v>
      </c>
      <c r="F28" s="605">
        <v>267.780684201432</v>
      </c>
      <c r="G28" s="605">
        <v>267.86898289351501</v>
      </c>
      <c r="H28" s="605">
        <v>75.151846991922298</v>
      </c>
      <c r="I28" s="605">
        <v>74.390513368196196</v>
      </c>
      <c r="J28" s="605">
        <v>14.7884967559553</v>
      </c>
      <c r="K28" s="605">
        <v>14.528402307282899</v>
      </c>
      <c r="L28" s="605">
        <v>14.5303682081319</v>
      </c>
      <c r="M28" s="605">
        <v>14.395051522882399</v>
      </c>
      <c r="N28" s="605">
        <v>108.17139507520599</v>
      </c>
      <c r="O28" s="605">
        <v>107.15089619191301</v>
      </c>
      <c r="P28" s="562" t="s">
        <v>570</v>
      </c>
      <c r="Q28" s="377">
        <v>12.8661625174785</v>
      </c>
      <c r="R28" s="377">
        <v>12.8758374074947</v>
      </c>
      <c r="S28" s="377">
        <v>1.2224719559156201</v>
      </c>
      <c r="T28" s="377">
        <v>1.22199099840294</v>
      </c>
      <c r="U28" s="377">
        <v>6.674130318969E-3</v>
      </c>
      <c r="V28" s="377">
        <v>6.6268617544780499E-3</v>
      </c>
      <c r="W28" s="377">
        <v>2.40362676824792E-3</v>
      </c>
      <c r="X28" s="377">
        <v>2.4046187726920998E-3</v>
      </c>
      <c r="Y28" s="377">
        <v>0.75976006023779796</v>
      </c>
      <c r="Z28" s="377">
        <v>0.74142044411818697</v>
      </c>
      <c r="AA28" s="377">
        <v>329.89462282803601</v>
      </c>
      <c r="AB28" s="377">
        <v>328.82956210320702</v>
      </c>
      <c r="AC28" s="377">
        <v>23.152590536944299</v>
      </c>
      <c r="AD28" s="377">
        <v>22.5207648140922</v>
      </c>
      <c r="AE28" s="562" t="s">
        <v>570</v>
      </c>
      <c r="AF28" s="377">
        <v>4.8075396825396799E-2</v>
      </c>
      <c r="AG28" s="377">
        <v>4.8095238095238101E-2</v>
      </c>
      <c r="AH28" s="377">
        <v>0.85364562794699905</v>
      </c>
      <c r="AI28" s="377">
        <v>0.84675211876662604</v>
      </c>
      <c r="AJ28" s="377">
        <v>63.561707966583597</v>
      </c>
      <c r="AK28" s="377">
        <v>62.296793450064797</v>
      </c>
      <c r="AL28" s="377">
        <v>9.8718554036461601</v>
      </c>
      <c r="AM28" s="377">
        <v>9.7679861507364691</v>
      </c>
      <c r="AN28" s="377">
        <v>262.23511627135503</v>
      </c>
      <c r="AO28" s="377">
        <v>262.33766233766198</v>
      </c>
      <c r="AP28" s="377">
        <v>0.37838295902309299</v>
      </c>
      <c r="AQ28" s="377">
        <v>0.38771593090211098</v>
      </c>
      <c r="AR28" s="377">
        <v>1.84200056303588</v>
      </c>
      <c r="AS28" s="377">
        <v>1.8292130761568399</v>
      </c>
      <c r="AT28" s="562" t="s">
        <v>570</v>
      </c>
      <c r="AU28" s="447">
        <v>27.605127744821701</v>
      </c>
      <c r="AV28" s="377">
        <v>27.640941434044901</v>
      </c>
      <c r="AW28" s="377">
        <v>1.38418450169201</v>
      </c>
      <c r="AX28" s="377">
        <v>1.35270876582067</v>
      </c>
      <c r="AY28" s="377">
        <v>26.9088473132567</v>
      </c>
      <c r="AZ28" s="377">
        <v>26.912162432220001</v>
      </c>
      <c r="BA28" s="377">
        <v>7.9217063896679998E-2</v>
      </c>
      <c r="BB28" s="377">
        <v>7.6350015685770503E-2</v>
      </c>
      <c r="BC28" s="377">
        <v>75.853224040432906</v>
      </c>
      <c r="BD28" s="377">
        <v>74.984223616318303</v>
      </c>
      <c r="BE28" s="377">
        <v>9.6603536234045499</v>
      </c>
      <c r="BF28" s="377">
        <v>9.7037474719816306</v>
      </c>
      <c r="BG28" s="377">
        <v>0.27732275257457401</v>
      </c>
      <c r="BH28" s="377">
        <v>0.27900552486187802</v>
      </c>
      <c r="BI28" s="562" t="s">
        <v>570</v>
      </c>
      <c r="BJ28" s="605">
        <v>109.173315227066</v>
      </c>
      <c r="BK28" s="605">
        <v>107.929044667664</v>
      </c>
      <c r="BL28" s="605">
        <v>4.0191091130055499E-2</v>
      </c>
      <c r="BM28" s="605">
        <v>4.0199004975124401E-2</v>
      </c>
      <c r="BN28" s="605">
        <v>135.15851957874301</v>
      </c>
      <c r="BO28" s="605">
        <v>133.95225464191</v>
      </c>
      <c r="BP28" s="605">
        <v>2.9728197389087199</v>
      </c>
      <c r="BQ28" s="605">
        <v>2.8758542141230099</v>
      </c>
      <c r="BR28" s="605">
        <v>27.485974884735299</v>
      </c>
      <c r="BS28" s="605">
        <v>27.4972094416161</v>
      </c>
      <c r="BT28" s="605">
        <v>100.958333333333</v>
      </c>
      <c r="BU28" s="605">
        <v>101</v>
      </c>
      <c r="BV28" s="605">
        <v>122.055135765175</v>
      </c>
      <c r="BW28" s="605">
        <v>121.846396651194</v>
      </c>
    </row>
    <row r="29" spans="1:75" s="174" customFormat="1" ht="10.7" customHeight="1">
      <c r="A29" s="559" t="s">
        <v>562</v>
      </c>
      <c r="B29" s="606">
        <v>68.111453376558799</v>
      </c>
      <c r="C29" s="606">
        <v>68.176798473967693</v>
      </c>
      <c r="D29" s="606">
        <v>101.962962962963</v>
      </c>
      <c r="E29" s="606">
        <v>102</v>
      </c>
      <c r="F29" s="606">
        <v>270.40300121409501</v>
      </c>
      <c r="G29" s="606">
        <v>270.44942330637701</v>
      </c>
      <c r="H29" s="606">
        <v>74.4848198623759</v>
      </c>
      <c r="I29" s="606">
        <v>75.237884487718503</v>
      </c>
      <c r="J29" s="606">
        <v>14.7772382216619</v>
      </c>
      <c r="K29" s="606">
        <v>14.8070725546555</v>
      </c>
      <c r="L29" s="606">
        <v>14.6606665088293</v>
      </c>
      <c r="M29" s="606">
        <v>14.850187811198801</v>
      </c>
      <c r="N29" s="606">
        <v>109.148041357024</v>
      </c>
      <c r="O29" s="606">
        <v>110.618996237898</v>
      </c>
      <c r="P29" s="559" t="s">
        <v>562</v>
      </c>
      <c r="Q29" s="363">
        <v>12.991442272408699</v>
      </c>
      <c r="R29" s="363">
        <v>12.9938788639273</v>
      </c>
      <c r="S29" s="363">
        <v>1.2391183375231001</v>
      </c>
      <c r="T29" s="363">
        <v>1.2407928909866099</v>
      </c>
      <c r="U29" s="363">
        <v>6.6618706006980697E-3</v>
      </c>
      <c r="V29" s="363">
        <v>6.77178423236515E-3</v>
      </c>
      <c r="W29" s="363">
        <v>2.4275450976242599E-3</v>
      </c>
      <c r="X29" s="363">
        <v>2.4284268793524199E-3</v>
      </c>
      <c r="Y29" s="363">
        <v>0.762407616970597</v>
      </c>
      <c r="Z29" s="363">
        <v>0.76772542525967202</v>
      </c>
      <c r="AA29" s="363">
        <v>332.42217547590297</v>
      </c>
      <c r="AB29" s="363">
        <v>332.62677319419498</v>
      </c>
      <c r="AC29" s="363">
        <v>22.825695556955701</v>
      </c>
      <c r="AD29" s="363">
        <v>23.0456394035246</v>
      </c>
      <c r="AE29" s="559" t="s">
        <v>562</v>
      </c>
      <c r="AF29" s="363">
        <v>4.8553791887125199E-2</v>
      </c>
      <c r="AG29" s="363">
        <v>4.8571428571428599E-2</v>
      </c>
      <c r="AH29" s="363">
        <v>0.85934367320154204</v>
      </c>
      <c r="AI29" s="363">
        <v>0.86601992525059401</v>
      </c>
      <c r="AJ29" s="363">
        <v>63.294534292900501</v>
      </c>
      <c r="AK29" s="363">
        <v>63.494993445783102</v>
      </c>
      <c r="AL29" s="363">
        <v>9.6980439600730293</v>
      </c>
      <c r="AM29" s="363">
        <v>9.8030264441443702</v>
      </c>
      <c r="AN29" s="363">
        <v>264.84523736114897</v>
      </c>
      <c r="AO29" s="363">
        <v>264.93506493506499</v>
      </c>
      <c r="AP29" s="363">
        <v>0.36578543682100401</v>
      </c>
      <c r="AQ29" s="363">
        <v>0.35978835978835999</v>
      </c>
      <c r="AR29" s="363">
        <v>1.86106494960061</v>
      </c>
      <c r="AS29" s="363">
        <v>1.87396656255741</v>
      </c>
      <c r="AT29" s="559" t="s">
        <v>562</v>
      </c>
      <c r="AU29" s="558">
        <v>27.864605500672699</v>
      </c>
      <c r="AV29" s="363">
        <v>27.9081220843537</v>
      </c>
      <c r="AW29" s="363">
        <v>1.33721527849327</v>
      </c>
      <c r="AX29" s="363">
        <v>1.31910766246363</v>
      </c>
      <c r="AY29" s="363">
        <v>27.1549877668715</v>
      </c>
      <c r="AZ29" s="363">
        <v>27.164143330803299</v>
      </c>
      <c r="BA29" s="363">
        <v>7.8212075049405805E-2</v>
      </c>
      <c r="BB29" s="363">
        <v>7.8212461852255097E-2</v>
      </c>
      <c r="BC29" s="363">
        <v>76.0354093972893</v>
      </c>
      <c r="BD29" s="363">
        <v>76.723457068712605</v>
      </c>
      <c r="BE29" s="363">
        <v>9.7415430998151304</v>
      </c>
      <c r="BF29" s="363">
        <v>9.7969062906703694</v>
      </c>
      <c r="BG29" s="363">
        <v>0.30981873397369097</v>
      </c>
      <c r="BH29" s="363">
        <v>0.310975609756098</v>
      </c>
      <c r="BI29" s="559" t="s">
        <v>562</v>
      </c>
      <c r="BJ29" s="606">
        <v>110.032628764693</v>
      </c>
      <c r="BK29" s="606">
        <v>111.038536903984</v>
      </c>
      <c r="BL29" s="606">
        <v>4.0585865915994099E-2</v>
      </c>
      <c r="BM29" s="606">
        <v>4.0597014925373098E-2</v>
      </c>
      <c r="BN29" s="606">
        <v>136.17999517472501</v>
      </c>
      <c r="BO29" s="606">
        <v>137.262817924909</v>
      </c>
      <c r="BP29" s="606">
        <v>2.9583845663309898</v>
      </c>
      <c r="BQ29" s="606">
        <v>2.9785370127025801</v>
      </c>
      <c r="BR29" s="606">
        <v>27.760873923996801</v>
      </c>
      <c r="BS29" s="606">
        <v>27.7732396667211</v>
      </c>
      <c r="BT29" s="606">
        <v>101.962962962963</v>
      </c>
      <c r="BU29" s="606">
        <v>102</v>
      </c>
      <c r="BV29" s="606">
        <v>123.704137876343</v>
      </c>
      <c r="BW29" s="606">
        <v>125.58749813604101</v>
      </c>
    </row>
    <row r="30" spans="1:75" s="174" customFormat="1" ht="10.7" customHeight="1">
      <c r="A30" s="562" t="s">
        <v>571</v>
      </c>
      <c r="B30" s="605">
        <v>68.789650428230402</v>
      </c>
      <c r="C30" s="605">
        <v>68.062398441283307</v>
      </c>
      <c r="D30" s="605">
        <v>102.92</v>
      </c>
      <c r="E30" s="605">
        <v>103</v>
      </c>
      <c r="F30" s="605">
        <v>272.98433324632902</v>
      </c>
      <c r="G30" s="605">
        <v>273.17331918843701</v>
      </c>
      <c r="H30" s="605">
        <v>76.367853999925003</v>
      </c>
      <c r="I30" s="605">
        <v>76.003541912632798</v>
      </c>
      <c r="J30" s="605">
        <v>14.9488028237562</v>
      </c>
      <c r="K30" s="605">
        <v>14.8757943385326</v>
      </c>
      <c r="L30" s="605">
        <v>15.1194787270285</v>
      </c>
      <c r="M30" s="605">
        <v>15.224524787891299</v>
      </c>
      <c r="N30" s="605">
        <v>112.65315550941401</v>
      </c>
      <c r="O30" s="605">
        <v>113.526596262021</v>
      </c>
      <c r="P30" s="562" t="s">
        <v>571</v>
      </c>
      <c r="Q30" s="377">
        <v>13.1117471850661</v>
      </c>
      <c r="R30" s="377">
        <v>13.121520567665</v>
      </c>
      <c r="S30" s="377">
        <v>1.25555296095469</v>
      </c>
      <c r="T30" s="377">
        <v>1.26001590311334</v>
      </c>
      <c r="U30" s="377">
        <v>6.9308484435883898E-3</v>
      </c>
      <c r="V30" s="377">
        <v>7.0211315610088599E-3</v>
      </c>
      <c r="W30" s="377">
        <v>2.45033033747991E-3</v>
      </c>
      <c r="X30" s="377">
        <v>2.45223498601274E-3</v>
      </c>
      <c r="Y30" s="377">
        <v>0.77135285033759904</v>
      </c>
      <c r="Z30" s="377">
        <v>0.755713709233648</v>
      </c>
      <c r="AA30" s="377">
        <v>335.837769534031</v>
      </c>
      <c r="AB30" s="377">
        <v>335.997390311532</v>
      </c>
      <c r="AC30" s="377">
        <v>23.257451042322501</v>
      </c>
      <c r="AD30" s="377">
        <v>23.0915816612487</v>
      </c>
      <c r="AE30" s="562" t="s">
        <v>571</v>
      </c>
      <c r="AF30" s="377">
        <v>4.9009523809523801E-2</v>
      </c>
      <c r="AG30" s="377">
        <v>4.9047619047619E-2</v>
      </c>
      <c r="AH30" s="377">
        <v>0.87699944853827405</v>
      </c>
      <c r="AI30" s="377">
        <v>0.87600602488027202</v>
      </c>
      <c r="AJ30" s="377">
        <v>63.926312225053401</v>
      </c>
      <c r="AK30" s="377">
        <v>63.710639592595598</v>
      </c>
      <c r="AL30" s="377">
        <v>9.8101384457439504</v>
      </c>
      <c r="AM30" s="377">
        <v>9.6878262587119899</v>
      </c>
      <c r="AN30" s="377">
        <v>267.32745560492998</v>
      </c>
      <c r="AO30" s="377">
        <v>267.53246753246799</v>
      </c>
      <c r="AP30" s="377">
        <v>0.36161072629865598</v>
      </c>
      <c r="AQ30" s="377">
        <v>0.362995594713656</v>
      </c>
      <c r="AR30" s="377">
        <v>1.8626874828609099</v>
      </c>
      <c r="AS30" s="377">
        <v>1.8565248738284099</v>
      </c>
      <c r="AT30" s="562" t="s">
        <v>571</v>
      </c>
      <c r="AU30" s="447">
        <v>28.1506763406156</v>
      </c>
      <c r="AV30" s="377">
        <v>28.250524554642801</v>
      </c>
      <c r="AW30" s="377">
        <v>1.2694239276237</v>
      </c>
      <c r="AX30" s="377">
        <v>1.28029832193909</v>
      </c>
      <c r="AY30" s="377">
        <v>27.435342777521001</v>
      </c>
      <c r="AZ30" s="377">
        <v>27.461540512437701</v>
      </c>
      <c r="BA30" s="377">
        <v>7.7920700478071397E-2</v>
      </c>
      <c r="BB30" s="377">
        <v>7.6970788464843801E-2</v>
      </c>
      <c r="BC30" s="377">
        <v>77.265097452306307</v>
      </c>
      <c r="BD30" s="377">
        <v>77.162227965688999</v>
      </c>
      <c r="BE30" s="377">
        <v>9.9338535706813698</v>
      </c>
      <c r="BF30" s="377">
        <v>10.0371765324966</v>
      </c>
      <c r="BG30" s="377">
        <v>0.32058897374033002</v>
      </c>
      <c r="BH30" s="377">
        <v>0.32087227414330199</v>
      </c>
      <c r="BI30" s="562" t="s">
        <v>571</v>
      </c>
      <c r="BJ30" s="605">
        <v>114.32381293296901</v>
      </c>
      <c r="BK30" s="605">
        <v>115.180318702824</v>
      </c>
      <c r="BL30" s="605">
        <v>4.0971659322341099E-2</v>
      </c>
      <c r="BM30" s="605">
        <v>4.0995024875621899E-2</v>
      </c>
      <c r="BN30" s="605">
        <v>138.82594899314401</v>
      </c>
      <c r="BO30" s="605">
        <v>138.73922413793099</v>
      </c>
      <c r="BP30" s="605">
        <v>3.0038610196228999</v>
      </c>
      <c r="BQ30" s="605">
        <v>3.01787283914445</v>
      </c>
      <c r="BR30" s="605">
        <v>28.024492338359401</v>
      </c>
      <c r="BS30" s="605">
        <v>28.047817444108599</v>
      </c>
      <c r="BT30" s="605">
        <v>102.92</v>
      </c>
      <c r="BU30" s="605">
        <v>103</v>
      </c>
      <c r="BV30" s="605">
        <v>127.89097063047301</v>
      </c>
      <c r="BW30" s="605">
        <v>129.51219672339701</v>
      </c>
    </row>
    <row r="31" spans="1:75" s="174" customFormat="1" ht="10.7" customHeight="1">
      <c r="A31" s="559" t="s">
        <v>572</v>
      </c>
      <c r="B31" s="606">
        <v>69.414887192325807</v>
      </c>
      <c r="C31" s="606">
        <v>68.107874599156105</v>
      </c>
      <c r="D31" s="606">
        <v>104.388888888889</v>
      </c>
      <c r="E31" s="606">
        <v>104.5</v>
      </c>
      <c r="F31" s="606">
        <v>276.882752450797</v>
      </c>
      <c r="G31" s="606">
        <v>277.188328912467</v>
      </c>
      <c r="H31" s="606">
        <v>77.263718203246896</v>
      </c>
      <c r="I31" s="606">
        <v>76.843885579822</v>
      </c>
      <c r="J31" s="606">
        <v>14.953421535755</v>
      </c>
      <c r="K31" s="606">
        <v>14.7555103712176</v>
      </c>
      <c r="L31" s="606">
        <v>15.242585082747899</v>
      </c>
      <c r="M31" s="606">
        <v>15.0625202695398</v>
      </c>
      <c r="N31" s="606">
        <v>113.539527242338</v>
      </c>
      <c r="O31" s="606">
        <v>112.180746106195</v>
      </c>
      <c r="P31" s="559" t="s">
        <v>572</v>
      </c>
      <c r="Q31" s="363">
        <v>13.319785952042199</v>
      </c>
      <c r="R31" s="363">
        <v>13.338864600950901</v>
      </c>
      <c r="S31" s="363">
        <v>1.26898146399538</v>
      </c>
      <c r="T31" s="363">
        <v>1.2637179913535099</v>
      </c>
      <c r="U31" s="363">
        <v>7.0434870879901197E-3</v>
      </c>
      <c r="V31" s="363">
        <v>6.9701517425379399E-3</v>
      </c>
      <c r="W31" s="363">
        <v>2.48530180081873E-3</v>
      </c>
      <c r="X31" s="363">
        <v>2.4879471460032099E-3</v>
      </c>
      <c r="Y31" s="363">
        <v>0.76085455348827702</v>
      </c>
      <c r="Z31" s="363">
        <v>0.74746968992525298</v>
      </c>
      <c r="AA31" s="363">
        <v>340.08878079715203</v>
      </c>
      <c r="AB31" s="363">
        <v>339.72691807542299</v>
      </c>
      <c r="AC31" s="363">
        <v>23.119443541390801</v>
      </c>
      <c r="AD31" s="363">
        <v>22.636196252572301</v>
      </c>
      <c r="AE31" s="559" t="s">
        <v>572</v>
      </c>
      <c r="AF31" s="363">
        <v>4.9708994708994703E-2</v>
      </c>
      <c r="AG31" s="363">
        <v>4.9761904761904799E-2</v>
      </c>
      <c r="AH31" s="363">
        <v>0.88478605584012304</v>
      </c>
      <c r="AI31" s="363">
        <v>0.87860237483279202</v>
      </c>
      <c r="AJ31" s="363">
        <v>64.893405502482693</v>
      </c>
      <c r="AK31" s="363">
        <v>63.097093077177902</v>
      </c>
      <c r="AL31" s="363">
        <v>9.6796940533571192</v>
      </c>
      <c r="AM31" s="363">
        <v>9.3417006364871593</v>
      </c>
      <c r="AN31" s="363">
        <v>271.11648912842799</v>
      </c>
      <c r="AO31" s="363">
        <v>271.42857142857099</v>
      </c>
      <c r="AP31" s="363">
        <v>0.365861155106664</v>
      </c>
      <c r="AQ31" s="363">
        <v>0.3652249890782</v>
      </c>
      <c r="AR31" s="363">
        <v>1.8719106548944</v>
      </c>
      <c r="AS31" s="363">
        <v>1.85909980430528</v>
      </c>
      <c r="AT31" s="559" t="s">
        <v>572</v>
      </c>
      <c r="AU31" s="558">
        <v>28.591357008296701</v>
      </c>
      <c r="AV31" s="363">
        <v>28.6536879627091</v>
      </c>
      <c r="AW31" s="363">
        <v>1.3219563628794599</v>
      </c>
      <c r="AX31" s="363">
        <v>1.3899049012436</v>
      </c>
      <c r="AY31" s="363">
        <v>27.835349289315602</v>
      </c>
      <c r="AZ31" s="363">
        <v>27.865923575371301</v>
      </c>
      <c r="BA31" s="363">
        <v>7.8593160386646793E-2</v>
      </c>
      <c r="BB31" s="363">
        <v>7.8974614762584897E-2</v>
      </c>
      <c r="BC31" s="363">
        <v>77.958417234087406</v>
      </c>
      <c r="BD31" s="363">
        <v>77.3873440219202</v>
      </c>
      <c r="BE31" s="363">
        <v>9.9960415084194505</v>
      </c>
      <c r="BF31" s="363">
        <v>9.5717445763930602</v>
      </c>
      <c r="BG31" s="363">
        <v>0.336963551786777</v>
      </c>
      <c r="BH31" s="363">
        <v>0.35453774385072101</v>
      </c>
      <c r="BI31" s="559" t="s">
        <v>572</v>
      </c>
      <c r="BJ31" s="606">
        <v>116.341879394957</v>
      </c>
      <c r="BK31" s="606">
        <v>115.373999447971</v>
      </c>
      <c r="BL31" s="606">
        <v>4.1552109971668597E-2</v>
      </c>
      <c r="BM31" s="606">
        <v>4.1592039800994997E-2</v>
      </c>
      <c r="BN31" s="606">
        <v>140.06083811908701</v>
      </c>
      <c r="BO31" s="606">
        <v>139.07372903912699</v>
      </c>
      <c r="BP31" s="606">
        <v>3.0509594224381602</v>
      </c>
      <c r="BQ31" s="606">
        <v>3.0106597522327898</v>
      </c>
      <c r="BR31" s="606">
        <v>28.426411860752999</v>
      </c>
      <c r="BS31" s="606">
        <v>28.4516322252171</v>
      </c>
      <c r="BT31" s="606">
        <v>104.388888888889</v>
      </c>
      <c r="BU31" s="606">
        <v>104.5</v>
      </c>
      <c r="BV31" s="606">
        <v>130.325480454184</v>
      </c>
      <c r="BW31" s="606">
        <v>129.72629915820801</v>
      </c>
    </row>
    <row r="32" spans="1:75" s="174" customFormat="1" ht="10.7" customHeight="1">
      <c r="A32" s="562" t="s">
        <v>563</v>
      </c>
      <c r="B32" s="605">
        <v>71.051776832880904</v>
      </c>
      <c r="C32" s="605">
        <v>70.786798412698403</v>
      </c>
      <c r="D32" s="605">
        <v>105.884615384615</v>
      </c>
      <c r="E32" s="605">
        <v>106</v>
      </c>
      <c r="F32" s="605">
        <v>280.84814237700101</v>
      </c>
      <c r="G32" s="605">
        <v>281.16710875331597</v>
      </c>
      <c r="H32" s="605">
        <v>79.601868454289601</v>
      </c>
      <c r="I32" s="605">
        <v>80.403534721432095</v>
      </c>
      <c r="J32" s="605">
        <v>14.8131846291878</v>
      </c>
      <c r="K32" s="605">
        <v>14.7107805040524</v>
      </c>
      <c r="L32" s="605">
        <v>15.383805832796501</v>
      </c>
      <c r="M32" s="605">
        <v>15.507505047254</v>
      </c>
      <c r="N32" s="605">
        <v>114.57863864743599</v>
      </c>
      <c r="O32" s="605">
        <v>115.444596106877</v>
      </c>
      <c r="P32" s="562" t="s">
        <v>563</v>
      </c>
      <c r="Q32" s="377">
        <v>13.5197346878173</v>
      </c>
      <c r="R32" s="377">
        <v>13.537762054674699</v>
      </c>
      <c r="S32" s="377">
        <v>1.28812581220543</v>
      </c>
      <c r="T32" s="377">
        <v>1.29291943648228</v>
      </c>
      <c r="U32" s="377">
        <v>7.0843768474453603E-3</v>
      </c>
      <c r="V32" s="377">
        <v>7.0537348194975903E-3</v>
      </c>
      <c r="W32" s="377">
        <v>2.5202865540598501E-3</v>
      </c>
      <c r="X32" s="377">
        <v>2.5236593059936902E-3</v>
      </c>
      <c r="Y32" s="377">
        <v>0.75026323983068099</v>
      </c>
      <c r="Z32" s="377">
        <v>0.73767354466056601</v>
      </c>
      <c r="AA32" s="377">
        <v>344.42038007077002</v>
      </c>
      <c r="AB32" s="377">
        <v>344.77150756220499</v>
      </c>
      <c r="AC32" s="377">
        <v>22.851163037547401</v>
      </c>
      <c r="AD32" s="377">
        <v>22.627815135019699</v>
      </c>
      <c r="AE32" s="562" t="s">
        <v>563</v>
      </c>
      <c r="AF32" s="377">
        <v>5.0421245421245403E-2</v>
      </c>
      <c r="AG32" s="377">
        <v>5.0476190476190501E-2</v>
      </c>
      <c r="AH32" s="377">
        <v>0.89609148838457098</v>
      </c>
      <c r="AI32" s="377">
        <v>0.89241890143233205</v>
      </c>
      <c r="AJ32" s="377">
        <v>64.928067061093998</v>
      </c>
      <c r="AK32" s="377">
        <v>65.105193096711204</v>
      </c>
      <c r="AL32" s="377">
        <v>9.7842627011829908</v>
      </c>
      <c r="AM32" s="377">
        <v>9.7922382654805098</v>
      </c>
      <c r="AN32" s="377">
        <v>275.02084981633101</v>
      </c>
      <c r="AO32" s="377">
        <v>275.32467532467501</v>
      </c>
      <c r="AP32" s="377">
        <v>0.36959137705059097</v>
      </c>
      <c r="AQ32" s="377">
        <v>0.36949891067538099</v>
      </c>
      <c r="AR32" s="377">
        <v>1.8931482593687901</v>
      </c>
      <c r="AS32" s="377">
        <v>1.9013452914798199</v>
      </c>
      <c r="AT32" s="562" t="s">
        <v>563</v>
      </c>
      <c r="AU32" s="447">
        <v>29.050228100840801</v>
      </c>
      <c r="AV32" s="377">
        <v>29.0960994757212</v>
      </c>
      <c r="AW32" s="377">
        <v>1.2788535487164701</v>
      </c>
      <c r="AX32" s="377">
        <v>1.26718469814704</v>
      </c>
      <c r="AY32" s="377">
        <v>28.230512974896101</v>
      </c>
      <c r="AZ32" s="377">
        <v>28.2583775425875</v>
      </c>
      <c r="BA32" s="377">
        <v>8.1691678446361701E-2</v>
      </c>
      <c r="BB32" s="377">
        <v>8.1377896688457005E-2</v>
      </c>
      <c r="BC32" s="377">
        <v>78.644863098831905</v>
      </c>
      <c r="BD32" s="377">
        <v>78.405266466955098</v>
      </c>
      <c r="BE32" s="377">
        <v>9.8343131095661001</v>
      </c>
      <c r="BF32" s="377">
        <v>9.9008976191143407</v>
      </c>
      <c r="BG32" s="377">
        <v>0.35073466427543598</v>
      </c>
      <c r="BH32" s="377">
        <v>0.34527687296416898</v>
      </c>
      <c r="BI32" s="562" t="s">
        <v>563</v>
      </c>
      <c r="BJ32" s="605">
        <v>117.398833170695</v>
      </c>
      <c r="BK32" s="605">
        <v>118.11242966182</v>
      </c>
      <c r="BL32" s="605">
        <v>4.2145050486857301E-2</v>
      </c>
      <c r="BM32" s="605">
        <v>4.2189054726368198E-2</v>
      </c>
      <c r="BN32" s="605">
        <v>141.26092223038799</v>
      </c>
      <c r="BO32" s="605">
        <v>141.38988928904899</v>
      </c>
      <c r="BP32" s="605">
        <v>3.0365385046654998</v>
      </c>
      <c r="BQ32" s="605">
        <v>3.0100809314212702</v>
      </c>
      <c r="BR32" s="605">
        <v>28.813765584673298</v>
      </c>
      <c r="BS32" s="605">
        <v>28.860028860028901</v>
      </c>
      <c r="BT32" s="605">
        <v>105.884615384615</v>
      </c>
      <c r="BU32" s="605">
        <v>106</v>
      </c>
      <c r="BV32" s="605">
        <v>133.62825420885801</v>
      </c>
      <c r="BW32" s="605">
        <v>134.75249812389399</v>
      </c>
    </row>
    <row r="33" spans="1:75" s="1644" customFormat="1" ht="10.7" customHeight="1">
      <c r="A33" s="570" t="s">
        <v>2345</v>
      </c>
      <c r="B33" s="691">
        <f>AVERAGE(B34:B45)</f>
        <v>72.849200930955817</v>
      </c>
      <c r="C33" s="691">
        <f>C45</f>
        <v>78.682398230353897</v>
      </c>
      <c r="D33" s="691">
        <f t="shared" ref="D33" si="0">AVERAGE(D34:D45)</f>
        <v>111.05630536562209</v>
      </c>
      <c r="E33" s="691">
        <f t="shared" ref="E33" si="1">E45</f>
        <v>118</v>
      </c>
      <c r="F33" s="691">
        <f t="shared" ref="F33" si="2">AVERAGE(F34:F45)</f>
        <v>294.63446962114062</v>
      </c>
      <c r="G33" s="691">
        <f t="shared" ref="G33" si="3">G45</f>
        <v>312.99734748010599</v>
      </c>
      <c r="H33" s="691">
        <f t="shared" ref="H33" si="4">AVERAGE(H34:H45)</f>
        <v>81.979640992119684</v>
      </c>
      <c r="I33" s="691">
        <f t="shared" ref="I33" si="5">I45</f>
        <v>86.260462736211096</v>
      </c>
      <c r="J33" s="691">
        <f>AVERAGE(J34:J45)</f>
        <v>15.572032320779185</v>
      </c>
      <c r="K33" s="691">
        <f t="shared" ref="K33" si="6">K45</f>
        <v>16.557220631980702</v>
      </c>
      <c r="L33" s="691">
        <f t="shared" ref="L33" si="7">AVERAGE(L34:L45)</f>
        <v>16.042156854822178</v>
      </c>
      <c r="M33" s="691">
        <f t="shared" ref="M33" si="8">M45</f>
        <v>16.953048675363501</v>
      </c>
      <c r="N33" s="691">
        <f t="shared" ref="N33" si="9">AVERAGE(N34:N45)</f>
        <v>120.2301079059264</v>
      </c>
      <c r="O33" s="691">
        <f t="shared" ref="O33" si="10">O45</f>
        <v>126.43699559496</v>
      </c>
      <c r="P33" s="570" t="s">
        <v>2345</v>
      </c>
      <c r="Q33" s="623">
        <f t="shared" ref="Q33" si="11">AVERAGE(Q34:Q45)</f>
        <v>14.204907534902766</v>
      </c>
      <c r="R33" s="623">
        <f t="shared" ref="R33" si="12">R45</f>
        <v>15.1124145924451</v>
      </c>
      <c r="S33" s="623">
        <f t="shared" ref="S33" si="13">AVERAGE(S34:S45)</f>
        <v>1.3361777773263956</v>
      </c>
      <c r="T33" s="623">
        <f t="shared" ref="T33" si="14">T45</f>
        <v>1.4155470249520199</v>
      </c>
      <c r="U33" s="623">
        <f t="shared" ref="U33" si="15">AVERAGE(U34:U45)</f>
        <v>7.3419486171309124E-3</v>
      </c>
      <c r="V33" s="623">
        <f t="shared" ref="V33" si="16">V45</f>
        <v>7.2061068702290098E-3</v>
      </c>
      <c r="W33" s="623">
        <f t="shared" ref="W33" si="17">AVERAGE(W34:W45)</f>
        <v>2.4256393208076433E-3</v>
      </c>
      <c r="X33" s="623">
        <f t="shared" ref="X33" si="18">X45</f>
        <v>2.8093565859175001E-3</v>
      </c>
      <c r="Y33" s="623">
        <f t="shared" ref="Y33" si="19">AVERAGE(Y34:Y45)</f>
        <v>0.74470057280099722</v>
      </c>
      <c r="Z33" s="623">
        <f t="shared" ref="Z33" si="20">Z45</f>
        <v>0.73357993223710805</v>
      </c>
      <c r="AA33" s="623">
        <f t="shared" ref="AA33" si="21">AVERAGE(AA34:AA45)</f>
        <v>360.78723912449578</v>
      </c>
      <c r="AB33" s="623">
        <f t="shared" ref="AB33" si="22">AB45</f>
        <v>384.67807660961699</v>
      </c>
      <c r="AC33" s="623">
        <f t="shared" ref="AC33" si="23">AVERAGE(AC34:AC45)</f>
        <v>23.659676743879846</v>
      </c>
      <c r="AD33" s="623">
        <f t="shared" ref="AD33" si="24">AD45</f>
        <v>25.0132485426603</v>
      </c>
      <c r="AE33" s="570" t="s">
        <v>2345</v>
      </c>
      <c r="AF33" s="623">
        <f t="shared" ref="AF33" si="25">AVERAGE(AF34:AF45)</f>
        <v>5.268554184331712E-2</v>
      </c>
      <c r="AG33" s="623">
        <f t="shared" ref="AG33" si="26">AG45</f>
        <v>5.61904761904762E-2</v>
      </c>
      <c r="AH33" s="623">
        <f t="shared" ref="AH33" si="27">AVERAGE(AH34:AH45)</f>
        <v>0.93158628120650355</v>
      </c>
      <c r="AI33" s="623">
        <f t="shared" ref="AI33" si="28">AI45</f>
        <v>0.97996226314810397</v>
      </c>
      <c r="AJ33" s="623">
        <f t="shared" ref="AJ33" si="29">AVERAGE(AJ34:AJ45)</f>
        <v>67.400436060470881</v>
      </c>
      <c r="AK33" s="623">
        <f t="shared" ref="AK33" si="30">AK45</f>
        <v>71.814792244495607</v>
      </c>
      <c r="AL33" s="623">
        <f t="shared" ref="AL33" si="31">AVERAGE(AL34:AL45)</f>
        <v>10.442313512233316</v>
      </c>
      <c r="AM33" s="623">
        <f t="shared" ref="AM33" si="32">AM45</f>
        <v>11.0484822381603</v>
      </c>
      <c r="AN33" s="623">
        <f t="shared" ref="AN33" si="33">AVERAGE(AN34:AN45)</f>
        <v>288.56344552782491</v>
      </c>
      <c r="AO33" s="623">
        <f t="shared" ref="AO33" si="34">AO45</f>
        <v>306.493506493506</v>
      </c>
      <c r="AP33" s="623">
        <f t="shared" ref="AP33" si="35">AVERAGE(AP34:AP45)</f>
        <v>0.3928547638790722</v>
      </c>
      <c r="AQ33" s="623">
        <f t="shared" ref="AQ33" si="36">AQ45</f>
        <v>0.42400287459576003</v>
      </c>
      <c r="AR33" s="623">
        <f t="shared" ref="AR33" si="37">AVERAGE(AR34:AR45)</f>
        <v>1.9671362531245087</v>
      </c>
      <c r="AS33" s="623">
        <f t="shared" ref="AS33" si="38">AS45</f>
        <v>2.01743887844076</v>
      </c>
      <c r="AT33" s="570" t="s">
        <v>2345</v>
      </c>
      <c r="AU33" s="552">
        <f t="shared" ref="AU33" si="39">AVERAGE(AU34:AU45)</f>
        <v>30.363094942719005</v>
      </c>
      <c r="AV33" s="623">
        <f t="shared" ref="AV33" si="40">AV45</f>
        <v>32.364234777838703</v>
      </c>
      <c r="AW33" s="623">
        <f t="shared" ref="AW33" si="41">AVERAGE(AW34:AW45)</f>
        <v>1.206178765899715</v>
      </c>
      <c r="AX33" s="623">
        <f t="shared" ref="AX33" si="42">AX45</f>
        <v>1.3760932944606401</v>
      </c>
      <c r="AY33" s="623">
        <f t="shared" ref="AY33" si="43">AVERAGE(AY34:AY45)</f>
        <v>29.608751526156265</v>
      </c>
      <c r="AZ33" s="623">
        <f t="shared" ref="AZ33" si="44">AZ45</f>
        <v>31.451569913108401</v>
      </c>
      <c r="BA33" s="623">
        <f t="shared" ref="BA33" si="45">AVERAGE(BA34:BA45)</f>
        <v>8.308882743861655E-2</v>
      </c>
      <c r="BB33" s="623">
        <f t="shared" ref="BB33" si="46">BB45</f>
        <v>8.5428318039492496E-2</v>
      </c>
      <c r="BC33" s="623">
        <f t="shared" ref="BC33" si="47">AVERAGE(BC34:BC45)</f>
        <v>82.385206483922516</v>
      </c>
      <c r="BD33" s="623">
        <f t="shared" ref="BD33" si="48">BD45</f>
        <v>87.023857811866193</v>
      </c>
      <c r="BE33" s="623">
        <f t="shared" ref="BE33" si="49">AVERAGE(BE34:BE45)</f>
        <v>10.427695498349435</v>
      </c>
      <c r="BF33" s="623">
        <f t="shared" ref="BF33" si="50">BF45</f>
        <v>11.1333358493414</v>
      </c>
      <c r="BG33" s="623">
        <f t="shared" ref="BG33" si="51">AVERAGE(BG34:BG45)</f>
        <v>0.3528710066354443</v>
      </c>
      <c r="BH33" s="623">
        <f t="shared" ref="BH33" si="52">BH45</f>
        <v>0.385683935283543</v>
      </c>
      <c r="BI33" s="570" t="s">
        <v>2345</v>
      </c>
      <c r="BJ33" s="691">
        <f t="shared" ref="BJ33" si="53">AVERAGE(BJ34:BJ45)</f>
        <v>125.22245156594776</v>
      </c>
      <c r="BK33" s="691">
        <f t="shared" ref="BK33" si="54">BK45</f>
        <v>131.27155412170401</v>
      </c>
      <c r="BL33" s="691">
        <f t="shared" ref="BL33" si="55">AVERAGE(BL34:BL45)</f>
        <v>1.1575831447914154E-2</v>
      </c>
      <c r="BM33" s="691">
        <f t="shared" ref="BM33" si="56">BM45</f>
        <v>9.0758758604776394E-3</v>
      </c>
      <c r="BN33" s="691">
        <f t="shared" ref="BN33" si="57">AVERAGE(BN34:BN45)</f>
        <v>147.2989139891755</v>
      </c>
      <c r="BO33" s="691">
        <f t="shared" ref="BO33" si="58">BO45</f>
        <v>155.20189398921499</v>
      </c>
      <c r="BP33" s="691">
        <f t="shared" ref="BP33" si="59">AVERAGE(BP34:BP45)</f>
        <v>3.1036922986489817</v>
      </c>
      <c r="BQ33" s="691">
        <f t="shared" ref="BQ33" si="60">BQ45</f>
        <v>3.2091378841446798</v>
      </c>
      <c r="BR33" s="691">
        <f t="shared" ref="BR33" si="61">AVERAGE(BR34:BR45)</f>
        <v>30.236750889564011</v>
      </c>
      <c r="BS33" s="691">
        <f t="shared" ref="BS33" si="62">BS45</f>
        <v>32.126327252926799</v>
      </c>
      <c r="BT33" s="691">
        <f t="shared" ref="BT33" si="63">AVERAGE(BT34:BT45)</f>
        <v>111.05630536562209</v>
      </c>
      <c r="BU33" s="691">
        <f t="shared" ref="BU33" si="64">BU45</f>
        <v>118</v>
      </c>
      <c r="BV33" s="691">
        <f t="shared" ref="BV33" si="65">AVERAGE(BV34:BV45)</f>
        <v>139.93605728545054</v>
      </c>
      <c r="BW33" s="691">
        <f t="shared" ref="BW33" si="66">BW45</f>
        <v>149.199196267004</v>
      </c>
    </row>
    <row r="34" spans="1:75" s="174" customFormat="1" ht="10.7" customHeight="1">
      <c r="A34" s="562" t="s">
        <v>565</v>
      </c>
      <c r="B34" s="605">
        <v>73.197052655735604</v>
      </c>
      <c r="C34" s="605">
        <v>72.484998360902196</v>
      </c>
      <c r="D34" s="605">
        <v>108.757173076923</v>
      </c>
      <c r="E34" s="605">
        <v>109</v>
      </c>
      <c r="F34" s="605">
        <v>288.48057009148698</v>
      </c>
      <c r="G34" s="605">
        <v>289.12466843501301</v>
      </c>
      <c r="H34" s="605">
        <v>82.253054684621603</v>
      </c>
      <c r="I34" s="605">
        <v>82.239323977667098</v>
      </c>
      <c r="J34" s="605">
        <v>15.181810080346301</v>
      </c>
      <c r="K34" s="605">
        <v>15.286445550802901</v>
      </c>
      <c r="L34" s="605">
        <v>16.138422462681898</v>
      </c>
      <c r="M34" s="605">
        <v>16.115916315517101</v>
      </c>
      <c r="N34" s="605">
        <v>120.22882847917199</v>
      </c>
      <c r="O34" s="605">
        <v>120.07439901053</v>
      </c>
      <c r="P34" s="562" t="s">
        <v>565</v>
      </c>
      <c r="Q34" s="377">
        <v>13.9267899466756</v>
      </c>
      <c r="R34" s="377">
        <v>13.981259980888</v>
      </c>
      <c r="S34" s="377">
        <v>1.3241662256336799</v>
      </c>
      <c r="T34" s="377">
        <v>1.32517962870655</v>
      </c>
      <c r="U34" s="377">
        <v>7.23426285021566E-3</v>
      </c>
      <c r="V34" s="377">
        <v>7.22141248178084E-3</v>
      </c>
      <c r="W34" s="377">
        <v>2.5886893795587099E-3</v>
      </c>
      <c r="X34" s="377">
        <v>2.5950836259746399E-3</v>
      </c>
      <c r="Y34" s="377">
        <v>0.77001510414516705</v>
      </c>
      <c r="Z34" s="377">
        <v>0.77214607020153703</v>
      </c>
      <c r="AA34" s="377">
        <v>354.38570549662597</v>
      </c>
      <c r="AB34" s="377">
        <v>354.81770833333297</v>
      </c>
      <c r="AC34" s="377">
        <v>23.683304700583001</v>
      </c>
      <c r="AD34" s="377">
        <v>24.032631462903701</v>
      </c>
      <c r="AE34" s="562" t="s">
        <v>565</v>
      </c>
      <c r="AF34" s="377">
        <v>5.1789125305261599E-2</v>
      </c>
      <c r="AG34" s="377">
        <v>5.1904761904761898E-2</v>
      </c>
      <c r="AH34" s="377">
        <v>0.92149637202462797</v>
      </c>
      <c r="AI34" s="377">
        <v>0.92435157584983096</v>
      </c>
      <c r="AJ34" s="377">
        <v>67.665544456068702</v>
      </c>
      <c r="AK34" s="377">
        <v>67.220292930111896</v>
      </c>
      <c r="AL34" s="377">
        <v>10.564268824129099</v>
      </c>
      <c r="AM34" s="377">
        <v>10.6884750782024</v>
      </c>
      <c r="AN34" s="377">
        <v>282.48193054835002</v>
      </c>
      <c r="AO34" s="377">
        <v>283.116883116883</v>
      </c>
      <c r="AP34" s="377">
        <v>0.387889727484796</v>
      </c>
      <c r="AQ34" s="377">
        <v>0.38525430318453302</v>
      </c>
      <c r="AR34" s="377">
        <v>1.9821834783779899</v>
      </c>
      <c r="AS34" s="377">
        <v>1.98832542867567</v>
      </c>
      <c r="AT34" s="562" t="s">
        <v>565</v>
      </c>
      <c r="AU34" s="447">
        <v>29.844243299954702</v>
      </c>
      <c r="AV34" s="377">
        <v>29.9072600559732</v>
      </c>
      <c r="AW34" s="377">
        <v>1.2027133603048801</v>
      </c>
      <c r="AX34" s="377">
        <v>1.18917739471962</v>
      </c>
      <c r="AY34" s="377">
        <v>28.993211910954201</v>
      </c>
      <c r="AZ34" s="377">
        <v>29.062016743987598</v>
      </c>
      <c r="BA34" s="377">
        <v>8.47548739696245E-2</v>
      </c>
      <c r="BB34" s="377">
        <v>8.5482150699542001E-2</v>
      </c>
      <c r="BC34" s="377">
        <v>81.442629973172103</v>
      </c>
      <c r="BD34" s="377">
        <v>81.877934272300493</v>
      </c>
      <c r="BE34" s="377">
        <v>10.3379367325863</v>
      </c>
      <c r="BF34" s="377">
        <v>10.3339084927663</v>
      </c>
      <c r="BG34" s="377">
        <v>0.34159888097073698</v>
      </c>
      <c r="BH34" s="377">
        <v>0.33130699088145898</v>
      </c>
      <c r="BI34" s="562" t="s">
        <v>565</v>
      </c>
      <c r="BJ34" s="605">
        <v>124.35968792857901</v>
      </c>
      <c r="BK34" s="605">
        <v>125.287356321839</v>
      </c>
      <c r="BL34" s="605">
        <v>4.3287745683289698E-2</v>
      </c>
      <c r="BM34" s="605">
        <v>4.33830845771144E-2</v>
      </c>
      <c r="BN34" s="605">
        <v>146.00365616264901</v>
      </c>
      <c r="BO34" s="605">
        <v>146.387322052109</v>
      </c>
      <c r="BP34" s="605">
        <v>3.1419411896027198</v>
      </c>
      <c r="BQ34" s="605">
        <v>3.1778425655976701</v>
      </c>
      <c r="BR34" s="605">
        <v>29.6103841019778</v>
      </c>
      <c r="BS34" s="605">
        <v>29.675206229070799</v>
      </c>
      <c r="BT34" s="605">
        <v>108.757173076923</v>
      </c>
      <c r="BU34" s="605">
        <v>109</v>
      </c>
      <c r="BV34" s="605">
        <v>140.080170540685</v>
      </c>
      <c r="BW34" s="605">
        <v>140.08134809166199</v>
      </c>
    </row>
    <row r="35" spans="1:75" s="174" customFormat="1" ht="10.7" customHeight="1">
      <c r="A35" s="559" t="s">
        <v>566</v>
      </c>
      <c r="B35" s="606">
        <v>71.071665882624103</v>
      </c>
      <c r="C35" s="606">
        <v>70.923148309402507</v>
      </c>
      <c r="D35" s="606">
        <v>109.45777777777801</v>
      </c>
      <c r="E35" s="606">
        <v>109.5</v>
      </c>
      <c r="F35" s="606">
        <v>290.34463283907502</v>
      </c>
      <c r="G35" s="606">
        <v>290.45092838196302</v>
      </c>
      <c r="H35" s="606">
        <v>81.289896231848502</v>
      </c>
      <c r="I35" s="606">
        <v>80.913322988250897</v>
      </c>
      <c r="J35" s="606">
        <v>15.259102963463301</v>
      </c>
      <c r="K35" s="606">
        <v>15.248360279065899</v>
      </c>
      <c r="L35" s="606">
        <v>16.0886535033742</v>
      </c>
      <c r="M35" s="606">
        <v>16.048423737010999</v>
      </c>
      <c r="N35" s="606">
        <v>119.477560256676</v>
      </c>
      <c r="O35" s="606">
        <v>119.639695991214</v>
      </c>
      <c r="P35" s="559" t="s">
        <v>566</v>
      </c>
      <c r="Q35" s="363">
        <v>13.988553970361499</v>
      </c>
      <c r="R35" s="363">
        <v>13.953488372093</v>
      </c>
      <c r="S35" s="363">
        <v>1.32177652327002</v>
      </c>
      <c r="T35" s="363">
        <v>1.32541714327215</v>
      </c>
      <c r="U35" s="363">
        <v>7.1782926864351502E-3</v>
      </c>
      <c r="V35" s="363">
        <v>7.1878692398582101E-3</v>
      </c>
      <c r="W35" s="363">
        <v>2.6047944291674998E-3</v>
      </c>
      <c r="X35" s="363">
        <v>2.6069876793048002E-3</v>
      </c>
      <c r="Y35" s="363">
        <v>0.75661336083587805</v>
      </c>
      <c r="Z35" s="363">
        <v>0.74869235239820897</v>
      </c>
      <c r="AA35" s="363">
        <v>355.555751312111</v>
      </c>
      <c r="AB35" s="363">
        <v>355.51948051948102</v>
      </c>
      <c r="AC35" s="363">
        <v>23.750462058470099</v>
      </c>
      <c r="AD35" s="363">
        <v>23.599137931034502</v>
      </c>
      <c r="AE35" s="559" t="s">
        <v>566</v>
      </c>
      <c r="AF35" s="363">
        <v>5.21227513227513E-2</v>
      </c>
      <c r="AG35" s="363">
        <v>5.2142857142857102E-2</v>
      </c>
      <c r="AH35" s="363">
        <v>0.92175640960987304</v>
      </c>
      <c r="AI35" s="363">
        <v>0.91676908805336899</v>
      </c>
      <c r="AJ35" s="363">
        <v>65.713126673086293</v>
      </c>
      <c r="AK35" s="363">
        <v>65.229142647305693</v>
      </c>
      <c r="AL35" s="363">
        <v>10.4812945639618</v>
      </c>
      <c r="AM35" s="363">
        <v>10.335356357424001</v>
      </c>
      <c r="AN35" s="363">
        <v>284.29634751307299</v>
      </c>
      <c r="AO35" s="363">
        <v>284.41558441558402</v>
      </c>
      <c r="AP35" s="363">
        <v>0.37349325255368199</v>
      </c>
      <c r="AQ35" s="363">
        <v>0.35960591133004899</v>
      </c>
      <c r="AR35" s="363">
        <v>1.94462373810801</v>
      </c>
      <c r="AS35" s="363">
        <v>1.9301956636700199</v>
      </c>
      <c r="AT35" s="559" t="s">
        <v>566</v>
      </c>
      <c r="AU35" s="558">
        <v>30.033642343336702</v>
      </c>
      <c r="AV35" s="363">
        <v>30.039916052837299</v>
      </c>
      <c r="AW35" s="363">
        <v>1.1443263714382399</v>
      </c>
      <c r="AX35" s="363">
        <v>1.13707165109034</v>
      </c>
      <c r="AY35" s="363">
        <v>29.1785831991942</v>
      </c>
      <c r="AZ35" s="363">
        <v>29.189880841308302</v>
      </c>
      <c r="BA35" s="363">
        <v>8.2804509628842199E-2</v>
      </c>
      <c r="BB35" s="363">
        <v>8.2742361444326507E-2</v>
      </c>
      <c r="BC35" s="363">
        <v>81.091284587132606</v>
      </c>
      <c r="BD35" s="363">
        <v>81.129139808846404</v>
      </c>
      <c r="BE35" s="363">
        <v>10.117851227002401</v>
      </c>
      <c r="BF35" s="363">
        <v>10.097749907783101</v>
      </c>
      <c r="BG35" s="363">
        <v>0.341089607414443</v>
      </c>
      <c r="BH35" s="363">
        <v>0.34326018808777398</v>
      </c>
      <c r="BI35" s="559" t="s">
        <v>566</v>
      </c>
      <c r="BJ35" s="606">
        <v>124.65797951387</v>
      </c>
      <c r="BK35" s="606">
        <v>124.701059104886</v>
      </c>
      <c r="BL35" s="606">
        <v>8.3649372615941103E-3</v>
      </c>
      <c r="BM35" s="606">
        <v>8.4221051417144206E-3</v>
      </c>
      <c r="BN35" s="606">
        <v>145.943162146997</v>
      </c>
      <c r="BO35" s="606">
        <v>145.650438946528</v>
      </c>
      <c r="BP35" s="606">
        <v>3.1258693698274498</v>
      </c>
      <c r="BQ35" s="606">
        <v>3.1330472103004299</v>
      </c>
      <c r="BR35" s="606">
        <v>29.800722368277899</v>
      </c>
      <c r="BS35" s="606">
        <v>29.813360197122101</v>
      </c>
      <c r="BT35" s="606">
        <v>109.45777777777801</v>
      </c>
      <c r="BU35" s="606">
        <v>109.5</v>
      </c>
      <c r="BV35" s="606">
        <v>139.174480918163</v>
      </c>
      <c r="BW35" s="606">
        <v>139.283996556604</v>
      </c>
    </row>
    <row r="36" spans="1:75" s="174" customFormat="1" ht="10.7" customHeight="1">
      <c r="A36" s="562" t="s">
        <v>560</v>
      </c>
      <c r="B36" s="605">
        <v>70.674205747704804</v>
      </c>
      <c r="C36" s="605">
        <v>70.521412069100293</v>
      </c>
      <c r="D36" s="605">
        <v>109.97</v>
      </c>
      <c r="E36" s="605">
        <v>110.25</v>
      </c>
      <c r="F36" s="605">
        <v>291.74416089473499</v>
      </c>
      <c r="G36" s="605">
        <v>292.44031830238703</v>
      </c>
      <c r="H36" s="605">
        <v>81.062875399841403</v>
      </c>
      <c r="I36" s="605">
        <v>81.563956499223195</v>
      </c>
      <c r="J36" s="605">
        <v>15.3108439062197</v>
      </c>
      <c r="K36" s="605">
        <v>15.3729241323535</v>
      </c>
      <c r="L36" s="605">
        <v>15.7812456308311</v>
      </c>
      <c r="M36" s="605">
        <v>15.631867742347101</v>
      </c>
      <c r="N36" s="605">
        <v>117.670449585732</v>
      </c>
      <c r="O36" s="605">
        <v>116.55629582860399</v>
      </c>
      <c r="P36" s="562" t="s">
        <v>560</v>
      </c>
      <c r="Q36" s="377">
        <v>14.0453130432763</v>
      </c>
      <c r="R36" s="377">
        <v>14.0959419029841</v>
      </c>
      <c r="S36" s="377">
        <v>1.3248753740783701</v>
      </c>
      <c r="T36" s="377">
        <v>1.3242447901026999</v>
      </c>
      <c r="U36" s="377">
        <v>7.1575136670212402E-3</v>
      </c>
      <c r="V36" s="377">
        <v>7.09573612228479E-3</v>
      </c>
      <c r="W36" s="377">
        <v>2.6181774894351501E-3</v>
      </c>
      <c r="X36" s="377">
        <v>2.6248437593000399E-3</v>
      </c>
      <c r="Y36" s="377">
        <v>0.74468592005868794</v>
      </c>
      <c r="Z36" s="377">
        <v>0.73958542966391605</v>
      </c>
      <c r="AA36" s="377">
        <v>356.15256987749302</v>
      </c>
      <c r="AB36" s="377">
        <v>356.39243575238402</v>
      </c>
      <c r="AC36" s="377">
        <v>23.497546125251599</v>
      </c>
      <c r="AD36" s="377">
        <v>23.425050462126801</v>
      </c>
      <c r="AE36" s="562" t="s">
        <v>560</v>
      </c>
      <c r="AF36" s="377">
        <v>5.23666666666667E-2</v>
      </c>
      <c r="AG36" s="377">
        <v>5.2499999999999998E-2</v>
      </c>
      <c r="AH36" s="377">
        <v>0.91726095384464501</v>
      </c>
      <c r="AI36" s="377">
        <v>0.91580872763640797</v>
      </c>
      <c r="AJ36" s="377">
        <v>65.163039448610206</v>
      </c>
      <c r="AK36" s="377">
        <v>65.560150912301296</v>
      </c>
      <c r="AL36" s="377">
        <v>10.250369957738499</v>
      </c>
      <c r="AM36" s="377">
        <v>10.191630383538101</v>
      </c>
      <c r="AN36" s="377">
        <v>285.596336210164</v>
      </c>
      <c r="AO36" s="377">
        <v>286.36363636363598</v>
      </c>
      <c r="AP36" s="377">
        <v>0.37021955229956599</v>
      </c>
      <c r="AQ36" s="377">
        <v>0.38663861125723298</v>
      </c>
      <c r="AR36" s="377">
        <v>1.93660957456927</v>
      </c>
      <c r="AS36" s="377">
        <v>1.93624868282403</v>
      </c>
      <c r="AT36" s="562" t="s">
        <v>560</v>
      </c>
      <c r="AU36" s="447">
        <v>30.162944511754301</v>
      </c>
      <c r="AV36" s="377">
        <v>30.2411059604465</v>
      </c>
      <c r="AW36" s="377">
        <v>1.14031468772844</v>
      </c>
      <c r="AX36" s="377">
        <v>1.1447409407122799</v>
      </c>
      <c r="AY36" s="377">
        <v>29.3179368107992</v>
      </c>
      <c r="AZ36" s="377">
        <v>29.389811532002199</v>
      </c>
      <c r="BA36" s="377">
        <v>8.2549703701710803E-2</v>
      </c>
      <c r="BB36" s="377">
        <v>8.1630688696463394E-2</v>
      </c>
      <c r="BC36" s="377">
        <v>80.725585150250893</v>
      </c>
      <c r="BD36" s="377">
        <v>80.542060854001505</v>
      </c>
      <c r="BE36" s="377">
        <v>9.9180031569107001</v>
      </c>
      <c r="BF36" s="377">
        <v>10.012168985433499</v>
      </c>
      <c r="BG36" s="377">
        <v>0.34083560907911398</v>
      </c>
      <c r="BH36" s="377">
        <v>0.34133126934984498</v>
      </c>
      <c r="BI36" s="562" t="s">
        <v>560</v>
      </c>
      <c r="BJ36" s="605">
        <v>122.65270426302899</v>
      </c>
      <c r="BK36" s="605">
        <v>120.39312039312</v>
      </c>
      <c r="BL36" s="605">
        <v>8.4582548167519093E-3</v>
      </c>
      <c r="BM36" s="605">
        <v>8.4797907933700008E-3</v>
      </c>
      <c r="BN36" s="605">
        <v>145.203885308054</v>
      </c>
      <c r="BO36" s="605">
        <v>144.571203776554</v>
      </c>
      <c r="BP36" s="605">
        <v>3.07350086192158</v>
      </c>
      <c r="BQ36" s="605">
        <v>3.0164158686730498</v>
      </c>
      <c r="BR36" s="605">
        <v>29.940151661039799</v>
      </c>
      <c r="BS36" s="605">
        <v>30.015518227110601</v>
      </c>
      <c r="BT36" s="605">
        <v>109.97</v>
      </c>
      <c r="BU36" s="605">
        <v>110.25</v>
      </c>
      <c r="BV36" s="605">
        <v>136.57194002811701</v>
      </c>
      <c r="BW36" s="605">
        <v>134.04194909319</v>
      </c>
    </row>
    <row r="37" spans="1:75" s="174" customFormat="1" ht="10.7" customHeight="1">
      <c r="A37" s="559" t="s">
        <v>567</v>
      </c>
      <c r="B37" s="606">
        <v>70.199808625089304</v>
      </c>
      <c r="C37" s="606">
        <v>70.443748266666702</v>
      </c>
      <c r="D37" s="606">
        <v>110.490555555556</v>
      </c>
      <c r="E37" s="606">
        <v>110.5</v>
      </c>
      <c r="F37" s="606">
        <v>293.13609025553899</v>
      </c>
      <c r="G37" s="606">
        <v>292.948038176034</v>
      </c>
      <c r="H37" s="606">
        <v>80.679638351776902</v>
      </c>
      <c r="I37" s="606">
        <v>79.921886301171696</v>
      </c>
      <c r="J37" s="606">
        <v>15.390935671938401</v>
      </c>
      <c r="K37" s="606">
        <v>15.394474707086999</v>
      </c>
      <c r="L37" s="606">
        <v>15.6437819083731</v>
      </c>
      <c r="M37" s="606">
        <v>15.7135442218951</v>
      </c>
      <c r="N37" s="606">
        <v>116.696525656121</v>
      </c>
      <c r="O37" s="606">
        <v>117.295745836081</v>
      </c>
      <c r="P37" s="559" t="s">
        <v>567</v>
      </c>
      <c r="Q37" s="363">
        <v>14.1194160454168</v>
      </c>
      <c r="R37" s="363">
        <v>14.1290796918454</v>
      </c>
      <c r="S37" s="363">
        <v>1.3281115265235</v>
      </c>
      <c r="T37" s="363">
        <v>1.32724761275599</v>
      </c>
      <c r="U37" s="363">
        <v>7.0156417419649604E-3</v>
      </c>
      <c r="V37" s="363">
        <v>6.9496855345911896E-3</v>
      </c>
      <c r="W37" s="363">
        <v>2.63057093162444E-3</v>
      </c>
      <c r="X37" s="363">
        <v>2.6307957859651198E-3</v>
      </c>
      <c r="Y37" s="363">
        <v>0.73903818483115702</v>
      </c>
      <c r="Z37" s="363">
        <v>0.74103879556047303</v>
      </c>
      <c r="AA37" s="363">
        <v>357.26851195467202</v>
      </c>
      <c r="AB37" s="363">
        <v>357.200581865201</v>
      </c>
      <c r="AC37" s="363">
        <v>23.289732998152299</v>
      </c>
      <c r="AD37" s="363">
        <v>23.185060847671</v>
      </c>
      <c r="AE37" s="559" t="s">
        <v>567</v>
      </c>
      <c r="AF37" s="363">
        <v>5.2614550264550301E-2</v>
      </c>
      <c r="AG37" s="363">
        <v>5.26190476190476E-2</v>
      </c>
      <c r="AH37" s="363">
        <v>0.91507869148770504</v>
      </c>
      <c r="AI37" s="363">
        <v>0.91418794876907306</v>
      </c>
      <c r="AJ37" s="363">
        <v>65.2624648980606</v>
      </c>
      <c r="AK37" s="363">
        <v>64.565142435392801</v>
      </c>
      <c r="AL37" s="363">
        <v>10.0629286985248</v>
      </c>
      <c r="AM37" s="363">
        <v>9.9130700015250905</v>
      </c>
      <c r="AN37" s="363">
        <v>286.99397919968197</v>
      </c>
      <c r="AO37" s="363">
        <v>287.01298701298703</v>
      </c>
      <c r="AP37" s="363">
        <v>0.39422100046506198</v>
      </c>
      <c r="AQ37" s="363">
        <v>0.39295874822190602</v>
      </c>
      <c r="AR37" s="363">
        <v>1.94495351620669</v>
      </c>
      <c r="AS37" s="363">
        <v>1.94439556572233</v>
      </c>
      <c r="AT37" s="559" t="s">
        <v>567</v>
      </c>
      <c r="AU37" s="558">
        <v>30.2947389724517</v>
      </c>
      <c r="AV37" s="363">
        <v>30.232558139534898</v>
      </c>
      <c r="AW37" s="363">
        <v>1.13461916445038</v>
      </c>
      <c r="AX37" s="363">
        <v>1.18731028554544</v>
      </c>
      <c r="AY37" s="363">
        <v>29.456147773121799</v>
      </c>
      <c r="AZ37" s="363">
        <v>29.453314497427801</v>
      </c>
      <c r="BA37" s="363">
        <v>8.1736701902408504E-2</v>
      </c>
      <c r="BB37" s="363">
        <v>8.1803981373862703E-2</v>
      </c>
      <c r="BC37" s="363">
        <v>80.718127235054396</v>
      </c>
      <c r="BD37" s="363">
        <v>80.990948070509802</v>
      </c>
      <c r="BE37" s="363">
        <v>10.026223735116099</v>
      </c>
      <c r="BF37" s="363">
        <v>9.8899131835675291</v>
      </c>
      <c r="BG37" s="363">
        <v>0.34025245326683101</v>
      </c>
      <c r="BH37" s="363">
        <v>0.33753340969835799</v>
      </c>
      <c r="BI37" s="559" t="s">
        <v>567</v>
      </c>
      <c r="BJ37" s="606">
        <v>122.219407866574</v>
      </c>
      <c r="BK37" s="606">
        <v>122.505543237251</v>
      </c>
      <c r="BL37" s="606">
        <v>8.4982929320121196E-3</v>
      </c>
      <c r="BM37" s="606">
        <v>8.4990193439218598E-3</v>
      </c>
      <c r="BN37" s="606">
        <v>144.920105437524</v>
      </c>
      <c r="BO37" s="606">
        <v>144.93704092339999</v>
      </c>
      <c r="BP37" s="606">
        <v>3.02637679664325</v>
      </c>
      <c r="BQ37" s="606">
        <v>3.0622142164334201</v>
      </c>
      <c r="BR37" s="606">
        <v>30.0819042722358</v>
      </c>
      <c r="BS37" s="606">
        <v>30.0843996732916</v>
      </c>
      <c r="BT37" s="606">
        <v>110.490555555556</v>
      </c>
      <c r="BU37" s="606">
        <v>110.5</v>
      </c>
      <c r="BV37" s="606">
        <v>134.516811689066</v>
      </c>
      <c r="BW37" s="606">
        <v>134.46744909195499</v>
      </c>
    </row>
    <row r="38" spans="1:75" s="174" customFormat="1" ht="10.7" customHeight="1">
      <c r="A38" s="562" t="s">
        <v>568</v>
      </c>
      <c r="B38" s="605">
        <v>71.969735583881501</v>
      </c>
      <c r="C38" s="605">
        <v>73.128898330311301</v>
      </c>
      <c r="D38" s="605">
        <v>110.880769230769</v>
      </c>
      <c r="E38" s="605">
        <v>110.5</v>
      </c>
      <c r="F38" s="605">
        <v>294.25151545893999</v>
      </c>
      <c r="G38" s="605">
        <v>293.414763674987</v>
      </c>
      <c r="H38" s="605">
        <v>80.820752580072096</v>
      </c>
      <c r="I38" s="605">
        <v>81.312778247911993</v>
      </c>
      <c r="J38" s="605">
        <v>15.495770767620201</v>
      </c>
      <c r="K38" s="605">
        <v>15.5594356360359</v>
      </c>
      <c r="L38" s="605">
        <v>16.1125345459008</v>
      </c>
      <c r="M38" s="605">
        <v>16.257650659133699</v>
      </c>
      <c r="N38" s="605">
        <v>119.791771191755</v>
      </c>
      <c r="O38" s="605">
        <v>121.21849597083001</v>
      </c>
      <c r="P38" s="562" t="s">
        <v>568</v>
      </c>
      <c r="Q38" s="377">
        <v>14.2024944501063</v>
      </c>
      <c r="R38" s="377">
        <v>14.158770429311801</v>
      </c>
      <c r="S38" s="377">
        <v>1.3317689313454899</v>
      </c>
      <c r="T38" s="377">
        <v>1.3256235229194899</v>
      </c>
      <c r="U38" s="377">
        <v>7.1035915936571801E-3</v>
      </c>
      <c r="V38" s="377">
        <v>7.1354772052176201E-3</v>
      </c>
      <c r="W38" s="377">
        <v>2.6398611804242401E-3</v>
      </c>
      <c r="X38" s="377">
        <v>2.6307957859651198E-3</v>
      </c>
      <c r="Y38" s="377">
        <v>0.73923772422914602</v>
      </c>
      <c r="Z38" s="377">
        <v>0.75044993038812902</v>
      </c>
      <c r="AA38" s="377">
        <v>359.34100715323399</v>
      </c>
      <c r="AB38" s="377">
        <v>358.35900762121003</v>
      </c>
      <c r="AC38" s="377">
        <v>23.6355402767526</v>
      </c>
      <c r="AD38" s="377">
        <v>23.748119492800299</v>
      </c>
      <c r="AE38" s="562" t="s">
        <v>568</v>
      </c>
      <c r="AF38" s="377">
        <v>5.2800366300366303E-2</v>
      </c>
      <c r="AG38" s="377">
        <v>5.26190476190476E-2</v>
      </c>
      <c r="AH38" s="377">
        <v>0.92579886443692905</v>
      </c>
      <c r="AI38" s="377">
        <v>0.93037432200549997</v>
      </c>
      <c r="AJ38" s="377">
        <v>66.363603252281806</v>
      </c>
      <c r="AK38" s="377">
        <v>68.034833847653104</v>
      </c>
      <c r="AL38" s="377">
        <v>10.157426814439001</v>
      </c>
      <c r="AM38" s="377">
        <v>10.365853658536601</v>
      </c>
      <c r="AN38" s="377">
        <v>289.30058462551801</v>
      </c>
      <c r="AO38" s="377">
        <v>287.01298701298703</v>
      </c>
      <c r="AP38" s="377">
        <v>0.38863888963080301</v>
      </c>
      <c r="AQ38" s="377">
        <v>0.38636363636363602</v>
      </c>
      <c r="AR38" s="377">
        <v>1.98555644601988</v>
      </c>
      <c r="AS38" s="377">
        <v>1.99260661797854</v>
      </c>
      <c r="AT38" s="562" t="s">
        <v>568</v>
      </c>
      <c r="AU38" s="447">
        <v>30.415406497988101</v>
      </c>
      <c r="AV38" s="377">
        <v>30.305107987658499</v>
      </c>
      <c r="AW38" s="377">
        <v>1.2238661051213999</v>
      </c>
      <c r="AX38" s="377">
        <v>1.24577226606539</v>
      </c>
      <c r="AY38" s="377">
        <v>29.5616091460282</v>
      </c>
      <c r="AZ38" s="377">
        <v>29.456455095566898</v>
      </c>
      <c r="BA38" s="377">
        <v>8.48003156244896E-2</v>
      </c>
      <c r="BB38" s="377">
        <v>8.57177210722085E-2</v>
      </c>
      <c r="BC38" s="377">
        <v>82.161208423295605</v>
      </c>
      <c r="BD38" s="377">
        <v>82.892614680619602</v>
      </c>
      <c r="BE38" s="377">
        <v>10.3744609070992</v>
      </c>
      <c r="BF38" s="377">
        <v>10.6764832340565</v>
      </c>
      <c r="BG38" s="377">
        <v>0.33784443718933099</v>
      </c>
      <c r="BH38" s="377">
        <v>0.33779136415743199</v>
      </c>
      <c r="BI38" s="562" t="s">
        <v>568</v>
      </c>
      <c r="BJ38" s="605">
        <v>124.276114849991</v>
      </c>
      <c r="BK38" s="605">
        <v>126.43743921277</v>
      </c>
      <c r="BL38" s="605">
        <v>8.5283059055316097E-3</v>
      </c>
      <c r="BM38" s="605">
        <v>8.4990193439218598E-3</v>
      </c>
      <c r="BN38" s="605">
        <v>146.70611318316699</v>
      </c>
      <c r="BO38" s="605">
        <v>147.687784014969</v>
      </c>
      <c r="BP38" s="605">
        <v>3.1266961951249899</v>
      </c>
      <c r="BQ38" s="605">
        <v>3.1657355679701999</v>
      </c>
      <c r="BR38" s="605">
        <v>30.188824469109999</v>
      </c>
      <c r="BS38" s="605">
        <v>30.088495575221199</v>
      </c>
      <c r="BT38" s="605">
        <v>110.880769230769</v>
      </c>
      <c r="BU38" s="605">
        <v>110.5</v>
      </c>
      <c r="BV38" s="605">
        <v>137.605116892034</v>
      </c>
      <c r="BW38" s="605">
        <v>140.27974912957899</v>
      </c>
    </row>
    <row r="39" spans="1:75" s="174" customFormat="1" ht="10.7" customHeight="1">
      <c r="A39" s="559" t="s">
        <v>561</v>
      </c>
      <c r="B39" s="606">
        <v>73.669329711932093</v>
      </c>
      <c r="C39" s="606">
        <v>74.9209983849655</v>
      </c>
      <c r="D39" s="606">
        <v>110.153846153846</v>
      </c>
      <c r="E39" s="606">
        <v>110</v>
      </c>
      <c r="F39" s="606">
        <v>292.25251040499597</v>
      </c>
      <c r="G39" s="606">
        <v>291.77718832891202</v>
      </c>
      <c r="H39" s="606">
        <v>82.029237994758802</v>
      </c>
      <c r="I39" s="606">
        <v>83.034534817890105</v>
      </c>
      <c r="J39" s="606">
        <v>15.5059985610428</v>
      </c>
      <c r="K39" s="606">
        <v>15.530800400977</v>
      </c>
      <c r="L39" s="606">
        <v>16.1182105758825</v>
      </c>
      <c r="M39" s="606">
        <v>16.284957140953701</v>
      </c>
      <c r="N39" s="606">
        <v>120.893070953625</v>
      </c>
      <c r="O39" s="606">
        <v>121.406999003352</v>
      </c>
      <c r="P39" s="559" t="s">
        <v>561</v>
      </c>
      <c r="Q39" s="363">
        <v>14.1061323276457</v>
      </c>
      <c r="R39" s="363">
        <v>14.0869420450398</v>
      </c>
      <c r="S39" s="363">
        <v>1.3230147700311501</v>
      </c>
      <c r="T39" s="363">
        <v>1.3218373539219499</v>
      </c>
      <c r="U39" s="363">
        <v>7.10548603051231E-3</v>
      </c>
      <c r="V39" s="363">
        <v>7.1442488796518797E-3</v>
      </c>
      <c r="W39" s="363">
        <v>2.6225545182750102E-3</v>
      </c>
      <c r="X39" s="363">
        <v>2.61889173263496E-3</v>
      </c>
      <c r="Y39" s="363">
        <v>0.763966487256313</v>
      </c>
      <c r="Z39" s="363">
        <v>0.77978236982951099</v>
      </c>
      <c r="AA39" s="363">
        <v>357.739013383204</v>
      </c>
      <c r="AB39" s="363">
        <v>358.01464605370199</v>
      </c>
      <c r="AC39" s="363">
        <v>23.651966714633598</v>
      </c>
      <c r="AD39" s="363">
        <v>23.939064200217601</v>
      </c>
      <c r="AE39" s="559" t="s">
        <v>561</v>
      </c>
      <c r="AF39" s="363">
        <v>5.2454212454212501E-2</v>
      </c>
      <c r="AG39" s="363">
        <v>5.2380952380952403E-2</v>
      </c>
      <c r="AH39" s="363">
        <v>0.94961348344409102</v>
      </c>
      <c r="AI39" s="363">
        <v>0.93185986521917796</v>
      </c>
      <c r="AJ39" s="363">
        <v>68.469714733838202</v>
      </c>
      <c r="AK39" s="363">
        <v>69.574993043478301</v>
      </c>
      <c r="AL39" s="363">
        <v>10.447952601299299</v>
      </c>
      <c r="AM39" s="363">
        <v>10.827837385569399</v>
      </c>
      <c r="AN39" s="363">
        <v>286.112459897137</v>
      </c>
      <c r="AO39" s="363">
        <v>285.71428571428601</v>
      </c>
      <c r="AP39" s="363">
        <v>0.389814944954257</v>
      </c>
      <c r="AQ39" s="363">
        <v>0.39128501556247203</v>
      </c>
      <c r="AR39" s="363">
        <v>1.98290389160712</v>
      </c>
      <c r="AS39" s="363">
        <v>1.9856312502256399</v>
      </c>
      <c r="AT39" s="559" t="s">
        <v>561</v>
      </c>
      <c r="AU39" s="558">
        <v>29.068268218706901</v>
      </c>
      <c r="AV39" s="363">
        <v>30.174187354272402</v>
      </c>
      <c r="AW39" s="363">
        <v>1.21025444164514</v>
      </c>
      <c r="AX39" s="363">
        <v>1.20054570259209</v>
      </c>
      <c r="AY39" s="363">
        <v>29.368091978718201</v>
      </c>
      <c r="AZ39" s="363">
        <v>29.330986854384999</v>
      </c>
      <c r="BA39" s="363">
        <v>8.4490137903987197E-2</v>
      </c>
      <c r="BB39" s="363">
        <v>8.4938477516398894E-2</v>
      </c>
      <c r="BC39" s="363">
        <v>82.668899312645905</v>
      </c>
      <c r="BD39" s="363">
        <v>83.361752112462597</v>
      </c>
      <c r="BE39" s="363">
        <v>10.7490639219209</v>
      </c>
      <c r="BF39" s="363">
        <v>10.925162635943799</v>
      </c>
      <c r="BG39" s="363">
        <v>0.33766036296156599</v>
      </c>
      <c r="BH39" s="363">
        <v>0.33961099104661902</v>
      </c>
      <c r="BI39" s="559" t="s">
        <v>561</v>
      </c>
      <c r="BJ39" s="606">
        <v>127.24629407564601</v>
      </c>
      <c r="BK39" s="606">
        <v>130.68789354877001</v>
      </c>
      <c r="BL39" s="606">
        <v>8.4723951970038999E-3</v>
      </c>
      <c r="BM39" s="606">
        <v>8.4605622428181402E-3</v>
      </c>
      <c r="BN39" s="606">
        <v>147.04443119274799</v>
      </c>
      <c r="BO39" s="606">
        <v>147.59157386287399</v>
      </c>
      <c r="BP39" s="606">
        <v>3.1507147104297402</v>
      </c>
      <c r="BQ39" s="606">
        <v>3.2</v>
      </c>
      <c r="BR39" s="606">
        <v>29.9936444953074</v>
      </c>
      <c r="BS39" s="606">
        <v>29.949901982139</v>
      </c>
      <c r="BT39" s="606">
        <v>110.153846153846</v>
      </c>
      <c r="BU39" s="606">
        <v>110</v>
      </c>
      <c r="BV39" s="606">
        <v>139.41041201348</v>
      </c>
      <c r="BW39" s="606">
        <v>140.040996543869</v>
      </c>
    </row>
    <row r="40" spans="1:75" s="174" customFormat="1" ht="10.7" customHeight="1">
      <c r="A40" s="562" t="s">
        <v>569</v>
      </c>
      <c r="B40" s="605">
        <v>73.201941271744403</v>
      </c>
      <c r="C40" s="605">
        <v>72.621998333838206</v>
      </c>
      <c r="D40" s="605">
        <v>110</v>
      </c>
      <c r="E40" s="605">
        <v>110</v>
      </c>
      <c r="F40" s="605">
        <v>291.90884707515102</v>
      </c>
      <c r="G40" s="605">
        <v>291.73849622066001</v>
      </c>
      <c r="H40" s="605">
        <v>82.035205800392802</v>
      </c>
      <c r="I40" s="605">
        <v>82.1018062397373</v>
      </c>
      <c r="J40" s="605">
        <v>15.481563665870899</v>
      </c>
      <c r="K40" s="605">
        <v>15.484452202311401</v>
      </c>
      <c r="L40" s="605">
        <v>16.1032848792218</v>
      </c>
      <c r="M40" s="605">
        <v>16.004190187976501</v>
      </c>
      <c r="N40" s="605">
        <v>120.081700902653</v>
      </c>
      <c r="O40" s="605">
        <v>119.26199594170799</v>
      </c>
      <c r="P40" s="562" t="s">
        <v>569</v>
      </c>
      <c r="Q40" s="377">
        <v>14.0735818039535</v>
      </c>
      <c r="R40" s="377">
        <v>14.070094653364</v>
      </c>
      <c r="S40" s="377">
        <v>1.3234083722197501</v>
      </c>
      <c r="T40" s="377">
        <v>1.3233082706766901</v>
      </c>
      <c r="U40" s="377">
        <v>7.0434234470618503E-3</v>
      </c>
      <c r="V40" s="377">
        <v>6.9701866109051699E-3</v>
      </c>
      <c r="W40" s="377">
        <v>2.61889173263496E-3</v>
      </c>
      <c r="X40" s="377">
        <v>2.61889173263496E-3</v>
      </c>
      <c r="Y40" s="377">
        <v>0.75456548455304095</v>
      </c>
      <c r="Z40" s="377">
        <v>0.74523220758104403</v>
      </c>
      <c r="AA40" s="377">
        <v>357.64190381287199</v>
      </c>
      <c r="AB40" s="377">
        <v>357.49106272343198</v>
      </c>
      <c r="AC40" s="377">
        <v>23.500639657379999</v>
      </c>
      <c r="AD40" s="377">
        <v>23.253355882042101</v>
      </c>
      <c r="AE40" s="562" t="s">
        <v>569</v>
      </c>
      <c r="AF40" s="377">
        <v>5.2380952380952403E-2</v>
      </c>
      <c r="AG40" s="377">
        <v>5.2380952380952403E-2</v>
      </c>
      <c r="AH40" s="377">
        <v>0.92650721427360005</v>
      </c>
      <c r="AI40" s="377">
        <v>0.92317814988384705</v>
      </c>
      <c r="AJ40" s="377">
        <v>68.026439411837998</v>
      </c>
      <c r="AK40" s="377">
        <v>67.501499551861798</v>
      </c>
      <c r="AL40" s="377">
        <v>10.586328229432601</v>
      </c>
      <c r="AM40" s="377">
        <v>10.5355911424412</v>
      </c>
      <c r="AN40" s="377">
        <v>285.71703464546698</v>
      </c>
      <c r="AO40" s="377">
        <v>285.71428571428601</v>
      </c>
      <c r="AP40" s="377">
        <v>0.39426837700487</v>
      </c>
      <c r="AQ40" s="377">
        <v>0.392646796359093</v>
      </c>
      <c r="AR40" s="377">
        <v>1.96460976267961</v>
      </c>
      <c r="AS40" s="377">
        <v>1.9514791324788201</v>
      </c>
      <c r="AT40" s="562" t="s">
        <v>569</v>
      </c>
      <c r="AU40" s="447">
        <v>30.176519151836601</v>
      </c>
      <c r="AV40" s="377">
        <v>30.174187354272402</v>
      </c>
      <c r="AW40" s="377">
        <v>1.23070916502301</v>
      </c>
      <c r="AX40" s="377">
        <v>1.2273361227336099</v>
      </c>
      <c r="AY40" s="377">
        <v>29.330900026537599</v>
      </c>
      <c r="AZ40" s="377">
        <v>29.332551131969801</v>
      </c>
      <c r="BA40" s="377">
        <v>8.3038461140294506E-2</v>
      </c>
      <c r="BB40" s="377">
        <v>8.2405645535861397E-2</v>
      </c>
      <c r="BC40" s="377">
        <v>82.415435288763305</v>
      </c>
      <c r="BD40" s="377">
        <v>82.138590203106304</v>
      </c>
      <c r="BE40" s="377">
        <v>10.3139126376036</v>
      </c>
      <c r="BF40" s="377">
        <v>10.546702717214099</v>
      </c>
      <c r="BG40" s="377">
        <v>0.34304125146193498</v>
      </c>
      <c r="BH40" s="377">
        <v>0.347991142043657</v>
      </c>
      <c r="BI40" s="562" t="s">
        <v>569</v>
      </c>
      <c r="BJ40" s="605">
        <v>128.373092194023</v>
      </c>
      <c r="BK40" s="605">
        <v>127.639823624971</v>
      </c>
      <c r="BL40" s="605">
        <v>8.4605622428181402E-3</v>
      </c>
      <c r="BM40" s="605">
        <v>8.4605622428181402E-3</v>
      </c>
      <c r="BN40" s="605">
        <v>146.77265166448899</v>
      </c>
      <c r="BO40" s="605">
        <v>146.31550944400101</v>
      </c>
      <c r="BP40" s="605">
        <v>3.12617239498883</v>
      </c>
      <c r="BQ40" s="605">
        <v>3.1003382187147701</v>
      </c>
      <c r="BR40" s="605">
        <v>29.949222478912802</v>
      </c>
      <c r="BS40" s="605">
        <v>29.9486788548714</v>
      </c>
      <c r="BT40" s="605">
        <v>110</v>
      </c>
      <c r="BU40" s="605">
        <v>110</v>
      </c>
      <c r="BV40" s="605">
        <v>139.74603193967201</v>
      </c>
      <c r="BW40" s="605">
        <v>139.68899653515999</v>
      </c>
    </row>
    <row r="41" spans="1:75" s="174" customFormat="1" ht="10.7" customHeight="1">
      <c r="A41" s="559" t="s">
        <v>570</v>
      </c>
      <c r="B41" s="606">
        <v>71.819435789262897</v>
      </c>
      <c r="C41" s="606">
        <v>71.472496190842605</v>
      </c>
      <c r="D41" s="1532">
        <v>110</v>
      </c>
      <c r="E41" s="1532">
        <v>110</v>
      </c>
      <c r="F41" s="1532">
        <v>291.805061022904</v>
      </c>
      <c r="G41" s="1532">
        <v>292.0095566764</v>
      </c>
      <c r="H41" s="1532">
        <v>81.522632262082595</v>
      </c>
      <c r="I41" s="1532">
        <v>81.013404035940496</v>
      </c>
      <c r="J41" s="1532">
        <v>15.4826400205343</v>
      </c>
      <c r="K41" s="1532">
        <v>15.4851061433639</v>
      </c>
      <c r="L41" s="1532">
        <v>15.919150758188101</v>
      </c>
      <c r="M41" s="1532">
        <v>15.994416494605501</v>
      </c>
      <c r="N41" s="1532">
        <v>118.67195622897501</v>
      </c>
      <c r="O41" s="1532">
        <v>119.21799594021</v>
      </c>
      <c r="P41" s="559" t="s">
        <v>570</v>
      </c>
      <c r="Q41" s="1533">
        <v>14.064868174446699</v>
      </c>
      <c r="R41" s="1532">
        <v>14.0520308378204</v>
      </c>
      <c r="S41" s="1532">
        <v>1.32531106016811</v>
      </c>
      <c r="T41" s="1532">
        <v>1.32649984926138</v>
      </c>
      <c r="U41" s="1532">
        <v>7.0282517317565296E-3</v>
      </c>
      <c r="V41" s="1532">
        <v>6.9967878383105902E-3</v>
      </c>
      <c r="W41" s="1532">
        <v>2.61889173263496E-3</v>
      </c>
      <c r="X41" s="1532">
        <v>2.61889173263496E-3</v>
      </c>
      <c r="Y41" s="1532">
        <v>0.73609665693406701</v>
      </c>
      <c r="Z41" s="1532">
        <v>0.72999966818196904</v>
      </c>
      <c r="AA41" s="1532">
        <v>357.31007566419203</v>
      </c>
      <c r="AB41" s="1532">
        <v>357.66542025686903</v>
      </c>
      <c r="AC41" s="1532">
        <v>23.067222318708499</v>
      </c>
      <c r="AD41" s="1532">
        <v>23.094688221708999</v>
      </c>
      <c r="AE41" s="559" t="s">
        <v>570</v>
      </c>
      <c r="AF41" s="1532">
        <v>5.2380952380952403E-2</v>
      </c>
      <c r="AG41" s="1533">
        <v>5.2380952380952403E-2</v>
      </c>
      <c r="AH41" s="1532">
        <v>0.92159709995898698</v>
      </c>
      <c r="AI41" s="1532">
        <v>0.92269184441066798</v>
      </c>
      <c r="AJ41" s="1532">
        <v>67.405794071185895</v>
      </c>
      <c r="AK41" s="1532">
        <v>67.099983770491804</v>
      </c>
      <c r="AL41" s="1532">
        <v>10.4290547555026</v>
      </c>
      <c r="AM41" s="1532">
        <v>10.3877462368028</v>
      </c>
      <c r="AN41" s="1532">
        <v>285.71577013712403</v>
      </c>
      <c r="AO41" s="1532">
        <v>285.71428571428601</v>
      </c>
      <c r="AP41" s="1532">
        <v>0.39429818690346602</v>
      </c>
      <c r="AQ41" s="1532">
        <v>0.39632498648892101</v>
      </c>
      <c r="AR41" s="1532">
        <v>1.96275644007801</v>
      </c>
      <c r="AS41" s="1532">
        <v>1.9591255176098701</v>
      </c>
      <c r="AT41" s="559" t="s">
        <v>570</v>
      </c>
      <c r="AU41" s="1533">
        <v>30.165847029397401</v>
      </c>
      <c r="AV41" s="1532">
        <v>30.165912518853698</v>
      </c>
      <c r="AW41" s="1532">
        <v>1.20099800414967</v>
      </c>
      <c r="AX41" s="1532">
        <v>1.2015292190060101</v>
      </c>
      <c r="AY41" s="1532">
        <v>29.3309087274665</v>
      </c>
      <c r="AZ41" s="1532">
        <v>29.330595811057599</v>
      </c>
      <c r="BA41" s="1532">
        <v>8.2568912815669804E-2</v>
      </c>
      <c r="BB41" s="1532">
        <v>8.2452898781570999E-2</v>
      </c>
      <c r="BC41" s="1532">
        <v>81.800978312764997</v>
      </c>
      <c r="BD41" s="1532">
        <v>81.717554416462406</v>
      </c>
      <c r="BE41" s="1532">
        <v>10.547161415703799</v>
      </c>
      <c r="BF41" s="1533">
        <v>10.6509162208613</v>
      </c>
      <c r="BG41" s="1532">
        <v>0.35247039051290802</v>
      </c>
      <c r="BH41" s="1532">
        <v>0.35492457852706299</v>
      </c>
      <c r="BI41" s="559" t="s">
        <v>570</v>
      </c>
      <c r="BJ41" s="1532">
        <v>125.52759064797</v>
      </c>
      <c r="BK41" s="1532">
        <v>125.170687300865</v>
      </c>
      <c r="BL41" s="1532">
        <v>8.4605622428181402E-3</v>
      </c>
      <c r="BM41" s="1532">
        <v>8.4605622428181402E-3</v>
      </c>
      <c r="BN41" s="1532">
        <v>145.90463610482999</v>
      </c>
      <c r="BO41" s="1532">
        <v>145.907945350842</v>
      </c>
      <c r="BP41" s="1532">
        <v>3.0670933551174802</v>
      </c>
      <c r="BQ41" s="1532">
        <v>3.0632135895293802</v>
      </c>
      <c r="BR41" s="1532">
        <v>29.948695180994601</v>
      </c>
      <c r="BS41" s="1532">
        <v>29.949086552860098</v>
      </c>
      <c r="BT41" s="1532">
        <v>110</v>
      </c>
      <c r="BU41" s="1532">
        <v>110</v>
      </c>
      <c r="BV41" s="1532">
        <v>138.93021498817501</v>
      </c>
      <c r="BW41" s="1532">
        <v>139.29299652531</v>
      </c>
    </row>
    <row r="42" spans="1:75" s="174" customFormat="1" ht="10.7" customHeight="1">
      <c r="A42" s="562" t="s">
        <v>562</v>
      </c>
      <c r="B42" s="605">
        <v>72.14</v>
      </c>
      <c r="C42" s="605">
        <v>71.739999999999995</v>
      </c>
      <c r="D42" s="605">
        <v>110</v>
      </c>
      <c r="E42" s="605">
        <v>110</v>
      </c>
      <c r="F42" s="605">
        <v>291.95999999999998</v>
      </c>
      <c r="G42" s="605">
        <v>292.01</v>
      </c>
      <c r="H42" s="605">
        <v>81.260000000000005</v>
      </c>
      <c r="I42" s="605">
        <v>81.239999999999995</v>
      </c>
      <c r="J42" s="605">
        <v>15.5</v>
      </c>
      <c r="K42" s="605">
        <v>15.5</v>
      </c>
      <c r="L42" s="605">
        <v>15.05</v>
      </c>
      <c r="M42" s="605">
        <v>15.92</v>
      </c>
      <c r="N42" s="605">
        <v>119.63</v>
      </c>
      <c r="O42" s="605">
        <v>118.74</v>
      </c>
      <c r="P42" s="562" t="s">
        <v>562</v>
      </c>
      <c r="Q42" s="377">
        <v>14.06</v>
      </c>
      <c r="R42" s="377">
        <v>14.06</v>
      </c>
      <c r="S42" s="377">
        <v>1.32</v>
      </c>
      <c r="T42" s="377">
        <v>1.32</v>
      </c>
      <c r="U42" s="377">
        <v>0.01</v>
      </c>
      <c r="V42" s="377">
        <v>0.01</v>
      </c>
      <c r="W42" s="377">
        <v>0</v>
      </c>
      <c r="X42" s="377">
        <v>0</v>
      </c>
      <c r="Y42" s="377">
        <v>0.73</v>
      </c>
      <c r="Z42" s="377">
        <v>0.73</v>
      </c>
      <c r="AA42" s="377">
        <v>357.76</v>
      </c>
      <c r="AB42" s="377">
        <v>357.55</v>
      </c>
      <c r="AC42" s="377">
        <v>23.33</v>
      </c>
      <c r="AD42" s="377">
        <v>23.28</v>
      </c>
      <c r="AE42" s="562" t="s">
        <v>562</v>
      </c>
      <c r="AF42" s="377">
        <v>0.05</v>
      </c>
      <c r="AG42" s="377">
        <v>0.05</v>
      </c>
      <c r="AH42" s="377">
        <v>0.92</v>
      </c>
      <c r="AI42" s="377">
        <v>0.92</v>
      </c>
      <c r="AJ42" s="377">
        <v>66.959999999999994</v>
      </c>
      <c r="AK42" s="377">
        <v>65.77</v>
      </c>
      <c r="AL42" s="377">
        <v>10.38</v>
      </c>
      <c r="AM42" s="377">
        <v>10.17</v>
      </c>
      <c r="AN42" s="377">
        <v>285.70999999999998</v>
      </c>
      <c r="AO42" s="377">
        <v>285.75</v>
      </c>
      <c r="AP42" s="377">
        <v>0.39</v>
      </c>
      <c r="AQ42" s="377">
        <v>0.4</v>
      </c>
      <c r="AR42" s="377">
        <v>1.97</v>
      </c>
      <c r="AS42" s="377">
        <v>1.96</v>
      </c>
      <c r="AT42" s="562" t="s">
        <v>562</v>
      </c>
      <c r="AU42" s="447">
        <v>30.15</v>
      </c>
      <c r="AV42" s="377">
        <v>30.17</v>
      </c>
      <c r="AW42" s="377">
        <v>1.2</v>
      </c>
      <c r="AX42" s="377">
        <v>1.19</v>
      </c>
      <c r="AY42" s="377">
        <v>29.33</v>
      </c>
      <c r="AZ42" s="377">
        <v>29.33</v>
      </c>
      <c r="BA42" s="377">
        <v>0.08</v>
      </c>
      <c r="BB42" s="377">
        <v>0.08</v>
      </c>
      <c r="BC42" s="377">
        <v>82.06</v>
      </c>
      <c r="BD42" s="377">
        <v>81.510000000000005</v>
      </c>
      <c r="BE42" s="377">
        <v>10.59</v>
      </c>
      <c r="BF42" s="377">
        <v>10.33</v>
      </c>
      <c r="BG42" s="377">
        <v>0.36</v>
      </c>
      <c r="BH42" s="377">
        <v>0.37</v>
      </c>
      <c r="BI42" s="562" t="s">
        <v>562</v>
      </c>
      <c r="BJ42" s="605">
        <v>124.01</v>
      </c>
      <c r="BK42" s="605">
        <v>121.98</v>
      </c>
      <c r="BL42" s="605">
        <v>0.01</v>
      </c>
      <c r="BM42" s="605">
        <v>0.01</v>
      </c>
      <c r="BN42" s="605">
        <v>146.22999999999999</v>
      </c>
      <c r="BO42" s="605">
        <v>145.66</v>
      </c>
      <c r="BP42" s="605">
        <v>3.06</v>
      </c>
      <c r="BQ42" s="605">
        <v>3.02</v>
      </c>
      <c r="BR42" s="605">
        <v>29.95</v>
      </c>
      <c r="BS42" s="605">
        <v>29.95</v>
      </c>
      <c r="BT42" s="605">
        <v>110</v>
      </c>
      <c r="BU42" s="605">
        <v>110</v>
      </c>
      <c r="BV42" s="605">
        <v>139.88999999999999</v>
      </c>
      <c r="BW42" s="605">
        <v>138.87</v>
      </c>
    </row>
    <row r="43" spans="1:75" s="174" customFormat="1" ht="10.7" customHeight="1">
      <c r="A43" s="559" t="s">
        <v>571</v>
      </c>
      <c r="B43" s="606">
        <v>71.67</v>
      </c>
      <c r="C43" s="606">
        <v>72.23</v>
      </c>
      <c r="D43" s="1532">
        <v>110</v>
      </c>
      <c r="E43" s="1532">
        <v>110</v>
      </c>
      <c r="F43" s="1532">
        <v>291.79000000000002</v>
      </c>
      <c r="G43" s="1532">
        <v>291.74</v>
      </c>
      <c r="H43" s="1532">
        <v>80.58</v>
      </c>
      <c r="I43" s="1532">
        <v>80.52</v>
      </c>
      <c r="J43" s="1532">
        <v>15.4930738463741</v>
      </c>
      <c r="K43" s="1532">
        <v>15.479222661582</v>
      </c>
      <c r="L43" s="1532">
        <v>15.8440591887222</v>
      </c>
      <c r="M43" s="1532">
        <v>15.812094815070401</v>
      </c>
      <c r="N43" s="1532">
        <v>118.18695907096</v>
      </c>
      <c r="O43" s="1532">
        <v>117.930995895905</v>
      </c>
      <c r="P43" s="559" t="s">
        <v>571</v>
      </c>
      <c r="Q43" s="1533">
        <v>14.0475533435771</v>
      </c>
      <c r="R43" s="1532">
        <v>14.0571486990748</v>
      </c>
      <c r="S43" s="1532">
        <v>1.3187256809330901</v>
      </c>
      <c r="T43" s="1532">
        <v>1.3185495954450099</v>
      </c>
      <c r="U43" s="1532">
        <v>6.8569747403487997E-3</v>
      </c>
      <c r="V43" s="1532">
        <v>6.7598709479182702E-3</v>
      </c>
      <c r="W43" s="1532">
        <v>2.6187719697134898E-3</v>
      </c>
      <c r="X43" s="1532">
        <v>2.61889173263496E-3</v>
      </c>
      <c r="Y43" s="1532">
        <v>0.71619407468606</v>
      </c>
      <c r="Z43" s="1532">
        <v>0.70361723222566896</v>
      </c>
      <c r="AA43" s="1532">
        <v>357.301672044805</v>
      </c>
      <c r="AB43" s="1532">
        <v>357.142857142857</v>
      </c>
      <c r="AC43" s="1532">
        <v>23.091597828916299</v>
      </c>
      <c r="AD43" s="1532">
        <v>23.072889355007899</v>
      </c>
      <c r="AE43" s="559" t="s">
        <v>571</v>
      </c>
      <c r="AF43" s="1532">
        <v>5.2380952380952403E-2</v>
      </c>
      <c r="AG43" s="1533">
        <v>5.2380952380952403E-2</v>
      </c>
      <c r="AH43" s="1532">
        <v>0.91648530448439502</v>
      </c>
      <c r="AI43" s="1532">
        <v>0.91505160059162205</v>
      </c>
      <c r="AJ43" s="1532">
        <v>65.580513433563397</v>
      </c>
      <c r="AK43" s="1532">
        <v>65.757998159919694</v>
      </c>
      <c r="AL43" s="1532">
        <v>10.1190273258481</v>
      </c>
      <c r="AM43" s="1532">
        <v>10.0092357948471</v>
      </c>
      <c r="AN43" s="1532">
        <v>285.70857861965499</v>
      </c>
      <c r="AO43" s="1532">
        <v>285.67718478119701</v>
      </c>
      <c r="AP43" s="1532">
        <v>0.39516045058182803</v>
      </c>
      <c r="AQ43" s="1532">
        <v>0.39468963042698202</v>
      </c>
      <c r="AR43" s="1532">
        <v>1.9315511402416701</v>
      </c>
      <c r="AS43" s="1532">
        <v>1.9118797253845501</v>
      </c>
      <c r="AT43" s="559" t="s">
        <v>571</v>
      </c>
      <c r="AU43" s="1533">
        <v>30.146399660834501</v>
      </c>
      <c r="AV43" s="1532">
        <v>30.161776802851598</v>
      </c>
      <c r="AW43" s="1532">
        <v>1.1856845566798799</v>
      </c>
      <c r="AX43" s="1532">
        <v>1.1808910359635001</v>
      </c>
      <c r="AY43" s="1532">
        <v>29.326265037673799</v>
      </c>
      <c r="AZ43" s="1532">
        <v>29.3286407508132</v>
      </c>
      <c r="BA43" s="1532">
        <v>8.0514326619731805E-2</v>
      </c>
      <c r="BB43" s="1532">
        <v>7.9814250471629697E-2</v>
      </c>
      <c r="BC43" s="1532">
        <v>81.137094865421105</v>
      </c>
      <c r="BD43" s="1532">
        <v>80.909124342613396</v>
      </c>
      <c r="BE43" s="1532">
        <v>10.2081433484152</v>
      </c>
      <c r="BF43" s="1533">
        <v>10.0384197702114</v>
      </c>
      <c r="BG43" s="1532">
        <v>0.36759883247700897</v>
      </c>
      <c r="BH43" s="1532">
        <v>0.369747899159664</v>
      </c>
      <c r="BI43" s="559" t="s">
        <v>571</v>
      </c>
      <c r="BJ43" s="1532">
        <v>121.054356983453</v>
      </c>
      <c r="BK43" s="1532">
        <v>120.81274025260799</v>
      </c>
      <c r="BL43" s="1532">
        <v>8.4605622428181402E-3</v>
      </c>
      <c r="BM43" s="1532">
        <v>8.4605622428181402E-3</v>
      </c>
      <c r="BN43" s="1532">
        <v>145.16</v>
      </c>
      <c r="BO43" s="1532">
        <v>144.97999999999999</v>
      </c>
      <c r="BP43" s="1532">
        <v>2.9909927574417399</v>
      </c>
      <c r="BQ43" s="1532">
        <v>2.96976241900648</v>
      </c>
      <c r="BR43" s="1532">
        <v>29.951156649272299</v>
      </c>
      <c r="BS43" s="1532">
        <v>29.949494261949202</v>
      </c>
      <c r="BT43" s="1532">
        <v>110</v>
      </c>
      <c r="BU43" s="1532">
        <v>110</v>
      </c>
      <c r="BV43" s="1532">
        <v>137.87</v>
      </c>
      <c r="BW43" s="1532">
        <v>138.19</v>
      </c>
    </row>
    <row r="44" spans="1:75" s="174" customFormat="1" ht="10.7" customHeight="1">
      <c r="A44" s="562" t="s">
        <v>572</v>
      </c>
      <c r="B44" s="605">
        <v>76.175614483539604</v>
      </c>
      <c r="C44" s="605">
        <v>77.823238219903203</v>
      </c>
      <c r="D44" s="605">
        <v>115.027592592593</v>
      </c>
      <c r="E44" s="605">
        <v>117.7</v>
      </c>
      <c r="F44" s="605">
        <v>305.09253999834999</v>
      </c>
      <c r="G44" s="605">
        <v>312.20159151193599</v>
      </c>
      <c r="H44" s="605">
        <v>84.146716917751306</v>
      </c>
      <c r="I44" s="605">
        <v>85.8121901428988</v>
      </c>
      <c r="J44" s="605">
        <v>16.187903471348399</v>
      </c>
      <c r="K44" s="605">
        <v>16.551588361856801</v>
      </c>
      <c r="L44" s="605">
        <v>16.661386551703199</v>
      </c>
      <c r="M44" s="605">
        <v>17.042163790107701</v>
      </c>
      <c r="N44" s="605">
        <v>124.295494307792</v>
      </c>
      <c r="O44" s="605">
        <v>127.13953564154799</v>
      </c>
      <c r="P44" s="562" t="s">
        <v>572</v>
      </c>
      <c r="Q44" s="377">
        <v>14.724535015523401</v>
      </c>
      <c r="R44" s="377">
        <v>15.0631898896177</v>
      </c>
      <c r="S44" s="377">
        <v>1.3798860418332399</v>
      </c>
      <c r="T44" s="377">
        <v>1.4118634918730899</v>
      </c>
      <c r="U44" s="377">
        <v>7.1566101436801397E-3</v>
      </c>
      <c r="V44" s="377">
        <v>7.2430769230769198E-3</v>
      </c>
      <c r="W44" s="377">
        <v>2.73858919332403E-3</v>
      </c>
      <c r="X44" s="377">
        <v>2.8022141539194101E-3</v>
      </c>
      <c r="Y44" s="377">
        <v>0.73842657577797099</v>
      </c>
      <c r="Z44" s="377">
        <v>0.74675633664308605</v>
      </c>
      <c r="AA44" s="377">
        <v>374.34673767615999</v>
      </c>
      <c r="AB44" s="377">
        <v>383.45007330184097</v>
      </c>
      <c r="AC44" s="377">
        <v>24.371658481874501</v>
      </c>
      <c r="AD44" s="377">
        <v>24.994691017201099</v>
      </c>
      <c r="AE44" s="562" t="s">
        <v>572</v>
      </c>
      <c r="AF44" s="377">
        <v>5.4775044091710801E-2</v>
      </c>
      <c r="AG44" s="377">
        <v>5.6047619047618999E-2</v>
      </c>
      <c r="AH44" s="377">
        <v>0.96034684352411204</v>
      </c>
      <c r="AI44" s="377">
        <v>0.98482763006292995</v>
      </c>
      <c r="AJ44" s="377">
        <v>69.733991719361896</v>
      </c>
      <c r="AK44" s="377">
        <v>71.902922293337696</v>
      </c>
      <c r="AL44" s="377">
        <v>10.6952500427929</v>
      </c>
      <c r="AM44" s="377">
        <v>11.1105866805116</v>
      </c>
      <c r="AN44" s="377">
        <v>298.79598585008398</v>
      </c>
      <c r="AO44" s="377">
        <v>305.71428571428601</v>
      </c>
      <c r="AP44" s="377">
        <v>0.41306246413250602</v>
      </c>
      <c r="AQ44" s="377">
        <v>0.42262118491921002</v>
      </c>
      <c r="AR44" s="377">
        <v>1.9909980816445401</v>
      </c>
      <c r="AS44" s="377">
        <v>2.0064780088646401</v>
      </c>
      <c r="AT44" s="562" t="s">
        <v>572</v>
      </c>
      <c r="AU44" s="447">
        <v>31.551363397505298</v>
      </c>
      <c r="AV44" s="377">
        <v>32.289923458890001</v>
      </c>
      <c r="AW44" s="377">
        <v>1.2634364831238001</v>
      </c>
      <c r="AX44" s="377">
        <v>1.31398269606475</v>
      </c>
      <c r="AY44" s="377">
        <v>30.669863608276302</v>
      </c>
      <c r="AZ44" s="377">
        <v>31.381645603370099</v>
      </c>
      <c r="BA44" s="377">
        <v>8.4298955093307204E-2</v>
      </c>
      <c r="BB44" s="377">
        <v>8.5445576539853393E-2</v>
      </c>
      <c r="BC44" s="377">
        <v>85.115522773095805</v>
      </c>
      <c r="BD44" s="377">
        <v>87.072313667468094</v>
      </c>
      <c r="BE44" s="377">
        <v>10.6867780770646</v>
      </c>
      <c r="BF44" s="377">
        <v>11.0175044463166</v>
      </c>
      <c r="BG44" s="377">
        <v>0.384005065941942</v>
      </c>
      <c r="BH44" s="377">
        <v>0.39031669706516298</v>
      </c>
      <c r="BI44" s="562" t="s">
        <v>572</v>
      </c>
      <c r="BJ44" s="605">
        <v>126.403620585383</v>
      </c>
      <c r="BK44" s="605">
        <v>128.845101258894</v>
      </c>
      <c r="BL44" s="605">
        <v>8.8472555161014203E-3</v>
      </c>
      <c r="BM44" s="605">
        <v>9.0528015998153997E-3</v>
      </c>
      <c r="BN44" s="605">
        <v>152.08228997316701</v>
      </c>
      <c r="BO44" s="605">
        <v>155.66723978309699</v>
      </c>
      <c r="BP44" s="605">
        <v>3.1412765130396898</v>
      </c>
      <c r="BQ44" s="605">
        <v>3.1875423155044</v>
      </c>
      <c r="BR44" s="605">
        <v>31.317238571027001</v>
      </c>
      <c r="BS44" s="605">
        <v>32.045522611560301</v>
      </c>
      <c r="BT44" s="605">
        <v>115.027592592593</v>
      </c>
      <c r="BU44" s="605">
        <v>117.7</v>
      </c>
      <c r="BV44" s="605">
        <v>145.311622992537</v>
      </c>
      <c r="BW44" s="605">
        <v>149.58492629553899</v>
      </c>
    </row>
    <row r="45" spans="1:75" s="1616" customFormat="1" ht="10.7" customHeight="1">
      <c r="A45" s="559" t="s">
        <v>563</v>
      </c>
      <c r="B45" s="606">
        <v>78.401621419955504</v>
      </c>
      <c r="C45" s="606">
        <v>78.682398230353897</v>
      </c>
      <c r="D45" s="606">
        <v>117.93795</v>
      </c>
      <c r="E45" s="606">
        <v>118</v>
      </c>
      <c r="F45" s="606">
        <v>312.847707412511</v>
      </c>
      <c r="G45" s="606">
        <v>312.99734748010599</v>
      </c>
      <c r="H45" s="606">
        <v>86.075681682290096</v>
      </c>
      <c r="I45" s="606">
        <v>86.260462736211096</v>
      </c>
      <c r="J45" s="606">
        <v>16.574744894591799</v>
      </c>
      <c r="K45" s="606">
        <v>16.557220631980702</v>
      </c>
      <c r="L45" s="606">
        <v>17.045152252987201</v>
      </c>
      <c r="M45" s="606">
        <v>16.953048675363501</v>
      </c>
      <c r="N45" s="606">
        <v>127.136978237656</v>
      </c>
      <c r="O45" s="606">
        <v>126.43699559496</v>
      </c>
      <c r="P45" s="559" t="s">
        <v>563</v>
      </c>
      <c r="Q45" s="363">
        <v>15.0996522978503</v>
      </c>
      <c r="R45" s="363">
        <v>15.1124145924451</v>
      </c>
      <c r="S45" s="363">
        <v>1.4130888218803499</v>
      </c>
      <c r="T45" s="363">
        <v>1.4155470249520199</v>
      </c>
      <c r="U45" s="363">
        <v>7.2233347729171197E-3</v>
      </c>
      <c r="V45" s="363">
        <v>7.2061068702290098E-3</v>
      </c>
      <c r="W45" s="363">
        <v>2.8078792928992301E-3</v>
      </c>
      <c r="X45" s="363">
        <v>2.8093565859175001E-3</v>
      </c>
      <c r="Y45" s="363">
        <v>0.74756730030447904</v>
      </c>
      <c r="Z45" s="363">
        <v>0.73357993223710805</v>
      </c>
      <c r="AA45" s="363">
        <v>384.64392111858098</v>
      </c>
      <c r="AB45" s="363">
        <v>384.67807660961699</v>
      </c>
      <c r="AC45" s="363">
        <v>25.0464497658357</v>
      </c>
      <c r="AD45" s="363">
        <v>25.0132485426603</v>
      </c>
      <c r="AE45" s="559" t="s">
        <v>563</v>
      </c>
      <c r="AF45" s="363">
        <v>5.6160928571428598E-2</v>
      </c>
      <c r="AG45" s="363">
        <v>5.61904761904762E-2</v>
      </c>
      <c r="AH45" s="363">
        <v>0.98309413738907503</v>
      </c>
      <c r="AI45" s="363">
        <v>0.97996226314810397</v>
      </c>
      <c r="AJ45" s="363">
        <v>72.461000627755496</v>
      </c>
      <c r="AK45" s="363">
        <v>71.814792244495607</v>
      </c>
      <c r="AL45" s="363">
        <v>11.1338603331311</v>
      </c>
      <c r="AM45" s="363">
        <v>11.0484822381603</v>
      </c>
      <c r="AN45" s="363">
        <v>306.33233908764498</v>
      </c>
      <c r="AO45" s="363">
        <v>306.493506493506</v>
      </c>
      <c r="AP45" s="363">
        <v>0.42319032053803002</v>
      </c>
      <c r="AQ45" s="363">
        <v>0.42400287459576003</v>
      </c>
      <c r="AR45" s="363">
        <v>2.00888896796131</v>
      </c>
      <c r="AS45" s="363">
        <v>2.01743887844076</v>
      </c>
      <c r="AT45" s="559" t="s">
        <v>563</v>
      </c>
      <c r="AU45" s="558">
        <v>32.347766228861801</v>
      </c>
      <c r="AV45" s="363">
        <v>32.364234777838703</v>
      </c>
      <c r="AW45" s="363">
        <v>1.3372228511317401</v>
      </c>
      <c r="AX45" s="363">
        <v>1.3760932944606401</v>
      </c>
      <c r="AY45" s="363">
        <v>31.441500095105201</v>
      </c>
      <c r="AZ45" s="363">
        <v>31.451569913108401</v>
      </c>
      <c r="BA45" s="363">
        <v>8.5509030863332405E-2</v>
      </c>
      <c r="BB45" s="363">
        <v>8.5428318039492496E-2</v>
      </c>
      <c r="BC45" s="363">
        <v>87.285711885473603</v>
      </c>
      <c r="BD45" s="363">
        <v>87.023857811866193</v>
      </c>
      <c r="BE45" s="363">
        <v>11.262810820770399</v>
      </c>
      <c r="BF45" s="363">
        <v>11.1333358493414</v>
      </c>
      <c r="BG45" s="363">
        <v>0.38805518834951502</v>
      </c>
      <c r="BH45" s="363">
        <v>0.385683935283543</v>
      </c>
      <c r="BI45" s="559" t="s">
        <v>563</v>
      </c>
      <c r="BJ45" s="606">
        <v>131.88856988285499</v>
      </c>
      <c r="BK45" s="606">
        <v>131.27155412170401</v>
      </c>
      <c r="BL45" s="606">
        <v>9.0711033342306697E-3</v>
      </c>
      <c r="BM45" s="606">
        <v>9.0758758604776394E-3</v>
      </c>
      <c r="BN45" s="606">
        <v>155.61603669648099</v>
      </c>
      <c r="BO45" s="606">
        <v>155.20189398921499</v>
      </c>
      <c r="BP45" s="606">
        <v>3.2136734396503099</v>
      </c>
      <c r="BQ45" s="606">
        <v>3.2091378841446798</v>
      </c>
      <c r="BR45" s="606">
        <v>32.109066426612699</v>
      </c>
      <c r="BS45" s="606">
        <v>32.126327252926799</v>
      </c>
      <c r="BT45" s="606">
        <v>117.93795</v>
      </c>
      <c r="BU45" s="606">
        <v>118</v>
      </c>
      <c r="BV45" s="606">
        <v>150.125885423478</v>
      </c>
      <c r="BW45" s="606">
        <v>149.199196267004</v>
      </c>
    </row>
    <row r="46" spans="1:75" s="1657" customFormat="1" ht="10.7" customHeight="1">
      <c r="A46" s="621" t="s">
        <v>2681</v>
      </c>
      <c r="B46" s="605"/>
      <c r="C46" s="605"/>
      <c r="D46" s="605"/>
      <c r="E46" s="605"/>
      <c r="F46" s="605"/>
      <c r="G46" s="605"/>
      <c r="H46" s="605"/>
      <c r="I46" s="605"/>
      <c r="J46" s="605"/>
      <c r="K46" s="605"/>
      <c r="L46" s="605"/>
      <c r="M46" s="605"/>
      <c r="N46" s="605"/>
      <c r="O46" s="605"/>
      <c r="P46" s="621" t="s">
        <v>2681</v>
      </c>
      <c r="Q46" s="377"/>
      <c r="R46" s="377"/>
      <c r="S46" s="377"/>
      <c r="T46" s="377"/>
      <c r="U46" s="377"/>
      <c r="V46" s="377"/>
      <c r="W46" s="377"/>
      <c r="X46" s="377"/>
      <c r="Y46" s="377"/>
      <c r="Z46" s="377"/>
      <c r="AA46" s="377"/>
      <c r="AB46" s="377"/>
      <c r="AC46" s="377"/>
      <c r="AD46" s="377"/>
      <c r="AE46" s="621" t="s">
        <v>2681</v>
      </c>
      <c r="AF46" s="377"/>
      <c r="AG46" s="377"/>
      <c r="AH46" s="377"/>
      <c r="AI46" s="377"/>
      <c r="AJ46" s="377"/>
      <c r="AK46" s="377"/>
      <c r="AL46" s="377"/>
      <c r="AM46" s="377"/>
      <c r="AN46" s="377"/>
      <c r="AO46" s="377"/>
      <c r="AP46" s="377"/>
      <c r="AQ46" s="377"/>
      <c r="AR46" s="377"/>
      <c r="AS46" s="377"/>
      <c r="AT46" s="621" t="s">
        <v>2681</v>
      </c>
      <c r="AU46" s="447"/>
      <c r="AV46" s="377"/>
      <c r="AW46" s="377"/>
      <c r="AX46" s="377"/>
      <c r="AY46" s="377"/>
      <c r="AZ46" s="377"/>
      <c r="BA46" s="377"/>
      <c r="BB46" s="377"/>
      <c r="BC46" s="377"/>
      <c r="BD46" s="377"/>
      <c r="BE46" s="377"/>
      <c r="BF46" s="377"/>
      <c r="BG46" s="377"/>
      <c r="BH46" s="377"/>
      <c r="BI46" s="621" t="s">
        <v>2681</v>
      </c>
      <c r="BJ46" s="605"/>
      <c r="BK46" s="605"/>
      <c r="BL46" s="605"/>
      <c r="BM46" s="605"/>
      <c r="BN46" s="605"/>
      <c r="BO46" s="605"/>
      <c r="BP46" s="605"/>
      <c r="BQ46" s="605"/>
      <c r="BR46" s="605"/>
      <c r="BS46" s="605"/>
      <c r="BT46" s="605"/>
      <c r="BU46" s="605"/>
      <c r="BV46" s="605"/>
      <c r="BW46" s="605"/>
    </row>
    <row r="47" spans="1:75" s="1657" customFormat="1" ht="10.7" customHeight="1">
      <c r="A47" s="559" t="s">
        <v>565</v>
      </c>
      <c r="B47" s="606">
        <v>78.892960583276803</v>
      </c>
      <c r="C47" s="606">
        <v>77.733741256830598</v>
      </c>
      <c r="D47" s="606">
        <v>117.927777777778</v>
      </c>
      <c r="E47" s="606">
        <v>118</v>
      </c>
      <c r="F47" s="606">
        <v>312.82729502192097</v>
      </c>
      <c r="G47" s="606">
        <v>312.99734748010599</v>
      </c>
      <c r="H47" s="606">
        <v>86.060965959106596</v>
      </c>
      <c r="I47" s="606">
        <v>85.201631827863807</v>
      </c>
      <c r="J47" s="606">
        <v>16.537186376277301</v>
      </c>
      <c r="K47" s="606">
        <v>16.5391192218204</v>
      </c>
      <c r="L47" s="606">
        <v>17.1500981762624</v>
      </c>
      <c r="M47" s="606">
        <v>17.1020689155404</v>
      </c>
      <c r="N47" s="606">
        <v>127.945288821403</v>
      </c>
      <c r="O47" s="606">
        <v>127.622899727243</v>
      </c>
      <c r="P47" s="559" t="s">
        <v>565</v>
      </c>
      <c r="Q47" s="363">
        <v>15.1009310689548</v>
      </c>
      <c r="R47" s="363">
        <v>15.102356863573201</v>
      </c>
      <c r="S47" s="363">
        <v>1.4109741168099399</v>
      </c>
      <c r="T47" s="363">
        <v>1.4092917711692301</v>
      </c>
      <c r="U47" s="363">
        <v>7.2571565887826596E-3</v>
      </c>
      <c r="V47" s="363">
        <v>7.2403742905353596E-3</v>
      </c>
      <c r="W47" s="363">
        <v>2.8075135541174002E-3</v>
      </c>
      <c r="X47" s="363">
        <v>2.8093565859175001E-3</v>
      </c>
      <c r="Y47" s="363">
        <v>0.74692824038412198</v>
      </c>
      <c r="Z47" s="363">
        <v>0.77242823945275396</v>
      </c>
      <c r="AA47" s="363">
        <v>385.536985867792</v>
      </c>
      <c r="AB47" s="363">
        <v>386.18883979708698</v>
      </c>
      <c r="AC47" s="363">
        <v>25.201221688282999</v>
      </c>
      <c r="AD47" s="363">
        <v>25.618758141554501</v>
      </c>
      <c r="AE47" s="559" t="s">
        <v>565</v>
      </c>
      <c r="AF47" s="363">
        <v>5.6156084656084702E-2</v>
      </c>
      <c r="AG47" s="363">
        <v>5.61904761904762E-2</v>
      </c>
      <c r="AH47" s="363">
        <v>0.98465372129347395</v>
      </c>
      <c r="AI47" s="363">
        <v>0.98778495084514195</v>
      </c>
      <c r="AJ47" s="363">
        <v>71.325697643029898</v>
      </c>
      <c r="AK47" s="363">
        <v>69.661299500296394</v>
      </c>
      <c r="AL47" s="363">
        <v>10.9567775404717</v>
      </c>
      <c r="AM47" s="363">
        <v>10.7699609360739</v>
      </c>
      <c r="AN47" s="363">
        <v>306.30297259046802</v>
      </c>
      <c r="AO47" s="363">
        <v>306.493506493506</v>
      </c>
      <c r="AP47" s="363">
        <v>0.42332604051411699</v>
      </c>
      <c r="AQ47" s="363">
        <v>0.42316657701273103</v>
      </c>
      <c r="AR47" s="363">
        <v>2.0164850573279902</v>
      </c>
      <c r="AS47" s="363">
        <v>2.0167492736284398</v>
      </c>
      <c r="AT47" s="559" t="s">
        <v>565</v>
      </c>
      <c r="AU47" s="558">
        <v>32.3411411730401</v>
      </c>
      <c r="AV47" s="363">
        <v>32.358909669280997</v>
      </c>
      <c r="AW47" s="363">
        <v>1.34677318785081</v>
      </c>
      <c r="AX47" s="363">
        <v>1.3760932944606401</v>
      </c>
      <c r="AY47" s="363">
        <v>31.4377815650926</v>
      </c>
      <c r="AZ47" s="363">
        <v>31.453246614777701</v>
      </c>
      <c r="BA47" s="363">
        <v>8.52961097369766E-2</v>
      </c>
      <c r="BB47" s="363">
        <v>8.5438833397895195E-2</v>
      </c>
      <c r="BC47" s="363">
        <v>87.595407879910596</v>
      </c>
      <c r="BD47" s="363">
        <v>87.908813231021398</v>
      </c>
      <c r="BE47" s="363">
        <v>11.112006555563401</v>
      </c>
      <c r="BF47" s="363">
        <v>10.9630785811175</v>
      </c>
      <c r="BG47" s="363">
        <v>0.38865782768470802</v>
      </c>
      <c r="BH47" s="363">
        <v>0.39021164021164001</v>
      </c>
      <c r="BI47" s="559" t="s">
        <v>565</v>
      </c>
      <c r="BJ47" s="606">
        <v>132.17748766167799</v>
      </c>
      <c r="BK47" s="606">
        <v>133.69589848175801</v>
      </c>
      <c r="BL47" s="606">
        <v>9.0703209458737697E-3</v>
      </c>
      <c r="BM47" s="606">
        <v>9.0758758604776394E-3</v>
      </c>
      <c r="BN47" s="606">
        <v>156.081860789095</v>
      </c>
      <c r="BO47" s="606">
        <v>156.748140276302</v>
      </c>
      <c r="BP47" s="606">
        <v>3.25441225732374</v>
      </c>
      <c r="BQ47" s="606">
        <v>3.2993149727387099</v>
      </c>
      <c r="BR47" s="606">
        <v>32.106680414358003</v>
      </c>
      <c r="BS47" s="606">
        <v>32.126764589771199</v>
      </c>
      <c r="BT47" s="606">
        <v>117.927777777778</v>
      </c>
      <c r="BU47" s="606">
        <v>118</v>
      </c>
      <c r="BV47" s="606">
        <v>151.781027192588</v>
      </c>
      <c r="BW47" s="606">
        <v>151.45889793151801</v>
      </c>
    </row>
    <row r="48" spans="1:75" s="1663" customFormat="1" ht="10.7" customHeight="1">
      <c r="A48" s="562" t="s">
        <v>566</v>
      </c>
      <c r="B48" s="605">
        <v>78.888199288878099</v>
      </c>
      <c r="C48" s="605">
        <v>81.4259995578808</v>
      </c>
      <c r="D48" s="605">
        <v>118.72499999999999</v>
      </c>
      <c r="E48" s="605">
        <v>120</v>
      </c>
      <c r="F48" s="605">
        <v>315.007571553199</v>
      </c>
      <c r="G48" s="605">
        <v>318.34460803820099</v>
      </c>
      <c r="H48" s="605">
        <v>86.833432068604097</v>
      </c>
      <c r="I48" s="605">
        <v>89.017469678424405</v>
      </c>
      <c r="J48" s="605">
        <v>16.637535650241201</v>
      </c>
      <c r="K48" s="605">
        <v>16.830530582476602</v>
      </c>
      <c r="L48" s="605">
        <v>17.5360521480643</v>
      </c>
      <c r="M48" s="605">
        <v>17.891488124524699</v>
      </c>
      <c r="N48" s="605">
        <v>130.84620189203801</v>
      </c>
      <c r="O48" s="605">
        <v>133.44599973022801</v>
      </c>
      <c r="P48" s="562" t="s">
        <v>566</v>
      </c>
      <c r="Q48" s="377">
        <v>15.2268036834223</v>
      </c>
      <c r="R48" s="377">
        <v>15.382446065298501</v>
      </c>
      <c r="S48" s="377">
        <v>1.4153963561957601</v>
      </c>
      <c r="T48" s="377">
        <v>1.4300184710719199</v>
      </c>
      <c r="U48" s="377">
        <v>7.5301541699894703E-3</v>
      </c>
      <c r="V48" s="377">
        <v>7.78765656434551E-3</v>
      </c>
      <c r="W48" s="377">
        <v>2.82661746324624E-3</v>
      </c>
      <c r="X48" s="377">
        <v>2.8569727992381398E-3</v>
      </c>
      <c r="Y48" s="377">
        <v>0.81226068072259705</v>
      </c>
      <c r="Z48" s="377">
        <v>0.82999031677963797</v>
      </c>
      <c r="AA48" s="377">
        <v>388.45148997724601</v>
      </c>
      <c r="AB48" s="377">
        <v>393.12039312039298</v>
      </c>
      <c r="AC48" s="377">
        <v>26.837389452909001</v>
      </c>
      <c r="AD48" s="377">
        <v>27.729636048526899</v>
      </c>
      <c r="AE48" s="562" t="s">
        <v>566</v>
      </c>
      <c r="AF48" s="377">
        <v>5.65357142857143E-2</v>
      </c>
      <c r="AG48" s="377">
        <v>5.7142857142857099E-2</v>
      </c>
      <c r="AH48" s="377">
        <v>1.0027727215482201</v>
      </c>
      <c r="AI48" s="377">
        <v>1.0224844326745099</v>
      </c>
      <c r="AJ48" s="377">
        <v>72.105624128281306</v>
      </c>
      <c r="AK48" s="377">
        <v>74.939998078462807</v>
      </c>
      <c r="AL48" s="377">
        <v>11.0999178797111</v>
      </c>
      <c r="AM48" s="377">
        <v>11.4284625860706</v>
      </c>
      <c r="AN48" s="377">
        <v>308.37670047754699</v>
      </c>
      <c r="AO48" s="377">
        <v>311.68831168831201</v>
      </c>
      <c r="AP48" s="377">
        <v>0.42584602437067998</v>
      </c>
      <c r="AQ48" s="377">
        <v>0.42979942693409701</v>
      </c>
      <c r="AR48" s="377">
        <v>2.0814175150985901</v>
      </c>
      <c r="AS48" s="377">
        <v>2.1309655937846799</v>
      </c>
      <c r="AT48" s="562" t="s">
        <v>566</v>
      </c>
      <c r="AU48" s="447">
        <v>32.559324522199702</v>
      </c>
      <c r="AV48" s="377">
        <v>32.921810699588498</v>
      </c>
      <c r="AW48" s="377">
        <v>1.3335820257928299</v>
      </c>
      <c r="AX48" s="377">
        <v>1.3114754098360699</v>
      </c>
      <c r="AY48" s="377">
        <v>31.636230153193999</v>
      </c>
      <c r="AZ48" s="377">
        <v>31.977828705430898</v>
      </c>
      <c r="BA48" s="377">
        <v>8.7873166943541706E-2</v>
      </c>
      <c r="BB48" s="377">
        <v>8.9870810709604898E-2</v>
      </c>
      <c r="BC48" s="377">
        <v>90.208652889328405</v>
      </c>
      <c r="BD48" s="377">
        <v>92.059838895281899</v>
      </c>
      <c r="BE48" s="377">
        <v>11.4213308217047</v>
      </c>
      <c r="BF48" s="377">
        <v>11.795756476607499</v>
      </c>
      <c r="BG48" s="377">
        <v>0.39527889144198403</v>
      </c>
      <c r="BH48" s="377">
        <v>0.39933444259567402</v>
      </c>
      <c r="BI48" s="562" t="s">
        <v>566</v>
      </c>
      <c r="BJ48" s="605">
        <v>138.37306318495899</v>
      </c>
      <c r="BK48" s="605">
        <v>142.475512021371</v>
      </c>
      <c r="BL48" s="605">
        <v>9.1316386570780301E-3</v>
      </c>
      <c r="BM48" s="605">
        <v>9.2297042648925107E-3</v>
      </c>
      <c r="BN48" s="605">
        <v>159.03639671628301</v>
      </c>
      <c r="BO48" s="605">
        <v>161.59439806086701</v>
      </c>
      <c r="BP48" s="605">
        <v>3.4129770973743199</v>
      </c>
      <c r="BQ48" s="605">
        <v>3.5299308721870899</v>
      </c>
      <c r="BR48" s="605">
        <v>32.324359068179199</v>
      </c>
      <c r="BS48" s="605">
        <v>32.672620344151603</v>
      </c>
      <c r="BT48" s="605">
        <v>118.72499999999999</v>
      </c>
      <c r="BU48" s="605">
        <v>120</v>
      </c>
      <c r="BV48" s="605">
        <v>153.59415947609301</v>
      </c>
      <c r="BW48" s="605">
        <v>158.297997953227</v>
      </c>
    </row>
    <row r="49" spans="1:75" s="1699" customFormat="1" ht="10.7" customHeight="1">
      <c r="A49" s="559" t="s">
        <v>560</v>
      </c>
      <c r="B49" s="606">
        <v>81.101075037182994</v>
      </c>
      <c r="C49" s="606">
        <v>82.829999565374905</v>
      </c>
      <c r="D49" s="606">
        <v>120</v>
      </c>
      <c r="E49" s="606">
        <v>120</v>
      </c>
      <c r="F49" s="606">
        <v>318.46330364422801</v>
      </c>
      <c r="G49" s="606">
        <v>318.34460803820099</v>
      </c>
      <c r="H49" s="606">
        <v>88.5896018199184</v>
      </c>
      <c r="I49" s="606">
        <v>88.786948318597197</v>
      </c>
      <c r="J49" s="606">
        <v>16.940879641638801</v>
      </c>
      <c r="K49" s="606">
        <v>17.1247538316637</v>
      </c>
      <c r="L49" s="606">
        <v>17.847426836828401</v>
      </c>
      <c r="M49" s="606">
        <v>17.966492491503299</v>
      </c>
      <c r="N49" s="606">
        <v>133.140230030244</v>
      </c>
      <c r="O49" s="606">
        <v>133.96199973126701</v>
      </c>
      <c r="P49" s="559" t="s">
        <v>560</v>
      </c>
      <c r="Q49" s="363">
        <v>15.3995162967831</v>
      </c>
      <c r="R49" s="363">
        <v>15.439743185605</v>
      </c>
      <c r="S49" s="363">
        <v>1.4319156432086699</v>
      </c>
      <c r="T49" s="363">
        <v>1.43334925943622</v>
      </c>
      <c r="U49" s="363">
        <v>7.8274607265153406E-3</v>
      </c>
      <c r="V49" s="363">
        <v>7.9207920792079192E-3</v>
      </c>
      <c r="W49" s="363">
        <v>2.8565808478587902E-3</v>
      </c>
      <c r="X49" s="363">
        <v>2.8569727992381398E-3</v>
      </c>
      <c r="Y49" s="363">
        <v>0.83768843774616597</v>
      </c>
      <c r="Z49" s="363">
        <v>0.84391152994127805</v>
      </c>
      <c r="AA49" s="363">
        <v>393.12558167184199</v>
      </c>
      <c r="AB49" s="363">
        <v>393.44262295082001</v>
      </c>
      <c r="AC49" s="363">
        <v>28.131812769300399</v>
      </c>
      <c r="AD49" s="363">
        <v>29.186428310835499</v>
      </c>
      <c r="AE49" s="559" t="s">
        <v>560</v>
      </c>
      <c r="AF49" s="363">
        <v>5.7142857142857099E-2</v>
      </c>
      <c r="AG49" s="363">
        <v>5.7142857142857099E-2</v>
      </c>
      <c r="AH49" s="363">
        <v>1.0221114765193</v>
      </c>
      <c r="AI49" s="363">
        <v>1.0266510045352299</v>
      </c>
      <c r="AJ49" s="363">
        <v>74.600536140859504</v>
      </c>
      <c r="AK49" s="363">
        <v>76.085999526851197</v>
      </c>
      <c r="AL49" s="363">
        <v>11.2935812970331</v>
      </c>
      <c r="AM49" s="363">
        <v>11.426721387965699</v>
      </c>
      <c r="AN49" s="363">
        <v>311.70078822438097</v>
      </c>
      <c r="AO49" s="363">
        <v>312.09362808842701</v>
      </c>
      <c r="AP49" s="363">
        <v>0.43102828723160203</v>
      </c>
      <c r="AQ49" s="363">
        <v>0.43212099387828601</v>
      </c>
      <c r="AR49" s="363">
        <v>2.1402879445623202</v>
      </c>
      <c r="AS49" s="363">
        <v>2.1417097983223301</v>
      </c>
      <c r="AT49" s="559" t="s">
        <v>560</v>
      </c>
      <c r="AU49" s="558">
        <v>32.915654625138203</v>
      </c>
      <c r="AV49" s="363">
        <v>32.921810699588498</v>
      </c>
      <c r="AW49" s="363">
        <v>1.3188159057300199</v>
      </c>
      <c r="AX49" s="363">
        <v>1.2721971905645399</v>
      </c>
      <c r="AY49" s="363">
        <v>31.9769285857199</v>
      </c>
      <c r="AZ49" s="363">
        <v>31.988057791757701</v>
      </c>
      <c r="BA49" s="363">
        <v>9.0051679047771505E-2</v>
      </c>
      <c r="BB49" s="363">
        <v>9.1641878811252103E-2</v>
      </c>
      <c r="BC49" s="363">
        <v>92.489810711962505</v>
      </c>
      <c r="BD49" s="363">
        <v>93.662191695285699</v>
      </c>
      <c r="BE49" s="363">
        <v>11.722294951740199</v>
      </c>
      <c r="BF49" s="363">
        <v>11.88430627838</v>
      </c>
      <c r="BG49" s="363">
        <v>0.399077797471938</v>
      </c>
      <c r="BH49" s="363">
        <v>0.40451710770268001</v>
      </c>
      <c r="BI49" s="559" t="s">
        <v>560</v>
      </c>
      <c r="BJ49" s="606">
        <v>141.57651090562399</v>
      </c>
      <c r="BK49" s="606">
        <v>142.763666646838</v>
      </c>
      <c r="BL49" s="606">
        <v>9.2297042648925107E-3</v>
      </c>
      <c r="BM49" s="606">
        <v>9.2297042648925107E-3</v>
      </c>
      <c r="BN49" s="606">
        <v>161.95536959027399</v>
      </c>
      <c r="BO49" s="606">
        <v>162.75600162756001</v>
      </c>
      <c r="BP49" s="606">
        <v>3.5967130179929598</v>
      </c>
      <c r="BQ49" s="606">
        <v>3.7319234955683398</v>
      </c>
      <c r="BR49" s="606">
        <v>32.671303132499801</v>
      </c>
      <c r="BS49" s="606">
        <v>32.670841274162797</v>
      </c>
      <c r="BT49" s="606">
        <v>120</v>
      </c>
      <c r="BU49" s="606">
        <v>120</v>
      </c>
      <c r="BV49" s="606">
        <v>158.38384154976799</v>
      </c>
      <c r="BW49" s="606">
        <v>160.49399798123301</v>
      </c>
    </row>
    <row r="50" spans="1:75" s="1720" customFormat="1" ht="10.7" customHeight="1">
      <c r="A50" s="562" t="s">
        <v>567</v>
      </c>
      <c r="B50" s="605">
        <v>80.605610840370204</v>
      </c>
      <c r="C50" s="605">
        <v>78.863998174071796</v>
      </c>
      <c r="D50" s="605">
        <v>119.998148148148</v>
      </c>
      <c r="E50" s="605">
        <v>120</v>
      </c>
      <c r="F50" s="605">
        <v>318.264649671391</v>
      </c>
      <c r="G50" s="605">
        <v>318.26017769526601</v>
      </c>
      <c r="H50" s="605">
        <v>87.425482976505606</v>
      </c>
      <c r="I50" s="605">
        <v>86.309202718739897</v>
      </c>
      <c r="J50" s="605">
        <v>16.944116441307902</v>
      </c>
      <c r="K50" s="605">
        <v>16.842105263157901</v>
      </c>
      <c r="L50" s="605">
        <v>17.5542866858564</v>
      </c>
      <c r="M50" s="605">
        <v>17.463817153834398</v>
      </c>
      <c r="N50" s="605">
        <v>130.93195295406699</v>
      </c>
      <c r="O50" s="605">
        <v>130.27199889462</v>
      </c>
      <c r="P50" s="562" t="s">
        <v>567</v>
      </c>
      <c r="Q50" s="377">
        <v>15.443514981061201</v>
      </c>
      <c r="R50" s="377">
        <v>15.439842513606401</v>
      </c>
      <c r="S50" s="377">
        <v>1.42811661997608</v>
      </c>
      <c r="T50" s="377">
        <v>1.42704245451302</v>
      </c>
      <c r="U50" s="377">
        <v>7.71548464537373E-3</v>
      </c>
      <c r="V50" s="377">
        <v>7.6420952077694603E-3</v>
      </c>
      <c r="W50" s="377">
        <v>2.85680289859787E-3</v>
      </c>
      <c r="X50" s="377">
        <v>2.8569727992381398E-3</v>
      </c>
      <c r="Y50" s="377">
        <v>0.80278728412784695</v>
      </c>
      <c r="Z50" s="377">
        <v>0.78216660148611605</v>
      </c>
      <c r="AA50" s="377">
        <v>391.56129501059598</v>
      </c>
      <c r="AB50" s="377">
        <v>391.51712887438799</v>
      </c>
      <c r="AC50" s="377">
        <v>27.9338499351446</v>
      </c>
      <c r="AD50" s="377">
        <v>27.403516784653998</v>
      </c>
      <c r="AE50" s="562" t="s">
        <v>567</v>
      </c>
      <c r="AF50" s="377">
        <v>5.7141975308641998E-2</v>
      </c>
      <c r="AG50" s="377">
        <v>5.7142857142857099E-2</v>
      </c>
      <c r="AH50" s="377">
        <v>1.01390926807349</v>
      </c>
      <c r="AI50" s="377">
        <v>1.0061180360911299</v>
      </c>
      <c r="AJ50" s="377">
        <v>73.182837738905903</v>
      </c>
      <c r="AK50" s="377">
        <v>71.675997990959303</v>
      </c>
      <c r="AL50" s="377">
        <v>11.106183042852299</v>
      </c>
      <c r="AM50" s="377">
        <v>10.9493047191503</v>
      </c>
      <c r="AN50" s="377">
        <v>311.69100134017799</v>
      </c>
      <c r="AO50" s="377">
        <v>311.68831168831201</v>
      </c>
      <c r="AP50" s="377">
        <v>0.43190489548933902</v>
      </c>
      <c r="AQ50" s="377">
        <v>0.4320043200432</v>
      </c>
      <c r="AR50" s="377">
        <v>2.09120699945306</v>
      </c>
      <c r="AS50" s="377">
        <v>2.0639834881320902</v>
      </c>
      <c r="AT50" s="562" t="s">
        <v>567</v>
      </c>
      <c r="AU50" s="447">
        <v>32.914614076892697</v>
      </c>
      <c r="AV50" s="377">
        <v>32.912781130005499</v>
      </c>
      <c r="AW50" s="377">
        <v>1.2494170436435099</v>
      </c>
      <c r="AX50" s="377">
        <v>1.2382623052316599</v>
      </c>
      <c r="AY50" s="377">
        <v>31.9567742844281</v>
      </c>
      <c r="AZ50" s="377">
        <v>31.951433820592701</v>
      </c>
      <c r="BA50" s="377">
        <v>8.8236945331789496E-2</v>
      </c>
      <c r="BB50" s="377">
        <v>8.70760936213133E-2</v>
      </c>
      <c r="BC50" s="377">
        <v>91.6627773043855</v>
      </c>
      <c r="BD50" s="377">
        <v>90.747532801451996</v>
      </c>
      <c r="BE50" s="377">
        <v>11.4783000299519</v>
      </c>
      <c r="BF50" s="377">
        <v>11.2269671751547</v>
      </c>
      <c r="BG50" s="377">
        <v>0.40894600182199797</v>
      </c>
      <c r="BH50" s="377">
        <v>0.40962621607782901</v>
      </c>
      <c r="BI50" s="562" t="s">
        <v>567</v>
      </c>
      <c r="BJ50" s="605">
        <v>139.47144896225899</v>
      </c>
      <c r="BK50" s="605">
        <v>138.448226132103</v>
      </c>
      <c r="BL50" s="605">
        <v>9.2282738493288004E-3</v>
      </c>
      <c r="BM50" s="605">
        <v>9.22722029988466E-3</v>
      </c>
      <c r="BN50" s="605">
        <v>160.34066406445001</v>
      </c>
      <c r="BO50" s="605">
        <v>159.78695073235701</v>
      </c>
      <c r="BP50" s="605">
        <v>3.5950224697469402</v>
      </c>
      <c r="BQ50" s="605">
        <v>3.5571365051133799</v>
      </c>
      <c r="BR50" s="605">
        <v>32.670254764158997</v>
      </c>
      <c r="BS50" s="605">
        <v>32.670396536938</v>
      </c>
      <c r="BT50" s="605">
        <v>119.998148148148</v>
      </c>
      <c r="BU50" s="605">
        <v>120</v>
      </c>
      <c r="BV50" s="605">
        <v>156.844650634544</v>
      </c>
      <c r="BW50" s="605">
        <v>155.549999768563</v>
      </c>
    </row>
    <row r="51" spans="1:75" s="1729" customFormat="1" ht="10.7" customHeight="1">
      <c r="A51" s="559" t="s">
        <v>568</v>
      </c>
      <c r="B51" s="606">
        <v>78.359514758875093</v>
      </c>
      <c r="C51" s="606">
        <v>77.963992611974703</v>
      </c>
      <c r="D51" s="606">
        <v>120</v>
      </c>
      <c r="E51" s="606">
        <v>120</v>
      </c>
      <c r="F51" s="606">
        <v>318.317590329175</v>
      </c>
      <c r="G51" s="606">
        <v>318.30238726790498</v>
      </c>
      <c r="H51" s="606">
        <v>85.897106130729199</v>
      </c>
      <c r="I51" s="606">
        <v>85.531004989308599</v>
      </c>
      <c r="J51" s="606">
        <v>16.7308122660239</v>
      </c>
      <c r="K51" s="606">
        <v>16.6912398809358</v>
      </c>
      <c r="L51" s="606">
        <v>17.115525926106201</v>
      </c>
      <c r="M51" s="606">
        <v>17.0010200612037</v>
      </c>
      <c r="N51" s="606">
        <v>127.657438663956</v>
      </c>
      <c r="O51" s="606">
        <v>126.791995457127</v>
      </c>
      <c r="P51" s="559" t="s">
        <v>568</v>
      </c>
      <c r="Q51" s="363">
        <v>15.4248511908828</v>
      </c>
      <c r="R51" s="363">
        <v>15.420894026331201</v>
      </c>
      <c r="S51" s="363">
        <v>1.42296419201441</v>
      </c>
      <c r="T51" s="363">
        <v>1.42146410803127</v>
      </c>
      <c r="U51" s="363">
        <v>7.5852482485636204E-3</v>
      </c>
      <c r="V51" s="363">
        <v>7.5662042875157603E-3</v>
      </c>
      <c r="W51" s="363">
        <v>2.8569727992381398E-3</v>
      </c>
      <c r="X51" s="363">
        <v>2.8569727992381398E-3</v>
      </c>
      <c r="Y51" s="363">
        <v>0.78030803226088896</v>
      </c>
      <c r="Z51" s="363">
        <v>0.794097210733547</v>
      </c>
      <c r="AA51" s="363">
        <v>390.53684667703101</v>
      </c>
      <c r="AB51" s="363">
        <v>390.37085230969399</v>
      </c>
      <c r="AC51" s="363">
        <v>27.05564112231</v>
      </c>
      <c r="AD51" s="363">
        <v>27.002700270026999</v>
      </c>
      <c r="AE51" s="559" t="s">
        <v>568</v>
      </c>
      <c r="AF51" s="363">
        <v>5.7142857142857099E-2</v>
      </c>
      <c r="AG51" s="363">
        <v>5.7142857142857099E-2</v>
      </c>
      <c r="AH51" s="363">
        <v>1.0002385596497001</v>
      </c>
      <c r="AI51" s="363">
        <v>0.99391969625814103</v>
      </c>
      <c r="AJ51" s="363">
        <v>70.932234013297204</v>
      </c>
      <c r="AK51" s="363">
        <v>70.733999491050994</v>
      </c>
      <c r="AL51" s="363">
        <v>10.8542629278978</v>
      </c>
      <c r="AM51" s="363">
        <v>10.8478498657578</v>
      </c>
      <c r="AN51" s="363">
        <v>311.68507378869703</v>
      </c>
      <c r="AO51" s="363">
        <v>311.64783794312399</v>
      </c>
      <c r="AP51" s="363">
        <v>0.43165172168162702</v>
      </c>
      <c r="AQ51" s="363">
        <v>0.4320043200432</v>
      </c>
      <c r="AR51" s="363">
        <v>2.0441073650074602</v>
      </c>
      <c r="AS51" s="363">
        <v>2.0467337540508299</v>
      </c>
      <c r="AT51" s="559" t="s">
        <v>568</v>
      </c>
      <c r="AU51" s="558">
        <v>32.914533494497199</v>
      </c>
      <c r="AV51" s="363">
        <v>32.917746780232903</v>
      </c>
      <c r="AW51" s="363">
        <v>1.1950946914163101</v>
      </c>
      <c r="AX51" s="363">
        <v>1.06053910737958</v>
      </c>
      <c r="AY51" s="363">
        <v>31.954177952341698</v>
      </c>
      <c r="AZ51" s="363">
        <v>31.953135401411298</v>
      </c>
      <c r="BA51" s="363">
        <v>8.6017282157839006E-2</v>
      </c>
      <c r="BB51" s="363">
        <v>8.5966043412851897E-2</v>
      </c>
      <c r="BC51" s="363">
        <v>89.827027543271498</v>
      </c>
      <c r="BD51" s="363">
        <v>89.528854403700507</v>
      </c>
      <c r="BE51" s="363">
        <v>11.012100769412299</v>
      </c>
      <c r="BF51" s="363">
        <v>10.975040927756799</v>
      </c>
      <c r="BG51" s="363">
        <v>0.41107762451966201</v>
      </c>
      <c r="BH51" s="363">
        <v>0.41244200034370199</v>
      </c>
      <c r="BI51" s="559" t="s">
        <v>568</v>
      </c>
      <c r="BJ51" s="606">
        <v>136.33441836686899</v>
      </c>
      <c r="BK51" s="606">
        <v>136.092996881202</v>
      </c>
      <c r="BL51" s="606">
        <v>9.22722029988466E-3</v>
      </c>
      <c r="BM51" s="606">
        <v>9.22722029988466E-3</v>
      </c>
      <c r="BN51" s="606">
        <v>158.13035780940601</v>
      </c>
      <c r="BO51" s="606">
        <v>157.66653527788699</v>
      </c>
      <c r="BP51" s="606">
        <v>3.4842833561882101</v>
      </c>
      <c r="BQ51" s="606">
        <v>3.4853325588149899</v>
      </c>
      <c r="BR51" s="606">
        <v>32.671143740522503</v>
      </c>
      <c r="BS51" s="606">
        <v>32.671730784938298</v>
      </c>
      <c r="BT51" s="606">
        <v>120</v>
      </c>
      <c r="BU51" s="606">
        <v>120</v>
      </c>
      <c r="BV51" s="606">
        <v>153.08159620054201</v>
      </c>
      <c r="BW51" s="606">
        <v>152.153997870578</v>
      </c>
    </row>
    <row r="52" spans="1:75" s="1733" customFormat="1" ht="10.7" customHeight="1">
      <c r="A52" s="562" t="s">
        <v>561</v>
      </c>
      <c r="B52" s="605">
        <v>76.081546944185504</v>
      </c>
      <c r="C52" s="605">
        <v>74.651982639446999</v>
      </c>
      <c r="D52" s="605">
        <v>120</v>
      </c>
      <c r="E52" s="605">
        <v>120</v>
      </c>
      <c r="F52" s="605">
        <v>318.13052965008302</v>
      </c>
      <c r="G52" s="605">
        <v>318.09145129224697</v>
      </c>
      <c r="H52" s="605">
        <v>84.261948838928205</v>
      </c>
      <c r="I52" s="605">
        <v>83.594566353187005</v>
      </c>
      <c r="J52" s="605">
        <v>16.693091579266301</v>
      </c>
      <c r="K52" s="605">
        <v>16.693561849646599</v>
      </c>
      <c r="L52" s="605">
        <v>16.853946982387399</v>
      </c>
      <c r="M52" s="605">
        <v>16.745626949295598</v>
      </c>
      <c r="N52" s="605">
        <v>125.71177613752501</v>
      </c>
      <c r="O52" s="605">
        <v>124.889999711746</v>
      </c>
      <c r="P52" s="562" t="s">
        <v>561</v>
      </c>
      <c r="Q52" s="377">
        <v>15.4355348699365</v>
      </c>
      <c r="R52" s="377">
        <v>15.451174289246</v>
      </c>
      <c r="S52" s="377">
        <v>1.4131540556825299</v>
      </c>
      <c r="T52" s="377">
        <v>1.4034841494008901</v>
      </c>
      <c r="U52" s="377">
        <v>7.4804528785265998E-3</v>
      </c>
      <c r="V52" s="377">
        <v>7.4360960495739696E-3</v>
      </c>
      <c r="W52" s="377">
        <v>2.85684698768427E-3</v>
      </c>
      <c r="X52" s="377">
        <v>2.8569727992381398E-3</v>
      </c>
      <c r="Y52" s="377">
        <v>0.78151948954206196</v>
      </c>
      <c r="Z52" s="377">
        <v>0.76508655041601603</v>
      </c>
      <c r="AA52" s="377">
        <v>389.94611230972299</v>
      </c>
      <c r="AB52" s="377">
        <v>389.61038961038997</v>
      </c>
      <c r="AC52" s="377">
        <v>26.9074050708671</v>
      </c>
      <c r="AD52" s="377">
        <v>26.8456375838926</v>
      </c>
      <c r="AE52" s="562" t="s">
        <v>561</v>
      </c>
      <c r="AF52" s="377">
        <v>5.7142857142857099E-2</v>
      </c>
      <c r="AG52" s="377">
        <v>5.7142857142857099E-2</v>
      </c>
      <c r="AH52" s="377">
        <v>0.99306093622990699</v>
      </c>
      <c r="AI52" s="377">
        <v>0.98808533763699402</v>
      </c>
      <c r="AJ52" s="377">
        <v>69.023994736024093</v>
      </c>
      <c r="AK52" s="377">
        <v>67.673999468037906</v>
      </c>
      <c r="AL52" s="377">
        <v>10.699012025547299</v>
      </c>
      <c r="AM52" s="377">
        <v>10.5936879276098</v>
      </c>
      <c r="AN52" s="377">
        <v>311.68681577597903</v>
      </c>
      <c r="AO52" s="377">
        <v>311.68831168831201</v>
      </c>
      <c r="AP52" s="377">
        <v>0.43139488643833801</v>
      </c>
      <c r="AQ52" s="377">
        <v>0.43111190946649902</v>
      </c>
      <c r="AR52" s="377">
        <v>2.0547640162456302</v>
      </c>
      <c r="AS52" s="377">
        <v>2.0750475531730901</v>
      </c>
      <c r="AT52" s="562" t="s">
        <v>561</v>
      </c>
      <c r="AU52" s="447">
        <v>32.916944363669998</v>
      </c>
      <c r="AV52" s="377">
        <v>32.9172952955699</v>
      </c>
      <c r="AW52" s="377">
        <v>1.1575102093701499</v>
      </c>
      <c r="AX52" s="377">
        <v>1.1347517730496499</v>
      </c>
      <c r="AY52" s="377">
        <v>31.942349631606</v>
      </c>
      <c r="AZ52" s="377">
        <v>31.953135401411298</v>
      </c>
      <c r="BA52" s="377">
        <v>8.34684712690444E-2</v>
      </c>
      <c r="BB52" s="377">
        <v>8.1430461778577004E-2</v>
      </c>
      <c r="BC52" s="377">
        <v>88.880180543925405</v>
      </c>
      <c r="BD52" s="377">
        <v>88.232050292268696</v>
      </c>
      <c r="BE52" s="377">
        <v>10.9160887479092</v>
      </c>
      <c r="BF52" s="377">
        <v>10.8917136750003</v>
      </c>
      <c r="BG52" s="377">
        <v>0.41132143248157599</v>
      </c>
      <c r="BH52" s="377">
        <v>0.41032655154727299</v>
      </c>
      <c r="BI52" s="562" t="s">
        <v>561</v>
      </c>
      <c r="BJ52" s="605">
        <v>134.70471290203599</v>
      </c>
      <c r="BK52" s="605">
        <v>132.765392487692</v>
      </c>
      <c r="BL52" s="605">
        <v>9.22722029988466E-3</v>
      </c>
      <c r="BM52" s="605">
        <v>9.22722029988466E-3</v>
      </c>
      <c r="BN52" s="605">
        <v>157.19083157398899</v>
      </c>
      <c r="BO52" s="605">
        <v>156.49452269170601</v>
      </c>
      <c r="BP52" s="605">
        <v>3.51101039027697</v>
      </c>
      <c r="BQ52" s="605">
        <v>3.5010940919037199</v>
      </c>
      <c r="BR52" s="605">
        <v>32.670841281786601</v>
      </c>
      <c r="BS52" s="605">
        <v>32.670841274162797</v>
      </c>
      <c r="BT52" s="605">
        <v>120</v>
      </c>
      <c r="BU52" s="605">
        <v>120</v>
      </c>
      <c r="BV52" s="605">
        <v>151.79377527937399</v>
      </c>
      <c r="BW52" s="605">
        <v>150.62399904397699</v>
      </c>
    </row>
    <row r="53" spans="1:75" s="1756" customFormat="1" ht="10.7" customHeight="1">
      <c r="A53" s="559" t="s">
        <v>569</v>
      </c>
      <c r="B53" s="606">
        <v>75.928300564742003</v>
      </c>
      <c r="C53" s="606">
        <v>76.024295594961103</v>
      </c>
      <c r="D53" s="606">
        <v>121.92592592592599</v>
      </c>
      <c r="E53" s="606">
        <v>122</v>
      </c>
      <c r="F53" s="606">
        <v>323.41413211892399</v>
      </c>
      <c r="G53" s="606">
        <v>323.607427055703</v>
      </c>
      <c r="H53" s="606">
        <v>84.758451714869693</v>
      </c>
      <c r="I53" s="606">
        <v>84.607649363708902</v>
      </c>
      <c r="J53" s="606">
        <v>16.9777013163656</v>
      </c>
      <c r="K53" s="606">
        <v>17.015816340762601</v>
      </c>
      <c r="L53" s="606">
        <v>16.925244722490898</v>
      </c>
      <c r="M53" s="606">
        <v>17.037916346623799</v>
      </c>
      <c r="N53" s="606">
        <v>126.27576889928299</v>
      </c>
      <c r="O53" s="606">
        <v>127.13009970730801</v>
      </c>
      <c r="P53" s="559" t="s">
        <v>569</v>
      </c>
      <c r="Q53" s="363">
        <v>15.6654311579058</v>
      </c>
      <c r="R53" s="363">
        <v>15.656883253551699</v>
      </c>
      <c r="S53" s="363">
        <v>1.41440530809868</v>
      </c>
      <c r="T53" s="363">
        <v>1.40812557710065</v>
      </c>
      <c r="U53" s="363">
        <v>7.5051326352812003E-3</v>
      </c>
      <c r="V53" s="363">
        <v>7.5081543479598696E-3</v>
      </c>
      <c r="W53" s="363">
        <v>2.9026975406893601E-3</v>
      </c>
      <c r="X53" s="363">
        <v>2.9045890125587799E-3</v>
      </c>
      <c r="Y53" s="363">
        <v>0.77809729978810804</v>
      </c>
      <c r="Z53" s="363">
        <v>0.78595587051054905</v>
      </c>
      <c r="AA53" s="363">
        <v>395.36187279014399</v>
      </c>
      <c r="AB53" s="363">
        <v>395.65428895735403</v>
      </c>
      <c r="AC53" s="363">
        <v>27.299359297185401</v>
      </c>
      <c r="AD53" s="363">
        <v>27.771454586842701</v>
      </c>
      <c r="AE53" s="559" t="s">
        <v>569</v>
      </c>
      <c r="AF53" s="363">
        <v>5.80599647266314E-2</v>
      </c>
      <c r="AG53" s="363">
        <v>5.8095238095238103E-2</v>
      </c>
      <c r="AH53" s="363">
        <v>1.0019123435106501</v>
      </c>
      <c r="AI53" s="363">
        <v>1.0060171369247</v>
      </c>
      <c r="AJ53" s="363">
        <v>68.630551655448897</v>
      </c>
      <c r="AK53" s="363">
        <v>69.033699460987904</v>
      </c>
      <c r="AL53" s="363">
        <v>10.748671443048099</v>
      </c>
      <c r="AM53" s="363">
        <v>10.806023029229401</v>
      </c>
      <c r="AN53" s="363">
        <v>316.70901314253501</v>
      </c>
      <c r="AO53" s="363">
        <v>316.883116883117</v>
      </c>
      <c r="AP53" s="363">
        <v>0.43756655401266198</v>
      </c>
      <c r="AQ53" s="363">
        <v>0.43751120674197602</v>
      </c>
      <c r="AR53" s="363">
        <v>2.0876804809355298</v>
      </c>
      <c r="AS53" s="363">
        <v>2.0897567660157601</v>
      </c>
      <c r="AT53" s="559" t="s">
        <v>569</v>
      </c>
      <c r="AU53" s="558">
        <v>33.443488486644597</v>
      </c>
      <c r="AV53" s="363">
        <v>33.463163091776799</v>
      </c>
      <c r="AW53" s="363">
        <v>1.1828411241058401</v>
      </c>
      <c r="AX53" s="363">
        <v>1.2409724341369099</v>
      </c>
      <c r="AY53" s="363">
        <v>32.4857153498887</v>
      </c>
      <c r="AZ53" s="363">
        <v>32.5272615778388</v>
      </c>
      <c r="BA53" s="363">
        <v>8.3885532280718503E-2</v>
      </c>
      <c r="BB53" s="363">
        <v>8.46237883018017E-2</v>
      </c>
      <c r="BC53" s="363">
        <v>89.560997014799199</v>
      </c>
      <c r="BD53" s="363">
        <v>90.403853278992202</v>
      </c>
      <c r="BE53" s="363">
        <v>10.9999808560773</v>
      </c>
      <c r="BF53" s="363">
        <v>11.100849396959999</v>
      </c>
      <c r="BG53" s="363">
        <v>0.41201960117089897</v>
      </c>
      <c r="BH53" s="363">
        <v>0.41164065795023203</v>
      </c>
      <c r="BI53" s="559" t="s">
        <v>569</v>
      </c>
      <c r="BJ53" s="606">
        <v>134.10026975887399</v>
      </c>
      <c r="BK53" s="606">
        <v>134.531620444395</v>
      </c>
      <c r="BL53" s="606">
        <v>9.3753114898828104E-3</v>
      </c>
      <c r="BM53" s="606">
        <v>9.3810073048827408E-3</v>
      </c>
      <c r="BN53" s="606">
        <v>158.63477034598401</v>
      </c>
      <c r="BO53" s="606">
        <v>158.44155844155799</v>
      </c>
      <c r="BP53" s="606">
        <v>3.55801195345349</v>
      </c>
      <c r="BQ53" s="606">
        <v>3.6142793660198498</v>
      </c>
      <c r="BR53" s="606">
        <v>33.195288608070499</v>
      </c>
      <c r="BS53" s="606">
        <v>33.216259631353999</v>
      </c>
      <c r="BT53" s="606">
        <v>121.92592592592599</v>
      </c>
      <c r="BU53" s="606">
        <v>122</v>
      </c>
      <c r="BV53" s="606">
        <v>150.77746961059</v>
      </c>
      <c r="BW53" s="606">
        <v>151.90828015901701</v>
      </c>
    </row>
    <row r="54" spans="1:75" s="1787" customFormat="1" ht="10.7" customHeight="1" thickBot="1">
      <c r="A54" s="1703" t="s">
        <v>570</v>
      </c>
      <c r="B54" s="1768">
        <v>76.899644782234503</v>
      </c>
      <c r="C54" s="1768">
        <v>76.939299516372003</v>
      </c>
      <c r="D54" s="1768">
        <v>122</v>
      </c>
      <c r="E54" s="1768">
        <v>122</v>
      </c>
      <c r="F54" s="1768">
        <v>323.662880628133</v>
      </c>
      <c r="G54" s="1768">
        <v>323.69328734412301</v>
      </c>
      <c r="H54" s="1768">
        <v>85.330878627184504</v>
      </c>
      <c r="I54" s="1768">
        <v>85.091543156059302</v>
      </c>
      <c r="J54" s="1768">
        <v>17.013127733911102</v>
      </c>
      <c r="K54" s="1768">
        <v>17.005854474491201</v>
      </c>
      <c r="L54" s="1768">
        <v>17.034209978134701</v>
      </c>
      <c r="M54" s="1768">
        <v>17.149885784572099</v>
      </c>
      <c r="N54" s="1768">
        <v>127.06960638426</v>
      </c>
      <c r="O54" s="1768">
        <v>127.910897381849</v>
      </c>
      <c r="P54" s="1703" t="s">
        <v>570</v>
      </c>
      <c r="Q54" s="1793">
        <v>15.674957702059301</v>
      </c>
      <c r="R54" s="1793">
        <v>15.693235829458301</v>
      </c>
      <c r="S54" s="1793">
        <v>1.4027674136913699</v>
      </c>
      <c r="T54" s="1793">
        <v>1.4000378698768099</v>
      </c>
      <c r="U54" s="1793">
        <v>7.4655968286859798E-3</v>
      </c>
      <c r="V54" s="1793">
        <v>7.4197962596928698E-3</v>
      </c>
      <c r="W54" s="1793">
        <v>2.9044451155940398E-3</v>
      </c>
      <c r="X54" s="1793">
        <v>2.9045890125587799E-3</v>
      </c>
      <c r="Y54" s="1793">
        <v>0.802849584712644</v>
      </c>
      <c r="Z54" s="1793">
        <v>0.81829767254678398</v>
      </c>
      <c r="AA54" s="1793">
        <v>395.28320430438902</v>
      </c>
      <c r="AB54" s="1793">
        <v>395.52601718268801</v>
      </c>
      <c r="AC54" s="1793">
        <v>27.460285981932302</v>
      </c>
      <c r="AD54" s="1793">
        <v>27.443482172983899</v>
      </c>
      <c r="AE54" s="1703" t="s">
        <v>570</v>
      </c>
      <c r="AF54" s="1793">
        <v>5.8095238095238103E-2</v>
      </c>
      <c r="AG54" s="1793">
        <v>5.8095238095238103E-2</v>
      </c>
      <c r="AH54" s="1793">
        <v>1.0071984045397</v>
      </c>
      <c r="AI54" s="1793">
        <v>1.01194845698597</v>
      </c>
      <c r="AJ54" s="1793">
        <v>69.372501549491304</v>
      </c>
      <c r="AK54" s="1793">
        <v>69.485095180405594</v>
      </c>
      <c r="AL54" s="1793">
        <v>10.897059586212601</v>
      </c>
      <c r="AM54" s="1793">
        <v>10.9422928588085</v>
      </c>
      <c r="AN54" s="1793">
        <v>316.883116883117</v>
      </c>
      <c r="AO54" s="1793">
        <v>316.883116883117</v>
      </c>
      <c r="AP54" s="1793">
        <v>0.43688642743010597</v>
      </c>
      <c r="AQ54" s="1793">
        <v>0.43590888789638199</v>
      </c>
      <c r="AR54" s="1793">
        <v>2.1001273903128901</v>
      </c>
      <c r="AS54" s="1793">
        <v>2.1065354398687699</v>
      </c>
      <c r="AT54" s="1703" t="s">
        <v>570</v>
      </c>
      <c r="AU54" s="1794">
        <v>33.466223321924303</v>
      </c>
      <c r="AV54" s="1793">
        <v>33.475099464947199</v>
      </c>
      <c r="AW54" s="1793">
        <v>1.31199133261596</v>
      </c>
      <c r="AX54" s="1793">
        <v>1.40512525194356</v>
      </c>
      <c r="AY54" s="1793">
        <v>32.529755286378297</v>
      </c>
      <c r="AZ54" s="1793">
        <v>32.530730874863302</v>
      </c>
      <c r="BA54" s="1793">
        <v>8.4387771730699904E-2</v>
      </c>
      <c r="BB54" s="1793">
        <v>8.4610583258201005E-2</v>
      </c>
      <c r="BC54" s="1793">
        <v>90.587270271411995</v>
      </c>
      <c r="BD54" s="1793">
        <v>91.1331889146186</v>
      </c>
      <c r="BE54" s="1793">
        <v>11.273753151074599</v>
      </c>
      <c r="BF54" s="1793">
        <v>11.4291067497307</v>
      </c>
      <c r="BG54" s="1793">
        <v>0.411018906805035</v>
      </c>
      <c r="BH54" s="1793">
        <v>0.41296437336041297</v>
      </c>
      <c r="BI54" s="1703" t="s">
        <v>570</v>
      </c>
      <c r="BJ54" s="1768">
        <v>134.93847311484399</v>
      </c>
      <c r="BK54" s="1768">
        <v>136.35093601564699</v>
      </c>
      <c r="BL54" s="1768">
        <v>9.3810073048827408E-3</v>
      </c>
      <c r="BM54" s="1768">
        <v>9.3810073048827408E-3</v>
      </c>
      <c r="BN54" s="1768">
        <v>159.56087739124601</v>
      </c>
      <c r="BO54" s="1768">
        <v>159.70676790155801</v>
      </c>
      <c r="BP54" s="1768">
        <v>3.6106655508998702</v>
      </c>
      <c r="BQ54" s="1768">
        <v>3.5998819710829202</v>
      </c>
      <c r="BR54" s="1768">
        <v>33.215732134364998</v>
      </c>
      <c r="BS54" s="1768">
        <v>33.217164016554101</v>
      </c>
      <c r="BT54" s="1768">
        <v>122</v>
      </c>
      <c r="BU54" s="1768">
        <v>122</v>
      </c>
      <c r="BV54" s="1768">
        <v>152.874130218658</v>
      </c>
      <c r="BW54" s="1768">
        <v>154.61669783406299</v>
      </c>
    </row>
    <row r="55" spans="1:75" s="63" customFormat="1" ht="10.5" customHeight="1">
      <c r="A55" s="607" t="s">
        <v>383</v>
      </c>
      <c r="B55" s="608" t="s">
        <v>1556</v>
      </c>
      <c r="C55" s="32"/>
      <c r="D55" s="32"/>
      <c r="E55" s="32"/>
      <c r="F55" s="32"/>
      <c r="G55" s="32"/>
      <c r="H55" s="609" t="s">
        <v>382</v>
      </c>
      <c r="I55" s="2445" t="s">
        <v>1260</v>
      </c>
      <c r="J55" s="2445"/>
      <c r="K55" s="2445"/>
      <c r="L55" s="2445"/>
      <c r="M55" s="2445"/>
      <c r="N55" s="6"/>
      <c r="O55" s="6"/>
      <c r="P55" s="610"/>
      <c r="Q55" s="32"/>
      <c r="R55" s="32"/>
      <c r="S55" s="32"/>
      <c r="T55" s="32"/>
      <c r="U55" s="32"/>
      <c r="V55" s="32"/>
      <c r="AE55" s="610" t="s">
        <v>705</v>
      </c>
      <c r="AF55" s="2445" t="s">
        <v>1308</v>
      </c>
      <c r="AG55" s="2445"/>
      <c r="AH55" s="2445"/>
      <c r="AI55" s="2445"/>
      <c r="AJ55" s="2445"/>
      <c r="AK55" s="2445"/>
      <c r="AT55" s="1521"/>
      <c r="AU55" s="32"/>
      <c r="AV55" s="32"/>
      <c r="AW55" s="32"/>
      <c r="AX55" s="32"/>
      <c r="AY55" s="32"/>
      <c r="AZ55" s="32"/>
      <c r="BI55" s="610"/>
      <c r="BJ55" s="611"/>
      <c r="BK55" s="611"/>
      <c r="BL55" s="611"/>
      <c r="BM55" s="611"/>
      <c r="BN55" s="611"/>
      <c r="BO55" s="611"/>
      <c r="BP55" s="611"/>
      <c r="BQ55" s="611"/>
      <c r="BR55" s="611"/>
      <c r="BS55" s="611"/>
      <c r="BT55" s="611"/>
      <c r="BU55" s="611"/>
      <c r="BV55" s="611"/>
      <c r="BW55" s="611"/>
    </row>
    <row r="56" spans="1:75"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149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149"/>
      <c r="AF56" s="160"/>
      <c r="AG56" s="160"/>
      <c r="AH56" s="160"/>
      <c r="AI56" s="160"/>
      <c r="AJ56" s="160"/>
      <c r="AK56" s="160"/>
      <c r="AL56" s="160"/>
      <c r="AM56" s="160"/>
      <c r="AN56" s="160"/>
      <c r="AO56" s="160"/>
      <c r="AP56" s="160"/>
      <c r="AQ56" s="160"/>
      <c r="AR56" s="160"/>
      <c r="AS56" s="160"/>
      <c r="AT56" s="1149"/>
      <c r="AU56" s="160"/>
      <c r="AV56" s="160"/>
      <c r="AW56" s="160"/>
      <c r="AX56" s="160"/>
      <c r="AY56" s="160"/>
      <c r="AZ56" s="160"/>
      <c r="BA56" s="160"/>
      <c r="BB56" s="160"/>
      <c r="BC56" s="160"/>
      <c r="BD56" s="160"/>
      <c r="BE56" s="160"/>
      <c r="BF56" s="160"/>
      <c r="BG56" s="160"/>
      <c r="BH56" s="160"/>
      <c r="BI56" s="1149"/>
      <c r="BJ56" s="160"/>
      <c r="BK56" s="160"/>
      <c r="BL56" s="160"/>
      <c r="BM56" s="160"/>
      <c r="BN56" s="160"/>
      <c r="BO56" s="160"/>
      <c r="BP56" s="160"/>
      <c r="BQ56" s="160"/>
      <c r="BR56" s="160"/>
      <c r="BS56" s="160"/>
    </row>
    <row r="57" spans="1:75"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149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149"/>
      <c r="AF57" s="160"/>
      <c r="AG57" s="160"/>
      <c r="AH57" s="160"/>
      <c r="AI57" s="160"/>
      <c r="AJ57" s="160"/>
      <c r="AK57" s="160"/>
      <c r="AL57" s="160"/>
      <c r="AM57" s="160"/>
      <c r="AN57" s="160"/>
      <c r="AO57" s="160"/>
      <c r="AP57" s="160"/>
      <c r="AQ57" s="160"/>
      <c r="AR57" s="160"/>
      <c r="AS57" s="160"/>
      <c r="AT57" s="1149"/>
      <c r="AU57" s="1149"/>
      <c r="AV57" s="1149"/>
      <c r="AW57" s="160"/>
      <c r="AX57" s="160"/>
      <c r="AY57" s="160"/>
      <c r="AZ57" s="160"/>
      <c r="BA57" s="160"/>
      <c r="BB57" s="160"/>
      <c r="BC57" s="160"/>
      <c r="BD57" s="160"/>
      <c r="BE57" s="160"/>
      <c r="BF57" s="160"/>
      <c r="BG57" s="160"/>
      <c r="BH57" s="160"/>
      <c r="BJ57" s="160"/>
      <c r="BK57" s="160"/>
      <c r="BL57" s="160"/>
      <c r="BM57" s="160"/>
      <c r="BN57" s="160"/>
      <c r="BO57" s="160"/>
      <c r="BP57" s="160"/>
      <c r="BQ57" s="160"/>
      <c r="BR57" s="160"/>
      <c r="BS57" s="160"/>
      <c r="BT57" s="160"/>
      <c r="BU57" s="160"/>
      <c r="BV57" s="160"/>
      <c r="BW57" s="160"/>
    </row>
    <row r="58" spans="1:75"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149"/>
      <c r="Q58" s="1149"/>
      <c r="R58" s="1149"/>
      <c r="S58" s="1149"/>
      <c r="T58" s="1149"/>
      <c r="U58" s="1149"/>
      <c r="V58" s="1149"/>
      <c r="W58" s="1149"/>
      <c r="X58" s="1149"/>
      <c r="Y58" s="1149"/>
      <c r="Z58" s="1149"/>
      <c r="AA58" s="1149"/>
      <c r="AB58" s="1149"/>
      <c r="AC58" s="1149"/>
      <c r="AD58" s="160"/>
      <c r="AE58" s="1149"/>
      <c r="AF58" s="1149"/>
      <c r="AG58" s="1149"/>
      <c r="AH58" s="1149"/>
      <c r="AI58" s="1149"/>
      <c r="AJ58" s="1149"/>
      <c r="AK58" s="1149"/>
      <c r="AL58" s="1149"/>
      <c r="AM58" s="1149"/>
      <c r="AN58" s="1149"/>
      <c r="AO58" s="1149"/>
      <c r="AP58" s="1149"/>
      <c r="AQ58" s="1149"/>
      <c r="AR58" s="1149"/>
      <c r="AS58" s="1149"/>
      <c r="AT58" s="1149"/>
      <c r="AU58" s="1149"/>
      <c r="AV58" s="1149"/>
      <c r="AW58" s="160"/>
      <c r="AX58" s="1149"/>
      <c r="AY58" s="1149"/>
      <c r="AZ58" s="1149"/>
      <c r="BA58" s="1149"/>
      <c r="BB58" s="1149"/>
      <c r="BC58" s="1149"/>
      <c r="BD58" s="1149"/>
      <c r="BE58" s="1149"/>
      <c r="BF58" s="1149"/>
      <c r="BG58" s="1149"/>
      <c r="BH58" s="1149"/>
      <c r="BI58" s="1149"/>
      <c r="BJ58" s="160"/>
      <c r="BK58" s="160"/>
      <c r="BL58" s="160"/>
      <c r="BM58" s="160"/>
      <c r="BN58" s="160"/>
      <c r="BO58" s="160"/>
      <c r="BP58" s="160"/>
      <c r="BQ58" s="160"/>
      <c r="BR58" s="160"/>
      <c r="BS58" s="160"/>
      <c r="BT58" s="160"/>
      <c r="BU58" s="160"/>
    </row>
    <row r="59" spans="1:75"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149"/>
      <c r="Q59" s="1149"/>
      <c r="R59" s="1149"/>
      <c r="S59" s="1149"/>
      <c r="T59" s="1149"/>
      <c r="U59" s="1149"/>
      <c r="V59" s="1149"/>
      <c r="W59" s="1149"/>
      <c r="X59" s="1149"/>
      <c r="Y59" s="1149"/>
      <c r="Z59" s="1149"/>
      <c r="AA59" s="1149"/>
      <c r="AB59" s="1149"/>
      <c r="AC59" s="1149"/>
      <c r="AD59" s="160"/>
      <c r="AE59" s="1149"/>
      <c r="AF59" s="1149"/>
      <c r="AG59" s="1149"/>
      <c r="AH59" s="1149"/>
      <c r="AI59" s="1149"/>
      <c r="AJ59" s="1149"/>
      <c r="AK59" s="1149"/>
      <c r="AL59" s="1149"/>
      <c r="AM59" s="1149"/>
      <c r="AN59" s="1149"/>
      <c r="AO59" s="1149"/>
      <c r="AP59" s="1149"/>
      <c r="AQ59" s="1149"/>
      <c r="AR59" s="1149"/>
      <c r="AS59" s="1149"/>
      <c r="AT59" s="1149"/>
      <c r="AU59" s="1149"/>
      <c r="AV59" s="1149"/>
      <c r="AW59" s="1149"/>
      <c r="AX59" s="1149"/>
      <c r="AY59" s="1149"/>
      <c r="AZ59" s="1149"/>
      <c r="BA59" s="1149"/>
      <c r="BB59" s="1149"/>
      <c r="BC59" s="1149"/>
      <c r="BD59" s="1149"/>
      <c r="BE59" s="1149"/>
      <c r="BF59" s="1149"/>
      <c r="BG59" s="1149"/>
      <c r="BH59" s="1149"/>
      <c r="BI59" s="1149"/>
      <c r="BJ59" s="160"/>
      <c r="BK59" s="160"/>
      <c r="BL59" s="160"/>
      <c r="BM59" s="160"/>
      <c r="BN59" s="160"/>
      <c r="BO59" s="160"/>
      <c r="BP59" s="160"/>
      <c r="BQ59" s="160"/>
      <c r="BR59" s="160"/>
      <c r="BS59" s="160"/>
      <c r="BT59" s="160"/>
      <c r="BU59" s="160"/>
    </row>
    <row r="60" spans="1:75"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149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149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149"/>
      <c r="AU60" s="160"/>
      <c r="AV60" s="160"/>
      <c r="AW60" s="160"/>
      <c r="AX60" s="160"/>
      <c r="AY60" s="160"/>
      <c r="AZ60" s="160"/>
      <c r="BA60" s="160"/>
      <c r="BB60" s="160"/>
      <c r="BC60" s="160"/>
      <c r="BD60" s="160"/>
      <c r="BE60" s="160"/>
      <c r="BF60" s="160"/>
      <c r="BG60" s="160"/>
      <c r="BH60" s="160"/>
      <c r="BI60" s="1149"/>
      <c r="BJ60" s="160"/>
      <c r="BK60" s="160"/>
      <c r="BL60" s="160"/>
      <c r="BM60" s="160"/>
      <c r="BN60" s="160"/>
      <c r="BO60" s="160"/>
      <c r="BP60" s="160"/>
      <c r="BQ60" s="160"/>
      <c r="BR60" s="160"/>
      <c r="BS60" s="160"/>
      <c r="BT60" s="160"/>
      <c r="BU60" s="160"/>
    </row>
  </sheetData>
  <customSheetViews>
    <customSheetView guid="{A374FC54-96E3-45F0-9C12-8450400C12DF}" scale="160">
      <pane xSplit="1" ySplit="6" topLeftCell="BB41" activePane="bottomRight" state="frozen"/>
      <selection pane="bottomRight" activeCell="BI52" sqref="BI52"/>
      <pageMargins left="0.70866141732283505" right="0.70866141732283505" top="0.74803149606299202" bottom="0.74803149606299202" header="0.31496062992126" footer="0.511811023622047"/>
      <pageSetup paperSize="132" firstPageNumber="86" orientation="portrait" useFirstPageNumber="1" r:id="rId1"/>
      <headerFooter>
        <oddFooter>&amp;C&amp;"Times New Roman,Regular"&amp;8&amp;P</oddFooter>
      </headerFooter>
    </customSheetView>
  </customSheetViews>
  <mergeCells count="123">
    <mergeCell ref="I55:M55"/>
    <mergeCell ref="AF55:AK55"/>
    <mergeCell ref="C4:C5"/>
    <mergeCell ref="D4:D5"/>
    <mergeCell ref="E4:E5"/>
    <mergeCell ref="BU1:BW1"/>
    <mergeCell ref="AC2:AD2"/>
    <mergeCell ref="A3:A6"/>
    <mergeCell ref="B3:C3"/>
    <mergeCell ref="D3:E3"/>
    <mergeCell ref="F3:G3"/>
    <mergeCell ref="H3:I3"/>
    <mergeCell ref="F1:G1"/>
    <mergeCell ref="M1:O1"/>
    <mergeCell ref="U1:V1"/>
    <mergeCell ref="AB1:AD1"/>
    <mergeCell ref="AJ1:AK1"/>
    <mergeCell ref="AQ1:AS1"/>
    <mergeCell ref="J3:K3"/>
    <mergeCell ref="L3:M3"/>
    <mergeCell ref="N3:O3"/>
    <mergeCell ref="P3:P6"/>
    <mergeCell ref="Q3:R3"/>
    <mergeCell ref="BT3:BU3"/>
    <mergeCell ref="BV3:BW3"/>
    <mergeCell ref="B4:B5"/>
    <mergeCell ref="AY1:AZ1"/>
    <mergeCell ref="BF1:BH1"/>
    <mergeCell ref="BN1:BO1"/>
    <mergeCell ref="AR4:AR5"/>
    <mergeCell ref="AS4:AS5"/>
    <mergeCell ref="AU4:AU5"/>
    <mergeCell ref="AR3:AS3"/>
    <mergeCell ref="AT3:AT6"/>
    <mergeCell ref="AF3:AG3"/>
    <mergeCell ref="AH3:AI3"/>
    <mergeCell ref="AJ3:AK3"/>
    <mergeCell ref="AL3:AM3"/>
    <mergeCell ref="AN3:AO3"/>
    <mergeCell ref="AP3:AQ3"/>
    <mergeCell ref="AF4:AF5"/>
    <mergeCell ref="AG4:AG5"/>
    <mergeCell ref="AH4:AH5"/>
    <mergeCell ref="AP4:AP5"/>
    <mergeCell ref="AQ4:AQ5"/>
    <mergeCell ref="AL4:AL5"/>
    <mergeCell ref="AM4:AM5"/>
    <mergeCell ref="AN4:AN5"/>
    <mergeCell ref="AW3:AX3"/>
    <mergeCell ref="AY3:AZ3"/>
    <mergeCell ref="BA4:BA5"/>
    <mergeCell ref="BB4:BB5"/>
    <mergeCell ref="F4:F5"/>
    <mergeCell ref="G4:G5"/>
    <mergeCell ref="H4:H5"/>
    <mergeCell ref="J4:J5"/>
    <mergeCell ref="K4:K5"/>
    <mergeCell ref="L4:L5"/>
    <mergeCell ref="U3:V3"/>
    <mergeCell ref="W3:X3"/>
    <mergeCell ref="Y3:Z3"/>
    <mergeCell ref="U4:U5"/>
    <mergeCell ref="I4:I5"/>
    <mergeCell ref="S3:T3"/>
    <mergeCell ref="M4:M5"/>
    <mergeCell ref="N4:N5"/>
    <mergeCell ref="R4:R5"/>
    <mergeCell ref="S4:S5"/>
    <mergeCell ref="O4:O5"/>
    <mergeCell ref="Y4:Y5"/>
    <mergeCell ref="Z4:Z5"/>
    <mergeCell ref="Q4:Q5"/>
    <mergeCell ref="BL3:BM3"/>
    <mergeCell ref="BN3:BO3"/>
    <mergeCell ref="BG3:BH3"/>
    <mergeCell ref="BI3:BI6"/>
    <mergeCell ref="BJ3:BK3"/>
    <mergeCell ref="AK4:AK5"/>
    <mergeCell ref="AZ4:AZ5"/>
    <mergeCell ref="BP3:BQ3"/>
    <mergeCell ref="BR3:BS3"/>
    <mergeCell ref="AW4:AW5"/>
    <mergeCell ref="AX4:AX5"/>
    <mergeCell ref="AY4:AY5"/>
    <mergeCell ref="BA3:BB3"/>
    <mergeCell ref="AV4:AV5"/>
    <mergeCell ref="BC4:BC5"/>
    <mergeCell ref="BD4:BD5"/>
    <mergeCell ref="BE4:BE5"/>
    <mergeCell ref="BF4:BF5"/>
    <mergeCell ref="BG4:BG5"/>
    <mergeCell ref="BH4:BH5"/>
    <mergeCell ref="BJ4:BJ5"/>
    <mergeCell ref="BC3:BD3"/>
    <mergeCell ref="BE3:BF3"/>
    <mergeCell ref="AU3:AV3"/>
    <mergeCell ref="BW4:BW5"/>
    <mergeCell ref="BQ4:BQ5"/>
    <mergeCell ref="BR4:BR5"/>
    <mergeCell ref="BS4:BS5"/>
    <mergeCell ref="BT4:BT5"/>
    <mergeCell ref="BU4:BU5"/>
    <mergeCell ref="BV4:BV5"/>
    <mergeCell ref="BK4:BK5"/>
    <mergeCell ref="BL4:BL5"/>
    <mergeCell ref="BM4:BM5"/>
    <mergeCell ref="BN4:BN5"/>
    <mergeCell ref="BO4:BO5"/>
    <mergeCell ref="BP4:BP5"/>
    <mergeCell ref="AO4:AO5"/>
    <mergeCell ref="T4:T5"/>
    <mergeCell ref="V4:V5"/>
    <mergeCell ref="W4:W5"/>
    <mergeCell ref="AC3:AD3"/>
    <mergeCell ref="AE3:AE6"/>
    <mergeCell ref="AB4:AB5"/>
    <mergeCell ref="AC4:AC5"/>
    <mergeCell ref="AD4:AD5"/>
    <mergeCell ref="AI4:AI5"/>
    <mergeCell ref="AJ4:AJ5"/>
    <mergeCell ref="AA3:AB3"/>
    <mergeCell ref="AA4:AA5"/>
    <mergeCell ref="X4:X5"/>
  </mergeCells>
  <pageMargins left="0.70866141732283505" right="0.70866141732283505" top="0.74803149606299202" bottom="0.74803149606299202" header="0.31496062992126" footer="0.511811023622047"/>
  <pageSetup paperSize="448" firstPageNumber="90" orientation="portrait" useFirstPageNumber="1" r:id="rId2"/>
  <headerFooter>
    <oddFooter>&amp;C&amp;"Times New Roman,Regular"&amp;8&amp;P</oddFooter>
  </headerFooter>
  <ignoredErrors>
    <ignoredError sqref="C33:E33 F33:G33 H33:J33 K33:L33 M33:N33 R33:S33 T33:U33 V33:W33 X33:Y33 Z33 AV33:AY33 AZ33:BA33 BB33:BC33 BD33:BE33 BF33:BG33 BT33:BV33 BR33:BS33 BO33:BQ33 BM33:BN33 BK33:BL33 AQ33:AR33 AI33 AG33 AK33 AM33 AO33" formula="1"/>
  </ignoredErrors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AQ71"/>
  <sheetViews>
    <sheetView zoomScale="130" zoomScaleNormal="130" workbookViewId="0">
      <pane xSplit="1" ySplit="3" topLeftCell="B41" activePane="bottomRight" state="frozen"/>
      <selection activeCell="L47" sqref="L47"/>
      <selection pane="topRight" activeCell="L47" sqref="L47"/>
      <selection pane="bottomLeft" activeCell="L47" sqref="L47"/>
      <selection pane="bottomRight" activeCell="A61" sqref="A61"/>
    </sheetView>
  </sheetViews>
  <sheetFormatPr defaultColWidth="9.140625" defaultRowHeight="11.25"/>
  <cols>
    <col min="1" max="1" width="11.5703125" style="8" customWidth="1"/>
    <col min="2" max="2" width="9.42578125" style="8" customWidth="1"/>
    <col min="3" max="3" width="10.140625" style="8" customWidth="1"/>
    <col min="4" max="4" width="9.140625" style="8" customWidth="1"/>
    <col min="5" max="5" width="8.140625" style="8" customWidth="1"/>
    <col min="6" max="6" width="8.85546875" style="8" customWidth="1"/>
    <col min="7" max="7" width="8.42578125" style="8" customWidth="1"/>
    <col min="8" max="8" width="7.7109375" style="8" customWidth="1"/>
    <col min="9" max="9" width="8.42578125" style="8" customWidth="1"/>
    <col min="10" max="10" width="7.28515625" style="8" customWidth="1"/>
    <col min="11" max="11" width="7.140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42578125" style="8" customWidth="1"/>
    <col min="16" max="17" width="7.28515625" style="8" customWidth="1"/>
    <col min="18" max="19" width="9" style="8" customWidth="1"/>
    <col min="20" max="20" width="8.28515625" style="8" customWidth="1"/>
    <col min="21" max="21" width="8.42578125" style="8" customWidth="1"/>
    <col min="22" max="22" width="8.5703125" style="8" customWidth="1"/>
    <col min="23" max="23" width="8.28515625" style="8" customWidth="1"/>
    <col min="24" max="24" width="8.85546875" style="8" customWidth="1"/>
    <col min="25" max="25" width="8.140625" style="8" customWidth="1"/>
    <col min="26" max="26" width="8.5703125" style="8" customWidth="1"/>
    <col min="27" max="27" width="9" style="8" customWidth="1"/>
    <col min="28" max="28" width="9.140625" style="8" customWidth="1"/>
    <col min="29" max="29" width="8.5703125" style="8" customWidth="1"/>
    <col min="30" max="30" width="9.42578125" style="8" customWidth="1"/>
    <col min="31" max="31" width="9" style="8" customWidth="1"/>
    <col min="32" max="32" width="8.28515625" style="8" customWidth="1"/>
    <col min="33" max="33" width="7.7109375" style="8" customWidth="1"/>
    <col min="34" max="34" width="8.5703125" style="8" customWidth="1"/>
    <col min="35" max="35" width="7.42578125" style="8" customWidth="1"/>
    <col min="36" max="36" width="8.5703125" style="8" customWidth="1"/>
    <col min="37" max="37" width="10" style="8" customWidth="1"/>
    <col min="38" max="38" width="13.28515625" style="8" customWidth="1"/>
    <col min="39" max="39" width="15.42578125" style="8" customWidth="1"/>
    <col min="40" max="40" width="12.7109375" style="8" customWidth="1"/>
    <col min="41" max="42" width="9.140625" style="8"/>
    <col min="43" max="43" width="12.140625" style="8" customWidth="1"/>
    <col min="44" max="16384" width="9.140625" style="8"/>
  </cols>
  <sheetData>
    <row r="1" spans="1:36" s="128" customFormat="1" ht="15" customHeight="1">
      <c r="A1" s="2495" t="s">
        <v>319</v>
      </c>
      <c r="B1" s="2495"/>
      <c r="C1" s="2495"/>
      <c r="D1" s="2495"/>
      <c r="E1" s="2495"/>
      <c r="F1" s="2495"/>
      <c r="G1" s="2495"/>
      <c r="H1" s="2495"/>
      <c r="I1" s="2496" t="s">
        <v>320</v>
      </c>
      <c r="J1" s="2496"/>
      <c r="K1" s="2496"/>
      <c r="L1" s="2496"/>
      <c r="M1" s="2496"/>
      <c r="N1" s="2496"/>
      <c r="O1" s="349"/>
      <c r="P1" s="2494" t="s">
        <v>1116</v>
      </c>
      <c r="Q1" s="2494"/>
      <c r="R1" s="2494"/>
      <c r="S1" s="2495" t="s">
        <v>861</v>
      </c>
      <c r="T1" s="2495"/>
      <c r="U1" s="2495"/>
      <c r="V1" s="2495"/>
      <c r="W1" s="2495"/>
      <c r="X1" s="2495"/>
      <c r="Y1" s="2495"/>
      <c r="Z1" s="2495"/>
      <c r="AA1" s="2495"/>
      <c r="AB1" s="2496" t="s">
        <v>320</v>
      </c>
      <c r="AC1" s="2496"/>
      <c r="AD1" s="2496"/>
      <c r="AE1" s="2496"/>
      <c r="AF1" s="2496"/>
      <c r="AG1" s="349"/>
      <c r="AH1" s="2494" t="s">
        <v>1117</v>
      </c>
      <c r="AI1" s="2494"/>
      <c r="AJ1" s="2494"/>
    </row>
    <row r="2" spans="1:36" s="17" customFormat="1" ht="10.5" customHeight="1">
      <c r="A2" s="42"/>
      <c r="B2" s="42"/>
      <c r="C2" s="42"/>
      <c r="E2" s="119"/>
      <c r="H2" s="67"/>
      <c r="I2" s="961"/>
      <c r="J2" s="67"/>
      <c r="K2" s="67"/>
      <c r="L2" s="67"/>
      <c r="M2" s="67"/>
      <c r="N2" s="67"/>
      <c r="O2" s="42"/>
      <c r="P2" s="42"/>
      <c r="Q2" s="2477" t="s">
        <v>617</v>
      </c>
      <c r="R2" s="2477"/>
      <c r="W2" s="119"/>
      <c r="AI2" s="2477" t="s">
        <v>617</v>
      </c>
      <c r="AJ2" s="2477"/>
    </row>
    <row r="3" spans="1:36" s="86" customFormat="1" ht="39" customHeight="1">
      <c r="A3" s="951" t="s">
        <v>950</v>
      </c>
      <c r="B3" s="951" t="s">
        <v>618</v>
      </c>
      <c r="C3" s="951" t="s">
        <v>379</v>
      </c>
      <c r="D3" s="951" t="s">
        <v>521</v>
      </c>
      <c r="E3" s="951" t="s">
        <v>522</v>
      </c>
      <c r="F3" s="951" t="s">
        <v>845</v>
      </c>
      <c r="G3" s="951" t="s">
        <v>846</v>
      </c>
      <c r="H3" s="951" t="s">
        <v>303</v>
      </c>
      <c r="I3" s="951" t="s">
        <v>847</v>
      </c>
      <c r="J3" s="951" t="s">
        <v>524</v>
      </c>
      <c r="K3" s="951" t="s">
        <v>848</v>
      </c>
      <c r="L3" s="951" t="s">
        <v>242</v>
      </c>
      <c r="M3" s="951" t="s">
        <v>849</v>
      </c>
      <c r="N3" s="951" t="s">
        <v>850</v>
      </c>
      <c r="O3" s="951" t="s">
        <v>851</v>
      </c>
      <c r="P3" s="951" t="s">
        <v>852</v>
      </c>
      <c r="Q3" s="951" t="s">
        <v>527</v>
      </c>
      <c r="R3" s="951" t="s">
        <v>528</v>
      </c>
      <c r="S3" s="951" t="s">
        <v>950</v>
      </c>
      <c r="T3" s="951" t="s">
        <v>529</v>
      </c>
      <c r="U3" s="951" t="s">
        <v>530</v>
      </c>
      <c r="V3" s="951" t="s">
        <v>853</v>
      </c>
      <c r="W3" s="951" t="s">
        <v>532</v>
      </c>
      <c r="X3" s="1049" t="s">
        <v>2023</v>
      </c>
      <c r="Y3" s="951" t="s">
        <v>854</v>
      </c>
      <c r="Z3" s="951" t="s">
        <v>855</v>
      </c>
      <c r="AA3" s="951" t="s">
        <v>380</v>
      </c>
      <c r="AB3" s="951" t="s">
        <v>856</v>
      </c>
      <c r="AC3" s="951" t="s">
        <v>857</v>
      </c>
      <c r="AD3" s="966" t="s">
        <v>858</v>
      </c>
      <c r="AE3" s="1049" t="s">
        <v>2024</v>
      </c>
      <c r="AF3" s="951" t="s">
        <v>620</v>
      </c>
      <c r="AG3" s="951" t="s">
        <v>538</v>
      </c>
      <c r="AH3" s="951" t="s">
        <v>1576</v>
      </c>
      <c r="AI3" s="951" t="s">
        <v>1310</v>
      </c>
      <c r="AJ3" s="951" t="s">
        <v>1309</v>
      </c>
    </row>
    <row r="4" spans="1:36" ht="11.85" customHeight="1">
      <c r="A4" s="9" t="s">
        <v>81</v>
      </c>
      <c r="B4" s="16">
        <v>5.01</v>
      </c>
      <c r="C4" s="16">
        <v>-0.55000000000000004</v>
      </c>
      <c r="D4" s="16">
        <v>-0.01</v>
      </c>
      <c r="E4" s="16">
        <v>9.3800000000000008</v>
      </c>
      <c r="F4" s="16">
        <v>0.6</v>
      </c>
      <c r="G4" s="16">
        <v>-13.47</v>
      </c>
      <c r="H4" s="16">
        <v>-13.43</v>
      </c>
      <c r="I4" s="16">
        <v>-0.44</v>
      </c>
      <c r="J4" s="16">
        <v>3.45</v>
      </c>
      <c r="K4" s="16">
        <v>12.64</v>
      </c>
      <c r="L4" s="16">
        <v>-0.55000000000000004</v>
      </c>
      <c r="M4" s="16">
        <v>8.43</v>
      </c>
      <c r="N4" s="16">
        <v>-0.31</v>
      </c>
      <c r="O4" s="16">
        <v>8.1999999999999993</v>
      </c>
      <c r="P4" s="16">
        <v>0</v>
      </c>
      <c r="Q4" s="16">
        <v>4.55</v>
      </c>
      <c r="R4" s="16">
        <v>6.39</v>
      </c>
      <c r="S4" s="9" t="s">
        <v>81</v>
      </c>
      <c r="T4" s="16">
        <v>-0.04</v>
      </c>
      <c r="U4" s="16">
        <v>0.01</v>
      </c>
      <c r="V4" s="16">
        <v>-4.92</v>
      </c>
      <c r="W4" s="16">
        <v>4.01</v>
      </c>
      <c r="X4" s="16">
        <v>-0.01</v>
      </c>
      <c r="Y4" s="157">
        <v>-0.52</v>
      </c>
      <c r="Z4" s="157">
        <v>-0.01</v>
      </c>
      <c r="AA4" s="157">
        <v>5.81</v>
      </c>
      <c r="AB4" s="157">
        <v>3.45</v>
      </c>
      <c r="AC4" s="157">
        <v>-1.58</v>
      </c>
      <c r="AD4" s="157">
        <v>1.3</v>
      </c>
      <c r="AE4" s="157">
        <v>0.06</v>
      </c>
      <c r="AF4" s="157">
        <v>1.92</v>
      </c>
      <c r="AG4" s="157">
        <v>-4.8499999999999996</v>
      </c>
      <c r="AH4" s="157">
        <v>5.0599999999999996</v>
      </c>
      <c r="AI4" s="157">
        <v>0</v>
      </c>
      <c r="AJ4" s="157">
        <v>-9.07</v>
      </c>
    </row>
    <row r="5" spans="1:36" ht="11.85" customHeight="1">
      <c r="A5" s="304" t="s">
        <v>190</v>
      </c>
      <c r="B5" s="300">
        <v>25.89</v>
      </c>
      <c r="C5" s="300">
        <v>-6.34</v>
      </c>
      <c r="D5" s="300">
        <v>-0.01</v>
      </c>
      <c r="E5" s="300">
        <v>8.98</v>
      </c>
      <c r="F5" s="300">
        <v>4.93</v>
      </c>
      <c r="G5" s="300">
        <v>18.23</v>
      </c>
      <c r="H5" s="300">
        <v>18.39</v>
      </c>
      <c r="I5" s="300">
        <v>0.01</v>
      </c>
      <c r="J5" s="300">
        <v>3.74</v>
      </c>
      <c r="K5" s="300">
        <v>5.5</v>
      </c>
      <c r="L5" s="300">
        <v>-6.22</v>
      </c>
      <c r="M5" s="300">
        <v>9.65</v>
      </c>
      <c r="N5" s="300">
        <v>5.92</v>
      </c>
      <c r="O5" s="300">
        <v>7.84</v>
      </c>
      <c r="P5" s="300">
        <v>0</v>
      </c>
      <c r="Q5" s="300">
        <v>3.05</v>
      </c>
      <c r="R5" s="300">
        <v>19.25</v>
      </c>
      <c r="S5" s="304" t="s">
        <v>190</v>
      </c>
      <c r="T5" s="300">
        <v>20.96</v>
      </c>
      <c r="U5" s="300">
        <v>0</v>
      </c>
      <c r="V5" s="300">
        <v>-0.84</v>
      </c>
      <c r="W5" s="300">
        <v>6.77</v>
      </c>
      <c r="X5" s="300">
        <v>-0.05</v>
      </c>
      <c r="Y5" s="317">
        <v>11.69</v>
      </c>
      <c r="Z5" s="317">
        <v>0.01</v>
      </c>
      <c r="AA5" s="317">
        <v>12.92</v>
      </c>
      <c r="AB5" s="317">
        <v>13.77</v>
      </c>
      <c r="AC5" s="317">
        <v>23.15</v>
      </c>
      <c r="AD5" s="317">
        <v>3.56</v>
      </c>
      <c r="AE5" s="317">
        <v>29.66</v>
      </c>
      <c r="AF5" s="317">
        <v>-1.1399999999999999</v>
      </c>
      <c r="AG5" s="317">
        <v>8.27</v>
      </c>
      <c r="AH5" s="317">
        <v>5.23</v>
      </c>
      <c r="AI5" s="317">
        <v>0</v>
      </c>
      <c r="AJ5" s="317">
        <v>6.65</v>
      </c>
    </row>
    <row r="6" spans="1:36" s="164" customFormat="1" ht="11.85" customHeight="1">
      <c r="A6" s="162" t="s">
        <v>731</v>
      </c>
      <c r="B6" s="28">
        <v>-4.16</v>
      </c>
      <c r="C6" s="28">
        <v>-9.3800000000000008</v>
      </c>
      <c r="D6" s="28">
        <v>0.01</v>
      </c>
      <c r="E6" s="28">
        <v>-4.59</v>
      </c>
      <c r="F6" s="28">
        <v>2.3199999999999998</v>
      </c>
      <c r="G6" s="28">
        <v>-12.1</v>
      </c>
      <c r="H6" s="28">
        <v>-12.4</v>
      </c>
      <c r="I6" s="28">
        <v>0.38</v>
      </c>
      <c r="J6" s="28">
        <v>-19.38</v>
      </c>
      <c r="K6" s="28">
        <v>8.4700000000000006</v>
      </c>
      <c r="L6" s="28">
        <v>-13.15</v>
      </c>
      <c r="M6" s="28">
        <v>1.1100000000000001</v>
      </c>
      <c r="N6" s="28">
        <v>-1.96</v>
      </c>
      <c r="O6" s="28">
        <v>-4.7699999999999996</v>
      </c>
      <c r="P6" s="28">
        <v>0</v>
      </c>
      <c r="Q6" s="28">
        <v>-20.63</v>
      </c>
      <c r="R6" s="28">
        <v>-2.97</v>
      </c>
      <c r="S6" s="162" t="s">
        <v>731</v>
      </c>
      <c r="T6" s="28">
        <v>-9.77</v>
      </c>
      <c r="U6" s="28">
        <v>0</v>
      </c>
      <c r="V6" s="28">
        <v>-8.94</v>
      </c>
      <c r="W6" s="28">
        <v>3.29</v>
      </c>
      <c r="X6" s="28">
        <v>0.02</v>
      </c>
      <c r="Y6" s="511">
        <v>-14.8</v>
      </c>
      <c r="Z6" s="511">
        <v>-0.01</v>
      </c>
      <c r="AA6" s="511">
        <v>-6.01</v>
      </c>
      <c r="AB6" s="511">
        <v>-2.57</v>
      </c>
      <c r="AC6" s="511">
        <v>-8.85</v>
      </c>
      <c r="AD6" s="511">
        <v>-17.760000000000002</v>
      </c>
      <c r="AE6" s="511">
        <v>-12.17</v>
      </c>
      <c r="AF6" s="511">
        <v>-25.91</v>
      </c>
      <c r="AG6" s="511">
        <v>-4.99</v>
      </c>
      <c r="AH6" s="511">
        <v>-2.56</v>
      </c>
      <c r="AI6" s="511">
        <v>0</v>
      </c>
      <c r="AJ6" s="511">
        <v>-2.48</v>
      </c>
    </row>
    <row r="7" spans="1:36" s="164" customFormat="1" ht="11.85" customHeight="1">
      <c r="A7" s="304" t="s">
        <v>840</v>
      </c>
      <c r="B7" s="300">
        <v>-10.71</v>
      </c>
      <c r="C7" s="300">
        <v>5.21</v>
      </c>
      <c r="D7" s="300">
        <v>0</v>
      </c>
      <c r="E7" s="300">
        <v>-3.35</v>
      </c>
      <c r="F7" s="300">
        <v>2.37</v>
      </c>
      <c r="G7" s="300">
        <v>2.58</v>
      </c>
      <c r="H7" s="300">
        <v>2.92</v>
      </c>
      <c r="I7" s="300">
        <v>0.02</v>
      </c>
      <c r="J7" s="300">
        <v>-6.75</v>
      </c>
      <c r="K7" s="300">
        <v>-5.37</v>
      </c>
      <c r="L7" s="300">
        <v>0.04</v>
      </c>
      <c r="M7" s="300">
        <v>-19.53</v>
      </c>
      <c r="N7" s="300">
        <v>-1.86</v>
      </c>
      <c r="O7" s="300">
        <v>0.35</v>
      </c>
      <c r="P7" s="300">
        <v>0</v>
      </c>
      <c r="Q7" s="300">
        <v>-4.8600000000000003</v>
      </c>
      <c r="R7" s="300">
        <v>-3.26</v>
      </c>
      <c r="S7" s="304" t="s">
        <v>840</v>
      </c>
      <c r="T7" s="300">
        <v>-1.79</v>
      </c>
      <c r="U7" s="300">
        <v>0</v>
      </c>
      <c r="V7" s="300">
        <v>-4.99</v>
      </c>
      <c r="W7" s="300">
        <v>-2.56</v>
      </c>
      <c r="X7" s="300">
        <v>0.01</v>
      </c>
      <c r="Y7" s="317">
        <v>-0.22</v>
      </c>
      <c r="Z7" s="317">
        <v>0.01</v>
      </c>
      <c r="AA7" s="317">
        <v>0.3</v>
      </c>
      <c r="AB7" s="317">
        <v>-0.15</v>
      </c>
      <c r="AC7" s="317">
        <v>3.24</v>
      </c>
      <c r="AD7" s="317">
        <v>2.04</v>
      </c>
      <c r="AE7" s="317">
        <v>0.57999999999999996</v>
      </c>
      <c r="AF7" s="317">
        <v>-36.24</v>
      </c>
      <c r="AG7" s="317">
        <v>-0.89</v>
      </c>
      <c r="AH7" s="317">
        <v>1.76</v>
      </c>
      <c r="AI7" s="317">
        <v>0</v>
      </c>
      <c r="AJ7" s="317">
        <v>-2.96</v>
      </c>
    </row>
    <row r="8" spans="1:36" s="255" customFormat="1" ht="11.85" customHeight="1">
      <c r="A8" s="658" t="s">
        <v>1019</v>
      </c>
      <c r="B8" s="231">
        <v>3.09</v>
      </c>
      <c r="C8" s="231">
        <v>0.17</v>
      </c>
      <c r="D8" s="231">
        <v>0</v>
      </c>
      <c r="E8" s="231">
        <v>-1.3</v>
      </c>
      <c r="F8" s="231">
        <v>0.42</v>
      </c>
      <c r="G8" s="231">
        <v>4.9400000000000004</v>
      </c>
      <c r="H8" s="231">
        <v>4.9000000000000004</v>
      </c>
      <c r="I8" s="231">
        <v>0.06</v>
      </c>
      <c r="J8" s="231">
        <v>-0.86</v>
      </c>
      <c r="K8" s="231">
        <v>-17.149999999999999</v>
      </c>
      <c r="L8" s="231">
        <v>-52.09</v>
      </c>
      <c r="M8" s="231">
        <v>-2.16</v>
      </c>
      <c r="N8" s="231">
        <v>1.22</v>
      </c>
      <c r="O8" s="231">
        <v>-1.54</v>
      </c>
      <c r="P8" s="231">
        <v>0</v>
      </c>
      <c r="Q8" s="231">
        <v>-0.71</v>
      </c>
      <c r="R8" s="231">
        <v>13.34</v>
      </c>
      <c r="S8" s="658" t="s">
        <v>1019</v>
      </c>
      <c r="T8" s="231">
        <v>-0.86</v>
      </c>
      <c r="U8" s="231">
        <v>0</v>
      </c>
      <c r="V8" s="231">
        <v>0.86</v>
      </c>
      <c r="W8" s="231">
        <v>-1.28</v>
      </c>
      <c r="X8" s="231">
        <v>-0.02</v>
      </c>
      <c r="Y8" s="231">
        <v>-2.2799999999999998</v>
      </c>
      <c r="Z8" s="231">
        <v>-0.01</v>
      </c>
      <c r="AA8" s="231">
        <v>12.42</v>
      </c>
      <c r="AB8" s="231">
        <v>1.42</v>
      </c>
      <c r="AC8" s="231">
        <v>-0.51</v>
      </c>
      <c r="AD8" s="231">
        <v>0.16</v>
      </c>
      <c r="AE8" s="231">
        <v>6.06</v>
      </c>
      <c r="AF8" s="231">
        <v>-32.82</v>
      </c>
      <c r="AG8" s="231">
        <v>2.67</v>
      </c>
      <c r="AH8" s="231">
        <v>-4.33</v>
      </c>
      <c r="AI8" s="231">
        <v>0.01</v>
      </c>
      <c r="AJ8" s="231">
        <v>12.04</v>
      </c>
    </row>
    <row r="9" spans="1:36" s="255" customFormat="1" ht="11.85" customHeight="1">
      <c r="A9" s="724" t="s">
        <v>1070</v>
      </c>
      <c r="B9" s="377">
        <v>-18.440000000000001</v>
      </c>
      <c r="C9" s="377">
        <v>-0.22</v>
      </c>
      <c r="D9" s="377">
        <v>-0.01</v>
      </c>
      <c r="E9" s="377">
        <v>-13.97</v>
      </c>
      <c r="F9" s="377">
        <v>0.64</v>
      </c>
      <c r="G9" s="377">
        <v>-17.73</v>
      </c>
      <c r="H9" s="377">
        <v>-17.670000000000002</v>
      </c>
      <c r="I9" s="377">
        <v>-0.01</v>
      </c>
      <c r="J9" s="377">
        <v>-5.75</v>
      </c>
      <c r="K9" s="377">
        <v>-10.130000000000001</v>
      </c>
      <c r="L9" s="377">
        <v>-12.59</v>
      </c>
      <c r="M9" s="377">
        <v>-17.21</v>
      </c>
      <c r="N9" s="377">
        <v>-6.77</v>
      </c>
      <c r="O9" s="377">
        <v>-15.23</v>
      </c>
      <c r="P9" s="377">
        <v>-99.43</v>
      </c>
      <c r="Q9" s="377">
        <v>-5.44</v>
      </c>
      <c r="R9" s="377">
        <v>-21.92</v>
      </c>
      <c r="S9" s="724" t="s">
        <v>1070</v>
      </c>
      <c r="T9" s="377">
        <v>-22.06</v>
      </c>
      <c r="U9" s="377">
        <v>0.01</v>
      </c>
      <c r="V9" s="377">
        <v>-3.09</v>
      </c>
      <c r="W9" s="377">
        <v>-3.09</v>
      </c>
      <c r="X9" s="377">
        <v>-0.01</v>
      </c>
      <c r="Y9" s="377">
        <v>-39.450000000000003</v>
      </c>
      <c r="Z9" s="377">
        <v>-0.01</v>
      </c>
      <c r="AA9" s="377">
        <v>-9.57</v>
      </c>
      <c r="AB9" s="377">
        <v>-7.17</v>
      </c>
      <c r="AC9" s="377">
        <v>-18.239999999999998</v>
      </c>
      <c r="AD9" s="377">
        <v>-2.5499999999999998</v>
      </c>
      <c r="AE9" s="377">
        <v>-3.8</v>
      </c>
      <c r="AF9" s="377">
        <v>-31.24</v>
      </c>
      <c r="AG9" s="377">
        <v>-9.1199999999999992</v>
      </c>
      <c r="AH9" s="377">
        <v>-3.91</v>
      </c>
      <c r="AI9" s="377">
        <v>0</v>
      </c>
      <c r="AJ9" s="377">
        <v>-7.63</v>
      </c>
    </row>
    <row r="10" spans="1:36" s="255" customFormat="1" ht="11.85" customHeight="1">
      <c r="A10" s="788" t="s">
        <v>1193</v>
      </c>
      <c r="B10" s="363">
        <v>-3.89</v>
      </c>
      <c r="C10" s="363">
        <v>-0.76</v>
      </c>
      <c r="D10" s="363">
        <v>-0.08</v>
      </c>
      <c r="E10" s="363">
        <v>-4.84</v>
      </c>
      <c r="F10" s="363">
        <v>-7.82</v>
      </c>
      <c r="G10" s="363">
        <v>-1.31</v>
      </c>
      <c r="H10" s="363">
        <v>-1.52</v>
      </c>
      <c r="I10" s="363">
        <v>-0.08</v>
      </c>
      <c r="J10" s="363">
        <v>-5.91</v>
      </c>
      <c r="K10" s="363">
        <v>1.28</v>
      </c>
      <c r="L10" s="363">
        <v>-2.61</v>
      </c>
      <c r="M10" s="363">
        <v>19.25</v>
      </c>
      <c r="N10" s="363">
        <v>0.05</v>
      </c>
      <c r="O10" s="363">
        <v>-6.68</v>
      </c>
      <c r="P10" s="363">
        <v>-5.53</v>
      </c>
      <c r="Q10" s="363">
        <v>-6.41</v>
      </c>
      <c r="R10" s="363">
        <v>2.8</v>
      </c>
      <c r="S10" s="788" t="s">
        <v>1193</v>
      </c>
      <c r="T10" s="363">
        <v>-7.3</v>
      </c>
      <c r="U10" s="363">
        <v>-0.01</v>
      </c>
      <c r="V10" s="363">
        <v>-2.68</v>
      </c>
      <c r="W10" s="363">
        <v>-3.89</v>
      </c>
      <c r="X10" s="363">
        <v>0</v>
      </c>
      <c r="Y10" s="363">
        <v>-13.36</v>
      </c>
      <c r="Z10" s="363">
        <v>0.01</v>
      </c>
      <c r="AA10" s="363">
        <v>-3.69</v>
      </c>
      <c r="AB10" s="363">
        <v>-0.55000000000000004</v>
      </c>
      <c r="AC10" s="363">
        <v>-3.04</v>
      </c>
      <c r="AD10" s="363">
        <v>-9.5299999999999994</v>
      </c>
      <c r="AE10" s="363">
        <v>-5.73</v>
      </c>
      <c r="AF10" s="363">
        <v>0.35</v>
      </c>
      <c r="AG10" s="363">
        <v>-0.56999999999999995</v>
      </c>
      <c r="AH10" s="363">
        <v>-4.17</v>
      </c>
      <c r="AI10" s="363">
        <v>0</v>
      </c>
      <c r="AJ10" s="363">
        <v>-15.21</v>
      </c>
    </row>
    <row r="11" spans="1:36" s="255" customFormat="1" ht="11.85" customHeight="1">
      <c r="A11" s="906" t="s">
        <v>1225</v>
      </c>
      <c r="B11" s="377">
        <v>4.01</v>
      </c>
      <c r="C11" s="377">
        <v>-2.72</v>
      </c>
      <c r="D11" s="377">
        <v>0.03</v>
      </c>
      <c r="E11" s="377">
        <v>0.15</v>
      </c>
      <c r="F11" s="377">
        <v>-2.1</v>
      </c>
      <c r="G11" s="377">
        <v>3.51</v>
      </c>
      <c r="H11" s="377">
        <v>3.38</v>
      </c>
      <c r="I11" s="377">
        <v>-0.6</v>
      </c>
      <c r="J11" s="377">
        <v>4.72</v>
      </c>
      <c r="K11" s="377">
        <v>-1.24</v>
      </c>
      <c r="L11" s="377">
        <v>-7.34</v>
      </c>
      <c r="M11" s="377">
        <v>-8.4</v>
      </c>
      <c r="N11" s="377">
        <v>-0.4</v>
      </c>
      <c r="O11" s="377">
        <v>-5.53</v>
      </c>
      <c r="P11" s="377">
        <v>-13.2</v>
      </c>
      <c r="Q11" s="377">
        <v>5.32</v>
      </c>
      <c r="R11" s="377">
        <v>3.58</v>
      </c>
      <c r="S11" s="906" t="s">
        <v>1225</v>
      </c>
      <c r="T11" s="377">
        <v>1.07</v>
      </c>
      <c r="U11" s="377">
        <v>-0.05</v>
      </c>
      <c r="V11" s="377">
        <v>-0.2</v>
      </c>
      <c r="W11" s="377">
        <v>-6.8</v>
      </c>
      <c r="X11" s="377">
        <v>-2.5099999999999998</v>
      </c>
      <c r="Y11" s="377">
        <v>8.65</v>
      </c>
      <c r="Z11" s="377">
        <v>0.01</v>
      </c>
      <c r="AA11" s="377">
        <v>1.68</v>
      </c>
      <c r="AB11" s="377">
        <v>-1.86</v>
      </c>
      <c r="AC11" s="377">
        <v>0.46</v>
      </c>
      <c r="AD11" s="377">
        <v>-3.74</v>
      </c>
      <c r="AE11" s="377">
        <v>2.76</v>
      </c>
      <c r="AF11" s="377">
        <v>-57.91</v>
      </c>
      <c r="AG11" s="377">
        <v>-0.33</v>
      </c>
      <c r="AH11" s="377">
        <v>3.75</v>
      </c>
      <c r="AI11" s="377">
        <v>-0.01</v>
      </c>
      <c r="AJ11" s="377">
        <v>-2.52</v>
      </c>
    </row>
    <row r="12" spans="1:36" s="255" customFormat="1" ht="11.85" customHeight="1">
      <c r="A12" s="980" t="s">
        <v>1350</v>
      </c>
      <c r="B12" s="363">
        <v>-4.29</v>
      </c>
      <c r="C12" s="363">
        <v>-3.74</v>
      </c>
      <c r="D12" s="363">
        <v>-0.21</v>
      </c>
      <c r="E12" s="363">
        <v>-1.83</v>
      </c>
      <c r="F12" s="363">
        <v>2.38</v>
      </c>
      <c r="G12" s="363">
        <v>0.88</v>
      </c>
      <c r="H12" s="363">
        <v>1.1200000000000001</v>
      </c>
      <c r="I12" s="363">
        <v>-0.54</v>
      </c>
      <c r="J12" s="363">
        <v>-6.07</v>
      </c>
      <c r="K12" s="363">
        <v>-7.22</v>
      </c>
      <c r="L12" s="363">
        <v>-23.72</v>
      </c>
      <c r="M12" s="363">
        <v>1.52</v>
      </c>
      <c r="N12" s="363">
        <v>0.28000000000000003</v>
      </c>
      <c r="O12" s="363">
        <v>6.39</v>
      </c>
      <c r="P12" s="363">
        <v>-3.88</v>
      </c>
      <c r="Q12" s="363">
        <v>-5.28</v>
      </c>
      <c r="R12" s="363">
        <v>-7.46</v>
      </c>
      <c r="S12" s="980" t="s">
        <v>1350</v>
      </c>
      <c r="T12" s="363">
        <v>2.41</v>
      </c>
      <c r="U12" s="363">
        <v>0.05</v>
      </c>
      <c r="V12" s="363">
        <v>-13.86</v>
      </c>
      <c r="W12" s="363">
        <v>-5.49</v>
      </c>
      <c r="X12" s="363">
        <v>2.58</v>
      </c>
      <c r="Y12" s="363">
        <v>-6.27</v>
      </c>
      <c r="Z12" s="363">
        <v>-0.01</v>
      </c>
      <c r="AA12" s="363">
        <v>2.57</v>
      </c>
      <c r="AB12" s="363">
        <v>0.84</v>
      </c>
      <c r="AC12" s="363">
        <v>-5.58</v>
      </c>
      <c r="AD12" s="363">
        <v>-3.02</v>
      </c>
      <c r="AE12" s="363">
        <v>-4.18</v>
      </c>
      <c r="AF12" s="363">
        <v>0</v>
      </c>
      <c r="AG12" s="363">
        <v>1.03</v>
      </c>
      <c r="AH12" s="363">
        <v>2.52</v>
      </c>
      <c r="AI12" s="363">
        <v>-0.01</v>
      </c>
      <c r="AJ12" s="363">
        <v>0.55000000000000004</v>
      </c>
    </row>
    <row r="13" spans="1:36" s="255" customFormat="1" ht="11.85" customHeight="1">
      <c r="A13" s="585" t="s">
        <v>1466</v>
      </c>
      <c r="B13" s="377">
        <v>-4.54</v>
      </c>
      <c r="C13" s="377">
        <v>-0.92</v>
      </c>
      <c r="D13" s="377">
        <v>0.28000000000000003</v>
      </c>
      <c r="E13" s="377">
        <v>1.18</v>
      </c>
      <c r="F13" s="377">
        <v>-3.75</v>
      </c>
      <c r="G13" s="377">
        <v>-1.86</v>
      </c>
      <c r="H13" s="377">
        <v>-1.72</v>
      </c>
      <c r="I13" s="377">
        <v>0.45</v>
      </c>
      <c r="J13" s="377">
        <v>-0.16</v>
      </c>
      <c r="K13" s="377">
        <v>1.68</v>
      </c>
      <c r="L13" s="377">
        <v>1.4</v>
      </c>
      <c r="M13" s="377">
        <v>2.41</v>
      </c>
      <c r="N13" s="377">
        <v>-0.33</v>
      </c>
      <c r="O13" s="377">
        <v>-2.34</v>
      </c>
      <c r="P13" s="377">
        <v>-6.34</v>
      </c>
      <c r="Q13" s="377">
        <v>-4.32</v>
      </c>
      <c r="R13" s="377">
        <v>-0.55000000000000004</v>
      </c>
      <c r="S13" s="585" t="s">
        <v>1466</v>
      </c>
      <c r="T13" s="377">
        <v>-4.04</v>
      </c>
      <c r="U13" s="377">
        <v>0</v>
      </c>
      <c r="V13" s="377">
        <v>-25.37</v>
      </c>
      <c r="W13" s="377">
        <v>4.0599999999999996</v>
      </c>
      <c r="X13" s="377">
        <v>-0.01</v>
      </c>
      <c r="Y13" s="377">
        <v>-0.19</v>
      </c>
      <c r="Z13" s="377">
        <v>0</v>
      </c>
      <c r="AA13" s="377">
        <v>-3.63</v>
      </c>
      <c r="AB13" s="377">
        <v>1.1100000000000001</v>
      </c>
      <c r="AC13" s="377">
        <v>-3.46</v>
      </c>
      <c r="AD13" s="377">
        <v>-10.28</v>
      </c>
      <c r="AE13" s="377">
        <v>2.1800000000000002</v>
      </c>
      <c r="AF13" s="377">
        <v>0</v>
      </c>
      <c r="AG13" s="377">
        <v>-1.04</v>
      </c>
      <c r="AH13" s="377">
        <v>7.98</v>
      </c>
      <c r="AI13" s="377">
        <v>0</v>
      </c>
      <c r="AJ13" s="377">
        <v>-2.93</v>
      </c>
    </row>
    <row r="14" spans="1:36" s="283" customFormat="1" ht="11.85" customHeight="1">
      <c r="A14" s="544" t="s">
        <v>1550</v>
      </c>
      <c r="B14" s="363">
        <v>-2.21</v>
      </c>
      <c r="C14" s="363">
        <v>-0.47</v>
      </c>
      <c r="D14" s="363">
        <v>-0.16</v>
      </c>
      <c r="E14" s="363">
        <v>-4.1500000000000004</v>
      </c>
      <c r="F14" s="363">
        <v>-2.89</v>
      </c>
      <c r="G14" s="363">
        <v>-0.97</v>
      </c>
      <c r="H14" s="363">
        <v>-1.1299999999999999</v>
      </c>
      <c r="I14" s="363">
        <v>0.81</v>
      </c>
      <c r="J14" s="363">
        <v>-8.69</v>
      </c>
      <c r="K14" s="363">
        <v>-1.1000000000000001</v>
      </c>
      <c r="L14" s="363">
        <v>0</v>
      </c>
      <c r="M14" s="363">
        <v>0.3</v>
      </c>
      <c r="N14" s="363">
        <v>-1.4</v>
      </c>
      <c r="O14" s="363">
        <v>-3.45</v>
      </c>
      <c r="P14" s="363">
        <v>9.74</v>
      </c>
      <c r="Q14" s="363">
        <v>-0.86</v>
      </c>
      <c r="R14" s="363">
        <v>-4.4400000000000004</v>
      </c>
      <c r="S14" s="544" t="s">
        <v>1550</v>
      </c>
      <c r="T14" s="363">
        <v>-11.79</v>
      </c>
      <c r="U14" s="363">
        <v>0</v>
      </c>
      <c r="V14" s="363">
        <v>-2.67</v>
      </c>
      <c r="W14" s="363">
        <v>2.9</v>
      </c>
      <c r="X14" s="363">
        <v>0.01</v>
      </c>
      <c r="Y14" s="363">
        <v>-9.75</v>
      </c>
      <c r="Z14" s="363">
        <v>-0.02</v>
      </c>
      <c r="AA14" s="363">
        <v>-3.35</v>
      </c>
      <c r="AB14" s="363">
        <v>-2.94</v>
      </c>
      <c r="AC14" s="363">
        <v>-0.49</v>
      </c>
      <c r="AD14" s="363">
        <v>-5.18</v>
      </c>
      <c r="AE14" s="363">
        <v>2.61</v>
      </c>
      <c r="AF14" s="363">
        <v>0.16</v>
      </c>
      <c r="AG14" s="363">
        <v>-0.76</v>
      </c>
      <c r="AH14" s="363">
        <v>-0.63</v>
      </c>
      <c r="AI14" s="363">
        <v>0</v>
      </c>
      <c r="AJ14" s="363">
        <v>-3.12</v>
      </c>
    </row>
    <row r="15" spans="1:36" s="283" customFormat="1" ht="11.85" customHeight="1">
      <c r="A15" s="585" t="s">
        <v>1606</v>
      </c>
      <c r="B15" s="377">
        <v>9.42</v>
      </c>
      <c r="C15" s="377">
        <v>0.1</v>
      </c>
      <c r="D15" s="377">
        <v>0.16</v>
      </c>
      <c r="E15" s="377">
        <v>10.14</v>
      </c>
      <c r="F15" s="377">
        <v>9.59</v>
      </c>
      <c r="G15" s="377">
        <v>6.06</v>
      </c>
      <c r="H15" s="377">
        <v>5.83</v>
      </c>
      <c r="I15" s="377">
        <v>-0.17</v>
      </c>
      <c r="J15" s="377">
        <v>1.63</v>
      </c>
      <c r="K15" s="377">
        <v>-1.74</v>
      </c>
      <c r="L15" s="377">
        <v>0</v>
      </c>
      <c r="M15" s="377">
        <v>-2.66</v>
      </c>
      <c r="N15" s="377">
        <v>2.21</v>
      </c>
      <c r="O15" s="377">
        <v>3.03</v>
      </c>
      <c r="P15" s="377">
        <v>-16.13</v>
      </c>
      <c r="Q15" s="377">
        <v>3.65</v>
      </c>
      <c r="R15" s="377">
        <v>8.8800000000000008</v>
      </c>
      <c r="S15" s="585" t="s">
        <v>1606</v>
      </c>
      <c r="T15" s="605">
        <v>12.92</v>
      </c>
      <c r="U15" s="605">
        <v>0</v>
      </c>
      <c r="V15" s="605">
        <v>5.84</v>
      </c>
      <c r="W15" s="605">
        <v>2.21</v>
      </c>
      <c r="X15" s="605">
        <v>-1.64</v>
      </c>
      <c r="Y15" s="605">
        <v>-3.71</v>
      </c>
      <c r="Z15" s="605">
        <v>0.02</v>
      </c>
      <c r="AA15" s="605">
        <v>5.92</v>
      </c>
      <c r="AB15" s="605">
        <v>3.59</v>
      </c>
      <c r="AC15" s="605">
        <v>9.41</v>
      </c>
      <c r="AD15" s="605">
        <v>-6.69</v>
      </c>
      <c r="AE15" s="605">
        <v>3.32</v>
      </c>
      <c r="AF15" s="605">
        <v>-79.510000000000005</v>
      </c>
      <c r="AG15" s="605">
        <v>3.41</v>
      </c>
      <c r="AH15" s="605">
        <v>-3.65</v>
      </c>
      <c r="AI15" s="605">
        <v>0</v>
      </c>
      <c r="AJ15" s="605">
        <v>12.51</v>
      </c>
    </row>
    <row r="16" spans="1:36" s="283" customFormat="1" ht="11.85" customHeight="1">
      <c r="A16" s="570" t="s">
        <v>1927</v>
      </c>
      <c r="B16" s="623">
        <v>-8.39</v>
      </c>
      <c r="C16" s="623">
        <v>-9.24</v>
      </c>
      <c r="D16" s="623">
        <v>0</v>
      </c>
      <c r="E16" s="623">
        <v>-3.81</v>
      </c>
      <c r="F16" s="623">
        <v>-3.74</v>
      </c>
      <c r="G16" s="623">
        <v>-12.29</v>
      </c>
      <c r="H16" s="623">
        <v>-12.24</v>
      </c>
      <c r="I16" s="623">
        <v>-1.06</v>
      </c>
      <c r="J16" s="623">
        <v>-5.88</v>
      </c>
      <c r="K16" s="623">
        <v>-2.3199999999999998</v>
      </c>
      <c r="L16" s="623">
        <v>0</v>
      </c>
      <c r="M16" s="623">
        <v>-19.09</v>
      </c>
      <c r="N16" s="623">
        <v>-1.86</v>
      </c>
      <c r="O16" s="623">
        <v>-5.71</v>
      </c>
      <c r="P16" s="623">
        <v>-11.1</v>
      </c>
      <c r="Q16" s="623">
        <v>-6.46</v>
      </c>
      <c r="R16" s="623">
        <v>-11.06</v>
      </c>
      <c r="S16" s="570" t="s">
        <v>1927</v>
      </c>
      <c r="T16" s="691">
        <v>-13.61</v>
      </c>
      <c r="U16" s="691">
        <v>0</v>
      </c>
      <c r="V16" s="691">
        <v>-22.47</v>
      </c>
      <c r="W16" s="691">
        <v>-11.25</v>
      </c>
      <c r="X16" s="691">
        <v>1.06</v>
      </c>
      <c r="Y16" s="691">
        <v>37.840000000000003</v>
      </c>
      <c r="Z16" s="691">
        <v>-0.05</v>
      </c>
      <c r="AA16" s="691">
        <v>-13.05</v>
      </c>
      <c r="AB16" s="691">
        <v>-3.47</v>
      </c>
      <c r="AC16" s="691">
        <v>-16.670000000000002</v>
      </c>
      <c r="AD16" s="691">
        <v>-44.74</v>
      </c>
      <c r="AE16" s="691">
        <v>-3.61</v>
      </c>
      <c r="AF16" s="691">
        <v>-0.04</v>
      </c>
      <c r="AG16" s="691">
        <v>-6.93</v>
      </c>
      <c r="AH16" s="691">
        <v>-9.18</v>
      </c>
      <c r="AI16" s="691">
        <v>0</v>
      </c>
      <c r="AJ16" s="691">
        <v>-12.36</v>
      </c>
    </row>
    <row r="17" spans="1:36" s="283" customFormat="1" ht="11.85" customHeight="1">
      <c r="A17" s="621" t="s">
        <v>2183</v>
      </c>
      <c r="B17" s="551">
        <v>-2.9642547042443099</v>
      </c>
      <c r="C17" s="551">
        <v>-11.839622641509401</v>
      </c>
      <c r="D17" s="551">
        <v>0</v>
      </c>
      <c r="E17" s="551">
        <v>-2.20351196571472</v>
      </c>
      <c r="F17" s="551">
        <v>-7.65</v>
      </c>
      <c r="G17" s="551">
        <v>4.24700822190362</v>
      </c>
      <c r="H17" s="551">
        <v>4.51</v>
      </c>
      <c r="I17" s="551">
        <v>0.213922183411133</v>
      </c>
      <c r="J17" s="551">
        <v>-3.83818943675697</v>
      </c>
      <c r="K17" s="551">
        <v>-0.96489768757278305</v>
      </c>
      <c r="L17" s="551">
        <v>-5.9520266650794603E-3</v>
      </c>
      <c r="M17" s="551">
        <v>-5.3625246821630199</v>
      </c>
      <c r="N17" s="551">
        <v>-0.21141649048625799</v>
      </c>
      <c r="O17" s="551">
        <v>-5.94513822179528</v>
      </c>
      <c r="P17" s="551">
        <v>-11.8333333333333</v>
      </c>
      <c r="Q17" s="551">
        <v>-0.21704301206533499</v>
      </c>
      <c r="R17" s="551">
        <v>-1.2143242707333299</v>
      </c>
      <c r="S17" s="621" t="s">
        <v>2183</v>
      </c>
      <c r="T17" s="971">
        <v>-8.3931491283984094</v>
      </c>
      <c r="U17" s="971">
        <v>0</v>
      </c>
      <c r="V17" s="971">
        <v>-28.801742919390001</v>
      </c>
      <c r="W17" s="971">
        <v>-1.5605381165919301</v>
      </c>
      <c r="X17" s="971">
        <v>0.54623809393099299</v>
      </c>
      <c r="Y17" s="971">
        <v>-36.85</v>
      </c>
      <c r="Z17" s="971">
        <v>0.03</v>
      </c>
      <c r="AA17" s="971">
        <v>-0.26</v>
      </c>
      <c r="AB17" s="971">
        <v>3.07</v>
      </c>
      <c r="AC17" s="971">
        <v>-5.2622076551302701</v>
      </c>
      <c r="AD17" s="971">
        <v>17.303005686433799</v>
      </c>
      <c r="AE17" s="971">
        <v>6.44</v>
      </c>
      <c r="AF17" s="971">
        <v>0</v>
      </c>
      <c r="AG17" s="971">
        <v>0.45</v>
      </c>
      <c r="AH17" s="971">
        <v>0.23</v>
      </c>
      <c r="AI17" s="971">
        <v>0.01</v>
      </c>
      <c r="AJ17" s="971">
        <v>4.7744704442882204</v>
      </c>
    </row>
    <row r="18" spans="1:36" s="283" customFormat="1" ht="11.85" customHeight="1">
      <c r="A18" s="559" t="s">
        <v>565</v>
      </c>
      <c r="B18" s="363">
        <v>1.5111886713022999</v>
      </c>
      <c r="C18" s="363">
        <v>-1.31995776135164</v>
      </c>
      <c r="D18" s="363">
        <v>0</v>
      </c>
      <c r="E18" s="363">
        <v>0.77380021885258699</v>
      </c>
      <c r="F18" s="363">
        <v>-0.47896555303468402</v>
      </c>
      <c r="G18" s="363">
        <v>-2.1114377558589998</v>
      </c>
      <c r="H18" s="363">
        <v>-2.1166556497785698</v>
      </c>
      <c r="I18" s="363">
        <v>-4.1401537589411397E-2</v>
      </c>
      <c r="J18" s="363">
        <v>-0.51165076684603805</v>
      </c>
      <c r="K18" s="363">
        <v>0.33709758975223297</v>
      </c>
      <c r="L18" s="363">
        <v>0</v>
      </c>
      <c r="M18" s="363">
        <v>2.5449495139071399</v>
      </c>
      <c r="N18" s="363">
        <v>-6.5146579804560303E-2</v>
      </c>
      <c r="O18" s="363">
        <v>-0.99988765307268801</v>
      </c>
      <c r="P18" s="363">
        <v>0</v>
      </c>
      <c r="Q18" s="363">
        <v>-0.95046039622991596</v>
      </c>
      <c r="R18" s="363">
        <v>1.1740900220258601</v>
      </c>
      <c r="S18" s="559" t="s">
        <v>565</v>
      </c>
      <c r="T18" s="606">
        <v>2.4723315869423699</v>
      </c>
      <c r="U18" s="606">
        <v>0.13003901170351101</v>
      </c>
      <c r="V18" s="606">
        <v>-14.9277354325461</v>
      </c>
      <c r="W18" s="606">
        <v>-0.86705202312138696</v>
      </c>
      <c r="X18" s="606">
        <v>-0.49305244285074001</v>
      </c>
      <c r="Y18" s="606">
        <v>-15.140562248996</v>
      </c>
      <c r="Z18" s="606">
        <v>-0.103833865814696</v>
      </c>
      <c r="AA18" s="606">
        <v>-0.31343873366147801</v>
      </c>
      <c r="AB18" s="606">
        <v>0.94882845036758001</v>
      </c>
      <c r="AC18" s="606">
        <v>0.77063226314752797</v>
      </c>
      <c r="AD18" s="606">
        <v>0.55710306406685195</v>
      </c>
      <c r="AE18" s="606">
        <v>0.38356452290878501</v>
      </c>
      <c r="AF18" s="606">
        <v>3.9816842524387802E-2</v>
      </c>
      <c r="AG18" s="606">
        <v>-0.31767041694242198</v>
      </c>
      <c r="AH18" s="606">
        <v>-2.7685950413223099</v>
      </c>
      <c r="AI18" s="606">
        <v>0</v>
      </c>
      <c r="AJ18" s="606">
        <v>0.33396673559184697</v>
      </c>
    </row>
    <row r="19" spans="1:36" s="283" customFormat="1" ht="11.85" customHeight="1">
      <c r="A19" s="562" t="s">
        <v>566</v>
      </c>
      <c r="B19" s="377">
        <v>-1.9181220375755299</v>
      </c>
      <c r="C19" s="377">
        <v>-0.31578947368421101</v>
      </c>
      <c r="D19" s="377">
        <v>0</v>
      </c>
      <c r="E19" s="377">
        <v>-2.2948566191912598</v>
      </c>
      <c r="F19" s="377">
        <v>-2.13188982091545</v>
      </c>
      <c r="G19" s="377">
        <v>-1.9906425662257199</v>
      </c>
      <c r="H19" s="377">
        <v>-2.0156557332721499</v>
      </c>
      <c r="I19" s="377">
        <v>1.65633580297249E-2</v>
      </c>
      <c r="J19" s="377">
        <v>-0.41602610359865699</v>
      </c>
      <c r="K19" s="377">
        <v>-0.17162471395880999</v>
      </c>
      <c r="L19" s="377">
        <v>0</v>
      </c>
      <c r="M19" s="377">
        <v>-4.0309798270893404</v>
      </c>
      <c r="N19" s="377">
        <v>-0.340853757506898</v>
      </c>
      <c r="O19" s="377">
        <v>-0.55859680482627605</v>
      </c>
      <c r="P19" s="377">
        <v>-11.8333333333333</v>
      </c>
      <c r="Q19" s="377">
        <v>-1.63942781141648</v>
      </c>
      <c r="R19" s="377">
        <v>-2.5673584704170498</v>
      </c>
      <c r="S19" s="562" t="s">
        <v>566</v>
      </c>
      <c r="T19" s="605">
        <v>-1.37987261146497</v>
      </c>
      <c r="U19" s="605">
        <v>-0.12987012987013</v>
      </c>
      <c r="V19" s="605">
        <v>9.0574608221666999</v>
      </c>
      <c r="W19" s="605">
        <v>-1.41572433443148</v>
      </c>
      <c r="X19" s="605">
        <v>0.208248264597795</v>
      </c>
      <c r="Y19" s="605">
        <v>3.75</v>
      </c>
      <c r="Z19" s="605">
        <v>-1.3310262212165601E-2</v>
      </c>
      <c r="AA19" s="605">
        <v>-2.9969111681738698</v>
      </c>
      <c r="AB19" s="605">
        <v>-1.24105865522175</v>
      </c>
      <c r="AC19" s="605">
        <v>-4.8342049522952601</v>
      </c>
      <c r="AD19" s="605">
        <v>-1.37091678342812</v>
      </c>
      <c r="AE19" s="605">
        <v>-2.30982445334155</v>
      </c>
      <c r="AF19" s="605">
        <v>-3.98009950248756E-2</v>
      </c>
      <c r="AG19" s="605">
        <v>-1.4608060519107899</v>
      </c>
      <c r="AH19" s="605">
        <v>-0.58879912364781595</v>
      </c>
      <c r="AI19" s="605">
        <v>0</v>
      </c>
      <c r="AJ19" s="605">
        <v>-4.2038209052602502</v>
      </c>
    </row>
    <row r="20" spans="1:36" s="283" customFormat="1" ht="11.85" customHeight="1">
      <c r="A20" s="559" t="s">
        <v>560</v>
      </c>
      <c r="B20" s="363">
        <v>-4.80151801471649</v>
      </c>
      <c r="C20" s="363">
        <v>-1.0416666666666701</v>
      </c>
      <c r="D20" s="363">
        <v>0</v>
      </c>
      <c r="E20" s="363">
        <v>-3.76644374219152</v>
      </c>
      <c r="F20" s="363">
        <v>-3.0885207167168298</v>
      </c>
      <c r="G20" s="363">
        <v>-2.7655953393991002</v>
      </c>
      <c r="H20" s="363">
        <v>-2.7811048809768502</v>
      </c>
      <c r="I20" s="363">
        <v>-5.7331413792664097E-3</v>
      </c>
      <c r="J20" s="363">
        <v>-2.1472166619592001</v>
      </c>
      <c r="K20" s="363">
        <v>-2.4969649243692</v>
      </c>
      <c r="L20" s="363">
        <v>0</v>
      </c>
      <c r="M20" s="363">
        <v>-3.7214303055526701</v>
      </c>
      <c r="N20" s="363">
        <v>-0.77307134804316302</v>
      </c>
      <c r="O20" s="363">
        <v>-3.6698235040895399</v>
      </c>
      <c r="P20" s="363">
        <v>0</v>
      </c>
      <c r="Q20" s="363">
        <v>-2.3043391668594002</v>
      </c>
      <c r="R20" s="363">
        <v>-6.5100356980263898</v>
      </c>
      <c r="S20" s="559" t="s">
        <v>560</v>
      </c>
      <c r="T20" s="606">
        <v>-7.9951618347522801</v>
      </c>
      <c r="U20" s="606">
        <v>0</v>
      </c>
      <c r="V20" s="606">
        <v>-5.0873032981246</v>
      </c>
      <c r="W20" s="606">
        <v>-4.7170611690845803</v>
      </c>
      <c r="X20" s="606">
        <v>0.28938818968576802</v>
      </c>
      <c r="Y20" s="606">
        <v>3.6269430051813498</v>
      </c>
      <c r="Z20" s="606">
        <v>-0.26549847338377802</v>
      </c>
      <c r="AA20" s="606">
        <v>-6.33365867261573</v>
      </c>
      <c r="AB20" s="606">
        <v>-2.54783730089575</v>
      </c>
      <c r="AC20" s="606">
        <v>-5.2457706140935096</v>
      </c>
      <c r="AD20" s="606">
        <v>1.37385283288454E-2</v>
      </c>
      <c r="AE20" s="606">
        <v>-0.225340571545631</v>
      </c>
      <c r="AF20" s="606">
        <v>0</v>
      </c>
      <c r="AG20" s="606">
        <v>-2.1816789997448298</v>
      </c>
      <c r="AH20" s="606">
        <v>-4.17268075055767</v>
      </c>
      <c r="AI20" s="606">
        <v>0</v>
      </c>
      <c r="AJ20" s="606">
        <v>-6.5717251814927602</v>
      </c>
    </row>
    <row r="21" spans="1:36" s="283" customFormat="1" ht="11.85" customHeight="1">
      <c r="A21" s="562" t="s">
        <v>567</v>
      </c>
      <c r="B21" s="377">
        <v>-1.7016710909491</v>
      </c>
      <c r="C21" s="377">
        <v>-1.0309278350515501</v>
      </c>
      <c r="D21" s="377">
        <v>-1.3260840737302699E-2</v>
      </c>
      <c r="E21" s="377">
        <v>3.6759300102926003E-2</v>
      </c>
      <c r="F21" s="377">
        <v>-0.92799019061420096</v>
      </c>
      <c r="G21" s="377">
        <v>2.27074937407115</v>
      </c>
      <c r="H21" s="377">
        <v>2.3573502660999601</v>
      </c>
      <c r="I21" s="377">
        <v>-1.91101060610886E-3</v>
      </c>
      <c r="J21" s="377">
        <v>-1.0180081075989</v>
      </c>
      <c r="K21" s="377">
        <v>-2.2515154430866899</v>
      </c>
      <c r="L21" s="377">
        <v>0</v>
      </c>
      <c r="M21" s="377">
        <v>-2.2378191435255799</v>
      </c>
      <c r="N21" s="377">
        <v>0.27454780361757097</v>
      </c>
      <c r="O21" s="377">
        <v>-1.71875826326088</v>
      </c>
      <c r="P21" s="377">
        <v>0</v>
      </c>
      <c r="Q21" s="377">
        <v>1.06140708264821</v>
      </c>
      <c r="R21" s="377">
        <v>1.4834209521739301</v>
      </c>
      <c r="S21" s="562" t="s">
        <v>567</v>
      </c>
      <c r="T21" s="605">
        <v>3.1979641402266199</v>
      </c>
      <c r="U21" s="605">
        <v>-1.29853265809635E-2</v>
      </c>
      <c r="V21" s="605">
        <v>4.77696216826652</v>
      </c>
      <c r="W21" s="605">
        <v>1.55953816991211</v>
      </c>
      <c r="X21" s="605">
        <v>-0.34823298963462701</v>
      </c>
      <c r="Y21" s="605">
        <v>-5.8919138561560302</v>
      </c>
      <c r="Z21" s="605">
        <v>0.21018464321822</v>
      </c>
      <c r="AA21" s="605">
        <v>1.0233331220463799</v>
      </c>
      <c r="AB21" s="605">
        <v>1.67983839529362</v>
      </c>
      <c r="AC21" s="605">
        <v>2.8276343845454899</v>
      </c>
      <c r="AD21" s="605">
        <v>-0.83378746594005404</v>
      </c>
      <c r="AE21" s="605">
        <v>-2.0074274816822202</v>
      </c>
      <c r="AF21" s="605">
        <v>0</v>
      </c>
      <c r="AG21" s="605">
        <v>0.74550128534704396</v>
      </c>
      <c r="AH21" s="605">
        <v>0.36876070064533101</v>
      </c>
      <c r="AI21" s="605">
        <v>0</v>
      </c>
      <c r="AJ21" s="605">
        <v>6.6391149375758802</v>
      </c>
    </row>
    <row r="22" spans="1:36" s="283" customFormat="1" ht="11.85" customHeight="1">
      <c r="A22" s="559" t="s">
        <v>568</v>
      </c>
      <c r="B22" s="363">
        <v>4.3044224046245798</v>
      </c>
      <c r="C22" s="363">
        <v>-1.0204081632653099</v>
      </c>
      <c r="D22" s="363">
        <v>0</v>
      </c>
      <c r="E22" s="363">
        <v>0.16200294550809999</v>
      </c>
      <c r="F22" s="363">
        <v>-1.39335924981538E-3</v>
      </c>
      <c r="G22" s="363">
        <v>3.7332814822016398</v>
      </c>
      <c r="H22" s="363">
        <v>3.6527850357070002</v>
      </c>
      <c r="I22" s="363">
        <v>0.496770352540507</v>
      </c>
      <c r="J22" s="363">
        <v>0.78712665082204203</v>
      </c>
      <c r="K22" s="363">
        <v>-0.94986975030179799</v>
      </c>
      <c r="L22" s="363">
        <v>0</v>
      </c>
      <c r="M22" s="363">
        <v>6.3155618038282704</v>
      </c>
      <c r="N22" s="363">
        <v>0.61748456288592801</v>
      </c>
      <c r="O22" s="363">
        <v>5.6250698246006001</v>
      </c>
      <c r="P22" s="363">
        <v>0</v>
      </c>
      <c r="Q22" s="363">
        <v>2.4661471305623399</v>
      </c>
      <c r="R22" s="363">
        <v>6.6208097722762798</v>
      </c>
      <c r="S22" s="559" t="s">
        <v>568</v>
      </c>
      <c r="T22" s="606">
        <v>3.2845128697138199</v>
      </c>
      <c r="U22" s="606">
        <v>1.2987012987013E-2</v>
      </c>
      <c r="V22" s="606">
        <v>-1.44685587089594</v>
      </c>
      <c r="W22" s="606">
        <v>2.5808732543751098</v>
      </c>
      <c r="X22" s="606">
        <v>0.34671034671034701</v>
      </c>
      <c r="Y22" s="606">
        <v>1.0013953870146901</v>
      </c>
      <c r="Z22" s="606">
        <v>9.3128450741701597E-3</v>
      </c>
      <c r="AA22" s="606">
        <v>7.7307698144129704</v>
      </c>
      <c r="AB22" s="606">
        <v>2.6782140387904398</v>
      </c>
      <c r="AC22" s="606">
        <v>3.7523212187819799</v>
      </c>
      <c r="AD22" s="606">
        <v>0.96286107290233802</v>
      </c>
      <c r="AE22" s="606">
        <v>4.4449103679631001</v>
      </c>
      <c r="AF22" s="606">
        <v>3.9816842524387802E-2</v>
      </c>
      <c r="AG22" s="606">
        <v>2.2473386778814599</v>
      </c>
      <c r="AH22" s="606">
        <v>7.5495750708215299</v>
      </c>
      <c r="AI22" s="606">
        <v>0</v>
      </c>
      <c r="AJ22" s="606">
        <v>2.9449794474201698</v>
      </c>
    </row>
    <row r="23" spans="1:36" s="283" customFormat="1" ht="11.85" customHeight="1">
      <c r="A23" s="562" t="s">
        <v>561</v>
      </c>
      <c r="B23" s="377">
        <v>1.36065279171078</v>
      </c>
      <c r="C23" s="377">
        <v>-1.0101010101010099</v>
      </c>
      <c r="D23" s="377">
        <v>0</v>
      </c>
      <c r="E23" s="377">
        <v>0.23619722468261001</v>
      </c>
      <c r="F23" s="377">
        <v>2.9167562916756302</v>
      </c>
      <c r="G23" s="377">
        <v>2.7528827491722798</v>
      </c>
      <c r="H23" s="377">
        <v>3.21909552015256</v>
      </c>
      <c r="I23" s="377">
        <v>0.197561272859058</v>
      </c>
      <c r="J23" s="377">
        <v>-1.4023940956913501</v>
      </c>
      <c r="K23" s="377">
        <v>-6.35324015247776E-3</v>
      </c>
      <c r="L23" s="377">
        <v>-5.9520266650794603E-3</v>
      </c>
      <c r="M23" s="377">
        <v>4.2777130398827197</v>
      </c>
      <c r="N23" s="377">
        <v>0.44067243349110502</v>
      </c>
      <c r="O23" s="377">
        <v>1.24420314444067</v>
      </c>
      <c r="P23" s="377">
        <v>0</v>
      </c>
      <c r="Q23" s="377">
        <v>1.04016119599632</v>
      </c>
      <c r="R23" s="377">
        <v>1.7903229499642801</v>
      </c>
      <c r="S23" s="562" t="s">
        <v>561</v>
      </c>
      <c r="T23" s="605">
        <v>1.0967416014144999</v>
      </c>
      <c r="U23" s="605">
        <v>0</v>
      </c>
      <c r="V23" s="605">
        <v>-0.93715545755236995</v>
      </c>
      <c r="W23" s="605">
        <v>1.4981609401632701</v>
      </c>
      <c r="X23" s="605">
        <v>0</v>
      </c>
      <c r="Y23" s="605">
        <v>-16.268041237113401</v>
      </c>
      <c r="Z23" s="605">
        <v>-3.32491022742386E-2</v>
      </c>
      <c r="AA23" s="605">
        <v>4.0183416004703796</v>
      </c>
      <c r="AB23" s="605">
        <v>2.2624939530383701</v>
      </c>
      <c r="AC23" s="605">
        <v>0.87303900721081495</v>
      </c>
      <c r="AD23" s="605">
        <v>-0.54719562243502096</v>
      </c>
      <c r="AE23" s="605">
        <v>2.69688324271949</v>
      </c>
      <c r="AF23" s="605">
        <v>-3.98009950248756E-2</v>
      </c>
      <c r="AG23" s="605">
        <v>1.26430662762843</v>
      </c>
      <c r="AH23" s="605">
        <v>1.9641825534373201</v>
      </c>
      <c r="AI23" s="605">
        <v>1.08911699839355E-2</v>
      </c>
      <c r="AJ23" s="605">
        <v>0.83646667343013403</v>
      </c>
    </row>
    <row r="24" spans="1:36" s="283" customFormat="1" ht="11.85" customHeight="1">
      <c r="A24" s="559" t="s">
        <v>569</v>
      </c>
      <c r="B24" s="363">
        <v>4.1451543293409303</v>
      </c>
      <c r="C24" s="363">
        <v>-1</v>
      </c>
      <c r="D24" s="363">
        <v>0</v>
      </c>
      <c r="E24" s="363">
        <v>1.21021963245182</v>
      </c>
      <c r="F24" s="363">
        <v>3.1521803443583201</v>
      </c>
      <c r="G24" s="363">
        <v>2.2172949002217299</v>
      </c>
      <c r="H24" s="363">
        <v>1.7305224879715599</v>
      </c>
      <c r="I24" s="363">
        <v>-0.51433567102937305</v>
      </c>
      <c r="J24" s="363">
        <v>1.5479914136767901</v>
      </c>
      <c r="K24" s="363">
        <v>5.0418766058260198</v>
      </c>
      <c r="L24" s="363">
        <v>0</v>
      </c>
      <c r="M24" s="363">
        <v>1.96627060176313</v>
      </c>
      <c r="N24" s="363">
        <v>0.32749304077288299</v>
      </c>
      <c r="O24" s="363">
        <v>4.0117647058823502</v>
      </c>
      <c r="P24" s="363">
        <v>0</v>
      </c>
      <c r="Q24" s="363">
        <v>1.52539235282024</v>
      </c>
      <c r="R24" s="363">
        <v>2.50356570033804</v>
      </c>
      <c r="S24" s="559" t="s">
        <v>569</v>
      </c>
      <c r="T24" s="606">
        <v>-0.77196851972529901</v>
      </c>
      <c r="U24" s="606">
        <v>0</v>
      </c>
      <c r="V24" s="606">
        <v>-15.154349859681901</v>
      </c>
      <c r="W24" s="606">
        <v>2.2285399853264898</v>
      </c>
      <c r="X24" s="606">
        <v>0</v>
      </c>
      <c r="Y24" s="606">
        <v>3.3894691963333998</v>
      </c>
      <c r="Z24" s="606">
        <v>0.146510388918487</v>
      </c>
      <c r="AA24" s="606">
        <v>2.8674766286853202</v>
      </c>
      <c r="AB24" s="606">
        <v>2.2214614477538102</v>
      </c>
      <c r="AC24" s="606">
        <v>0.47001776369484799</v>
      </c>
      <c r="AD24" s="606">
        <v>-0.13661202185792301</v>
      </c>
      <c r="AE24" s="606">
        <v>0.39993514565205601</v>
      </c>
      <c r="AF24" s="606">
        <v>3.9816842524387802E-2</v>
      </c>
      <c r="AG24" s="606">
        <v>1.56799134901325</v>
      </c>
      <c r="AH24" s="606">
        <v>5.6776556776556797</v>
      </c>
      <c r="AI24" s="606">
        <v>-1.08899839372737E-2</v>
      </c>
      <c r="AJ24" s="606">
        <v>2.46786183960086</v>
      </c>
    </row>
    <row r="25" spans="1:36" s="283" customFormat="1" ht="11.85" customHeight="1">
      <c r="A25" s="562" t="s">
        <v>570</v>
      </c>
      <c r="B25" s="377">
        <v>-4.6033996225982401</v>
      </c>
      <c r="C25" s="377">
        <v>-0.99009900990098998</v>
      </c>
      <c r="D25" s="377">
        <v>0</v>
      </c>
      <c r="E25" s="377">
        <v>-1.40679089636886</v>
      </c>
      <c r="F25" s="377">
        <v>-2.7546426156877999</v>
      </c>
      <c r="G25" s="377">
        <v>-2.2960819805310502</v>
      </c>
      <c r="H25" s="377">
        <v>-2.1851375280986902</v>
      </c>
      <c r="I25" s="377">
        <v>-0.11218551404549899</v>
      </c>
      <c r="J25" s="377">
        <v>-1.3635483714852601</v>
      </c>
      <c r="K25" s="377">
        <v>-1.6829604356669501</v>
      </c>
      <c r="L25" s="377">
        <v>0</v>
      </c>
      <c r="M25" s="377">
        <v>-4.2393099651312198</v>
      </c>
      <c r="N25" s="377">
        <v>-0.58603288295621003</v>
      </c>
      <c r="O25" s="377">
        <v>-5.2344054852555901</v>
      </c>
      <c r="P25" s="377">
        <v>0</v>
      </c>
      <c r="Q25" s="377">
        <v>-1.7245238696068801</v>
      </c>
      <c r="R25" s="377">
        <v>-4.6529611832688502</v>
      </c>
      <c r="S25" s="562" t="s">
        <v>570</v>
      </c>
      <c r="T25" s="605">
        <v>-3.53388330641496</v>
      </c>
      <c r="U25" s="605">
        <v>0</v>
      </c>
      <c r="V25" s="605">
        <v>2.5911708253358898</v>
      </c>
      <c r="W25" s="605">
        <v>-1.25871592864258</v>
      </c>
      <c r="X25" s="605">
        <v>0.24630541871921199</v>
      </c>
      <c r="Y25" s="605">
        <v>-5.7590571218107502</v>
      </c>
      <c r="Z25" s="605">
        <v>2.7977990647357402E-2</v>
      </c>
      <c r="AA25" s="605">
        <v>-6.8873761674559901</v>
      </c>
      <c r="AB25" s="605">
        <v>-2.41285868072312</v>
      </c>
      <c r="AC25" s="605">
        <v>5.90871752006802E-2</v>
      </c>
      <c r="AD25" s="605">
        <v>1.10497237569061</v>
      </c>
      <c r="AE25" s="605">
        <v>-1.1380636888224001</v>
      </c>
      <c r="AF25" s="605">
        <v>-3.98009950248756E-2</v>
      </c>
      <c r="AG25" s="605">
        <v>-1.88328912466844</v>
      </c>
      <c r="AH25" s="605">
        <v>-6.71981776765376</v>
      </c>
      <c r="AI25" s="605">
        <v>0</v>
      </c>
      <c r="AJ25" s="605">
        <v>-2.33556212749532</v>
      </c>
    </row>
    <row r="26" spans="1:36" s="283" customFormat="1" ht="11.85" customHeight="1">
      <c r="A26" s="559" t="s">
        <v>562</v>
      </c>
      <c r="B26" s="363">
        <v>-0.75723834086481001</v>
      </c>
      <c r="C26" s="363">
        <v>-0.98039215686274495</v>
      </c>
      <c r="D26" s="363">
        <v>-2.6514649343762402E-2</v>
      </c>
      <c r="E26" s="363">
        <v>0.147525263701409</v>
      </c>
      <c r="F26" s="363">
        <v>0.91890950265656302</v>
      </c>
      <c r="G26" s="363">
        <v>2.15036543109222</v>
      </c>
      <c r="H26" s="363">
        <v>2.22452650195229</v>
      </c>
      <c r="I26" s="363">
        <v>-7.2612852474888107E-2</v>
      </c>
      <c r="J26" s="363">
        <v>0.54315100571129704</v>
      </c>
      <c r="K26" s="363">
        <v>1.1850622406639</v>
      </c>
      <c r="L26" s="363">
        <v>0</v>
      </c>
      <c r="M26" s="363">
        <v>2.5327412313713702</v>
      </c>
      <c r="N26" s="363">
        <v>0.163052339801076</v>
      </c>
      <c r="O26" s="363">
        <v>1.32738364211478</v>
      </c>
      <c r="P26" s="363">
        <v>0</v>
      </c>
      <c r="Q26" s="363">
        <v>1.27279457837565</v>
      </c>
      <c r="R26" s="363">
        <v>0.92412470705538496</v>
      </c>
      <c r="S26" s="559" t="s">
        <v>562</v>
      </c>
      <c r="T26" s="606">
        <v>-0.62518320607018796</v>
      </c>
      <c r="U26" s="606">
        <v>0</v>
      </c>
      <c r="V26" s="606">
        <v>-8.1128747795414498</v>
      </c>
      <c r="W26" s="606">
        <v>1.4422193643211501</v>
      </c>
      <c r="X26" s="606">
        <v>-2.32567684036281E-2</v>
      </c>
      <c r="Y26" s="606">
        <v>-3.4400258648561302</v>
      </c>
      <c r="Z26" s="606">
        <v>-5.3263026138830098E-2</v>
      </c>
      <c r="AA26" s="606">
        <v>1.43504531722054</v>
      </c>
      <c r="AB26" s="606">
        <v>1.31633382225732</v>
      </c>
      <c r="AC26" s="606">
        <v>-2.97749112755668E-2</v>
      </c>
      <c r="AD26" s="606">
        <v>10.365853658536601</v>
      </c>
      <c r="AE26" s="606">
        <v>1.8724145438711099</v>
      </c>
      <c r="AF26" s="606">
        <v>0</v>
      </c>
      <c r="AG26" s="606">
        <v>1.4668281523348099</v>
      </c>
      <c r="AH26" s="606">
        <v>2.5551175354066298</v>
      </c>
      <c r="AI26" s="606">
        <v>1.36143331699613E-2</v>
      </c>
      <c r="AJ26" s="606">
        <v>2.05984877033826</v>
      </c>
    </row>
    <row r="27" spans="1:36" s="283" customFormat="1" ht="11.85" customHeight="1">
      <c r="A27" s="562" t="s">
        <v>571</v>
      </c>
      <c r="B27" s="377">
        <v>-1.13704373760997</v>
      </c>
      <c r="C27" s="377">
        <v>-0.970873786407767</v>
      </c>
      <c r="D27" s="377">
        <v>2.6521681474605499E-2</v>
      </c>
      <c r="E27" s="377">
        <v>3.68949232585596E-2</v>
      </c>
      <c r="F27" s="377">
        <v>-0.51126516464471405</v>
      </c>
      <c r="G27" s="377">
        <v>1.52540869719455</v>
      </c>
      <c r="H27" s="377">
        <v>1.63208863017715</v>
      </c>
      <c r="I27" s="377">
        <v>1.9109010535434501E-3</v>
      </c>
      <c r="J27" s="377">
        <v>0.563337207168634</v>
      </c>
      <c r="K27" s="377">
        <v>2.6755282890252201</v>
      </c>
      <c r="L27" s="377">
        <v>0</v>
      </c>
      <c r="M27" s="377">
        <v>-2.5202685351627001</v>
      </c>
      <c r="N27" s="377">
        <v>3.2621105855488497E-2</v>
      </c>
      <c r="O27" s="377">
        <v>-0.77345589059522502</v>
      </c>
      <c r="P27" s="377">
        <v>0</v>
      </c>
      <c r="Q27" s="377">
        <v>0.17103379767322599</v>
      </c>
      <c r="R27" s="377">
        <v>-0.63454412746544298</v>
      </c>
      <c r="S27" s="562" t="s">
        <v>571</v>
      </c>
      <c r="T27" s="605">
        <v>-2.1346137567132901</v>
      </c>
      <c r="U27" s="605">
        <v>0</v>
      </c>
      <c r="V27" s="605">
        <v>-8.8105726872246701E-2</v>
      </c>
      <c r="W27" s="605">
        <v>-1.89257390050469</v>
      </c>
      <c r="X27" s="605">
        <v>0.244106474307108</v>
      </c>
      <c r="Y27" s="605">
        <v>-3.88440024860162</v>
      </c>
      <c r="Z27" s="605">
        <v>0.113312181726078</v>
      </c>
      <c r="AA27" s="605">
        <v>-2.5430251761734302</v>
      </c>
      <c r="AB27" s="605">
        <v>-0.40453983593662202</v>
      </c>
      <c r="AC27" s="605">
        <v>1.4578268051082399</v>
      </c>
      <c r="AD27" s="605">
        <v>2.1806853582554502</v>
      </c>
      <c r="AE27" s="605">
        <v>2.7229521945764601</v>
      </c>
      <c r="AF27" s="605">
        <v>0</v>
      </c>
      <c r="AG27" s="605">
        <v>0.09</v>
      </c>
      <c r="AH27" s="605">
        <v>0.34</v>
      </c>
      <c r="AI27" s="605">
        <v>0.01</v>
      </c>
      <c r="AJ27" s="605">
        <v>2.12</v>
      </c>
    </row>
    <row r="28" spans="1:36" s="283" customFormat="1" ht="11.85" customHeight="1">
      <c r="A28" s="559" t="s">
        <v>572</v>
      </c>
      <c r="B28" s="363">
        <v>-1.37</v>
      </c>
      <c r="C28" s="363">
        <v>-1.44</v>
      </c>
      <c r="D28" s="363">
        <v>0.01</v>
      </c>
      <c r="E28" s="363">
        <v>-0.35</v>
      </c>
      <c r="F28" s="363">
        <v>-2.2323886982674601</v>
      </c>
      <c r="G28" s="363">
        <v>-2.48</v>
      </c>
      <c r="H28" s="363">
        <v>-2.6</v>
      </c>
      <c r="I28" s="363">
        <v>0.2</v>
      </c>
      <c r="J28" s="363">
        <v>-1.1499999999999999</v>
      </c>
      <c r="K28" s="363">
        <v>-2.15</v>
      </c>
      <c r="L28" s="363">
        <v>0</v>
      </c>
      <c r="M28" s="363">
        <v>-2.5106398197489401</v>
      </c>
      <c r="N28" s="363">
        <v>-0.34</v>
      </c>
      <c r="O28" s="363">
        <v>-3.38</v>
      </c>
      <c r="P28" s="363">
        <v>0</v>
      </c>
      <c r="Q28" s="363">
        <v>-1.1399999999999999</v>
      </c>
      <c r="R28" s="363">
        <v>-2.38</v>
      </c>
      <c r="S28" s="559" t="s">
        <v>572</v>
      </c>
      <c r="T28" s="606">
        <v>-4.96</v>
      </c>
      <c r="U28" s="606">
        <v>0</v>
      </c>
      <c r="V28" s="606">
        <v>-0.83</v>
      </c>
      <c r="W28" s="606">
        <v>-1.3</v>
      </c>
      <c r="X28" s="606">
        <v>-0.03</v>
      </c>
      <c r="Y28" s="606">
        <v>7</v>
      </c>
      <c r="Z28" s="606">
        <v>0.02</v>
      </c>
      <c r="AA28" s="606">
        <v>1.1299999999999999</v>
      </c>
      <c r="AB28" s="606">
        <v>-1.1478505572629301</v>
      </c>
      <c r="AC28" s="606">
        <v>-6.0059262380295904</v>
      </c>
      <c r="AD28" s="606">
        <v>8.9058524173027998</v>
      </c>
      <c r="AE28" s="606">
        <v>-1.27</v>
      </c>
      <c r="AF28" s="606">
        <v>0</v>
      </c>
      <c r="AG28" s="606">
        <v>-1.19776417354272</v>
      </c>
      <c r="AH28" s="606">
        <v>-1.67</v>
      </c>
      <c r="AI28" s="606">
        <v>-0.02</v>
      </c>
      <c r="AJ28" s="606">
        <v>-1.27246513826458</v>
      </c>
    </row>
    <row r="29" spans="1:36" s="283" customFormat="1" ht="11.85" customHeight="1">
      <c r="A29" s="562" t="s">
        <v>563</v>
      </c>
      <c r="B29" s="377">
        <v>2.2938226198026301</v>
      </c>
      <c r="C29" s="377">
        <v>-1.4150943396226401</v>
      </c>
      <c r="D29" s="377">
        <v>0</v>
      </c>
      <c r="E29" s="377">
        <v>2.7269980359570898</v>
      </c>
      <c r="F29" s="377">
        <v>-2.5530948793626602</v>
      </c>
      <c r="G29" s="377">
        <v>1.5</v>
      </c>
      <c r="H29" s="377">
        <v>1.64881240975987</v>
      </c>
      <c r="I29" s="377">
        <v>0.05</v>
      </c>
      <c r="J29" s="377">
        <v>0.72658838433053996</v>
      </c>
      <c r="K29" s="377">
        <v>-0.23</v>
      </c>
      <c r="L29" s="377">
        <v>0</v>
      </c>
      <c r="M29" s="377">
        <v>-3.1385318876225399</v>
      </c>
      <c r="N29" s="377">
        <v>4.8788420881444097E-2</v>
      </c>
      <c r="O29" s="377">
        <v>-1.4515956879069301</v>
      </c>
      <c r="P29" s="377">
        <v>0</v>
      </c>
      <c r="Q29" s="377">
        <v>0.13520988261323799</v>
      </c>
      <c r="R29" s="377">
        <v>1.72242501868036</v>
      </c>
      <c r="S29" s="562" t="s">
        <v>563</v>
      </c>
      <c r="T29" s="605">
        <v>3.3395227669539702</v>
      </c>
      <c r="U29" s="605">
        <v>0</v>
      </c>
      <c r="V29" s="605">
        <v>-0.26143790849673199</v>
      </c>
      <c r="W29" s="605">
        <v>0.82511210762331799</v>
      </c>
      <c r="X29" s="605">
        <v>0.107051686750295</v>
      </c>
      <c r="Y29" s="605">
        <v>-10.1195457262403</v>
      </c>
      <c r="Z29" s="605">
        <v>-2.6658846738290099E-2</v>
      </c>
      <c r="AA29" s="605">
        <v>1.58</v>
      </c>
      <c r="AB29" s="605">
        <v>-0.14050656313551499</v>
      </c>
      <c r="AC29" s="605">
        <v>1.0828102142473599</v>
      </c>
      <c r="AD29" s="605">
        <v>-4.22420796100731</v>
      </c>
      <c r="AE29" s="605">
        <v>0.92484260961613496</v>
      </c>
      <c r="AF29" s="605">
        <v>0</v>
      </c>
      <c r="AG29" s="605">
        <v>-5.3205639797818602E-2</v>
      </c>
      <c r="AH29" s="605">
        <v>-1.43404799091296</v>
      </c>
      <c r="AI29" s="605">
        <v>0</v>
      </c>
      <c r="AJ29" s="605">
        <v>2.3521811473907999</v>
      </c>
    </row>
    <row r="30" spans="1:36" s="475" customFormat="1" ht="11.85" customHeight="1">
      <c r="A30" s="570" t="s">
        <v>2345</v>
      </c>
      <c r="B30" s="623">
        <v>1.49992507123463E-2</v>
      </c>
      <c r="C30" s="623">
        <v>-10.1694915254237</v>
      </c>
      <c r="D30" s="623">
        <v>0</v>
      </c>
      <c r="E30" s="623">
        <v>-3.2274571439014599</v>
      </c>
      <c r="F30" s="623">
        <v>1.9763428186563401</v>
      </c>
      <c r="G30" s="623">
        <v>-1.7958738003563</v>
      </c>
      <c r="H30" s="623">
        <v>-1.8053520285684601</v>
      </c>
      <c r="I30" s="623">
        <v>0.27919545602991702</v>
      </c>
      <c r="J30" s="623">
        <v>-1.51631477927063</v>
      </c>
      <c r="K30" s="623">
        <v>-8.2290076335877895</v>
      </c>
      <c r="L30" s="623">
        <v>0</v>
      </c>
      <c r="M30" s="623">
        <v>-10.270119051319501</v>
      </c>
      <c r="N30" s="623">
        <v>0.228198859005705</v>
      </c>
      <c r="O30" s="623">
        <v>-0.69952305246422897</v>
      </c>
      <c r="P30" s="623">
        <v>0</v>
      </c>
      <c r="Q30" s="623">
        <v>-1.35741382975896</v>
      </c>
      <c r="R30" s="623">
        <v>-0.91175532286413696</v>
      </c>
      <c r="S30" s="570" t="s">
        <v>2345</v>
      </c>
      <c r="T30" s="691">
        <v>1.3548435422557601</v>
      </c>
      <c r="U30" s="691">
        <v>0</v>
      </c>
      <c r="V30" s="691">
        <v>3.0812073302191898</v>
      </c>
      <c r="W30" s="691">
        <v>-4.6845614634980297</v>
      </c>
      <c r="X30" s="691">
        <v>-7.9539221064179905E-2</v>
      </c>
      <c r="Y30" s="691">
        <v>-2.4489795918367299</v>
      </c>
      <c r="Z30" s="691">
        <v>-1.86577109654033E-2</v>
      </c>
      <c r="AA30" s="691">
        <v>-5.6983584007529302</v>
      </c>
      <c r="AB30" s="691">
        <v>-0.27287141856263097</v>
      </c>
      <c r="AC30" s="691">
        <v>1.9039891308450001</v>
      </c>
      <c r="AD30" s="691">
        <v>0.58833142670370997</v>
      </c>
      <c r="AE30" s="691">
        <v>-0.161308265658026</v>
      </c>
      <c r="AF30" s="691">
        <v>-80.675306695381295</v>
      </c>
      <c r="AG30" s="691">
        <v>-1.1179797448375599</v>
      </c>
      <c r="AH30" s="691">
        <v>-4.2289910252923599</v>
      </c>
      <c r="AI30" s="691">
        <v>-2.7225701061802301E-3</v>
      </c>
      <c r="AJ30" s="691">
        <v>-0.48795846906843299</v>
      </c>
    </row>
    <row r="31" spans="1:36" s="283" customFormat="1" ht="11.85" customHeight="1">
      <c r="A31" s="562" t="s">
        <v>565</v>
      </c>
      <c r="B31" s="377">
        <v>-0.25498726212541201</v>
      </c>
      <c r="C31" s="377">
        <v>-2.75229357798165</v>
      </c>
      <c r="D31" s="377">
        <v>0</v>
      </c>
      <c r="E31" s="377">
        <v>-0.120718273728686</v>
      </c>
      <c r="F31" s="377">
        <v>1.92342752962625</v>
      </c>
      <c r="G31" s="377">
        <v>1.06305906705107</v>
      </c>
      <c r="H31" s="377">
        <v>0.95308173832079202</v>
      </c>
      <c r="I31" s="377">
        <v>0.43354732784771199</v>
      </c>
      <c r="J31" s="377">
        <v>-0.19087449697883399</v>
      </c>
      <c r="K31" s="377">
        <v>-0.44057241287929</v>
      </c>
      <c r="L31" s="377">
        <v>0</v>
      </c>
      <c r="M31" s="377">
        <v>2.2455991215953</v>
      </c>
      <c r="N31" s="377">
        <v>8.1380208333324405E-2</v>
      </c>
      <c r="O31" s="377">
        <v>3.2851945761217101</v>
      </c>
      <c r="P31" s="377">
        <v>0</v>
      </c>
      <c r="Q31" s="377">
        <v>0.72743924932475501</v>
      </c>
      <c r="R31" s="377">
        <v>0.40703362570683899</v>
      </c>
      <c r="S31" s="562" t="s">
        <v>565</v>
      </c>
      <c r="T31" s="605">
        <v>6.14832465507605</v>
      </c>
      <c r="U31" s="605">
        <v>0</v>
      </c>
      <c r="V31" s="605">
        <v>1.39433782207613</v>
      </c>
      <c r="W31" s="605">
        <v>1.69646114556731</v>
      </c>
      <c r="X31" s="605">
        <v>-4.1156779893542703E-2</v>
      </c>
      <c r="Y31" s="605">
        <v>-8.7388173685358801</v>
      </c>
      <c r="Z31" s="605">
        <v>1.3331200341271301E-2</v>
      </c>
      <c r="AA31" s="605">
        <v>2.1523464458246999</v>
      </c>
      <c r="AB31" s="605">
        <v>1.57746478873239</v>
      </c>
      <c r="AC31" s="605">
        <v>2.3967083183222999</v>
      </c>
      <c r="AD31" s="605">
        <v>-6.4589665653495398</v>
      </c>
      <c r="AE31" s="605">
        <v>3.1551724137931001</v>
      </c>
      <c r="AF31" s="605">
        <v>0</v>
      </c>
      <c r="AG31" s="605">
        <v>0.96696212731667996</v>
      </c>
      <c r="AH31" s="605">
        <v>2.66763848396501</v>
      </c>
      <c r="AI31" s="605">
        <v>-5.4449919686362499E-3</v>
      </c>
      <c r="AJ31" s="605">
        <v>1.14512941397815</v>
      </c>
    </row>
    <row r="32" spans="1:36" s="283" customFormat="1" ht="11.85" customHeight="1">
      <c r="A32" s="559" t="s">
        <v>566</v>
      </c>
      <c r="B32" s="363">
        <v>-2.6015038786249902</v>
      </c>
      <c r="C32" s="363">
        <v>-0.45662100456621002</v>
      </c>
      <c r="D32" s="363">
        <v>0</v>
      </c>
      <c r="E32" s="363">
        <v>-2.0616271336732401</v>
      </c>
      <c r="F32" s="363">
        <v>-0.70462742476779305</v>
      </c>
      <c r="G32" s="363">
        <v>-0.873503246324984</v>
      </c>
      <c r="H32" s="363">
        <v>-0.81699597007812397</v>
      </c>
      <c r="I32" s="363">
        <v>-0.654348518636508</v>
      </c>
      <c r="J32" s="363">
        <v>-0.43877964788689799</v>
      </c>
      <c r="K32" s="363">
        <v>-0.91899698043849298</v>
      </c>
      <c r="L32" s="363">
        <v>0</v>
      </c>
      <c r="M32" s="363">
        <v>-3.4802228983624501</v>
      </c>
      <c r="N32" s="363">
        <v>-0.25974025974025999</v>
      </c>
      <c r="O32" s="363">
        <v>-2.25215517241379</v>
      </c>
      <c r="P32" s="363">
        <v>0</v>
      </c>
      <c r="Q32" s="363">
        <v>-1.2731787691349401</v>
      </c>
      <c r="R32" s="363">
        <v>-3.4052220683002599</v>
      </c>
      <c r="S32" s="559" t="s">
        <v>566</v>
      </c>
      <c r="T32" s="606">
        <v>-3.74526886084552</v>
      </c>
      <c r="U32" s="606">
        <v>0</v>
      </c>
      <c r="V32" s="606">
        <v>-7.0837438423645303</v>
      </c>
      <c r="W32" s="606">
        <v>-3.3668253128856001</v>
      </c>
      <c r="X32" s="606">
        <v>-1.50885423096443E-2</v>
      </c>
      <c r="Y32" s="606">
        <v>-4.8182762201453802</v>
      </c>
      <c r="Z32" s="606">
        <v>-1.86601977980967E-2</v>
      </c>
      <c r="AA32" s="606">
        <v>-3.6470868265848599</v>
      </c>
      <c r="AB32" s="606">
        <v>-1.36697043787508</v>
      </c>
      <c r="AC32" s="606">
        <v>-2.7314644042788601</v>
      </c>
      <c r="AD32" s="606">
        <v>3.13479623824451</v>
      </c>
      <c r="AE32" s="606">
        <v>-0.922446190638879</v>
      </c>
      <c r="AF32" s="606">
        <v>-80.675306695381295</v>
      </c>
      <c r="AG32" s="606">
        <v>-0.95770151636073397</v>
      </c>
      <c r="AH32" s="606">
        <v>-1.85979971387697</v>
      </c>
      <c r="AI32" s="606">
        <v>6.8067032413520797E-3</v>
      </c>
      <c r="AJ32" s="606">
        <v>-1.02322795922659</v>
      </c>
    </row>
    <row r="33" spans="1:36" s="283" customFormat="1" ht="11.85" customHeight="1">
      <c r="A33" s="562" t="s">
        <v>560</v>
      </c>
      <c r="B33" s="377">
        <v>-1.24285759781206</v>
      </c>
      <c r="C33" s="377">
        <v>-0.68027210884353695</v>
      </c>
      <c r="D33" s="377">
        <v>0</v>
      </c>
      <c r="E33" s="377">
        <v>0.118369460679145</v>
      </c>
      <c r="F33" s="377">
        <v>0.131070736366552</v>
      </c>
      <c r="G33" s="377">
        <v>-3.2582342015341199</v>
      </c>
      <c r="H33" s="377">
        <v>-3.2399782548073301</v>
      </c>
      <c r="I33" s="377">
        <v>0.33369984913186901</v>
      </c>
      <c r="J33" s="377">
        <v>-0.76812203471262996</v>
      </c>
      <c r="K33" s="377">
        <v>-1.95333869670153</v>
      </c>
      <c r="L33" s="377">
        <v>0</v>
      </c>
      <c r="M33" s="377">
        <v>-1.8883745891192101</v>
      </c>
      <c r="N33" s="377">
        <v>-0.43639890092128703</v>
      </c>
      <c r="O33" s="377">
        <v>-1.4129395516838399</v>
      </c>
      <c r="P33" s="377">
        <v>0</v>
      </c>
      <c r="Q33" s="377">
        <v>-0.78431437699255901</v>
      </c>
      <c r="R33" s="377">
        <v>-0.176269611265854</v>
      </c>
      <c r="S33" s="562" t="s">
        <v>560</v>
      </c>
      <c r="T33" s="605">
        <v>-2.0614363496861601</v>
      </c>
      <c r="U33" s="605">
        <v>0</v>
      </c>
      <c r="V33" s="605">
        <v>6.7859021567596001</v>
      </c>
      <c r="W33" s="605">
        <v>-0.36880927291886201</v>
      </c>
      <c r="X33" s="605">
        <v>-1.50862660120142E-2</v>
      </c>
      <c r="Y33" s="605">
        <v>-1.0383137784238401E-2</v>
      </c>
      <c r="Z33" s="605">
        <v>0</v>
      </c>
      <c r="AA33" s="605">
        <v>-2.0146676094610201</v>
      </c>
      <c r="AB33" s="605">
        <v>-1.39898454907404</v>
      </c>
      <c r="AC33" s="605">
        <v>-1.52203131243416</v>
      </c>
      <c r="AD33" s="605">
        <v>-1.2383900928792599</v>
      </c>
      <c r="AE33" s="605">
        <v>-4.1113841113841101</v>
      </c>
      <c r="AF33" s="605">
        <v>0</v>
      </c>
      <c r="AG33" s="605">
        <v>-1.4162077104641999</v>
      </c>
      <c r="AH33" s="605">
        <v>-4.3775649794801597</v>
      </c>
      <c r="AI33" s="605">
        <v>-6.8062399607960603E-3</v>
      </c>
      <c r="AJ33" s="605">
        <v>-4.41823727734897</v>
      </c>
    </row>
    <row r="34" spans="1:36" s="283" customFormat="1" ht="11.85" customHeight="1">
      <c r="A34" s="559" t="s">
        <v>567</v>
      </c>
      <c r="B34" s="363">
        <v>-0.33612315970047801</v>
      </c>
      <c r="C34" s="363">
        <v>-0.22624434389140299</v>
      </c>
      <c r="D34" s="363">
        <v>-5.3022269353128301E-2</v>
      </c>
      <c r="E34" s="363">
        <v>-2.2349197164761998</v>
      </c>
      <c r="F34" s="363">
        <v>-8.6376238175510905E-2</v>
      </c>
      <c r="G34" s="363">
        <v>0.29507334172337102</v>
      </c>
      <c r="H34" s="363">
        <v>0.40673480014749003</v>
      </c>
      <c r="I34" s="363">
        <v>8.3112233481443601E-3</v>
      </c>
      <c r="J34" s="363">
        <v>0</v>
      </c>
      <c r="K34" s="363">
        <v>-2.27987421383648</v>
      </c>
      <c r="L34" s="363">
        <v>0</v>
      </c>
      <c r="M34" s="363">
        <v>-3.01780504979378E-2</v>
      </c>
      <c r="N34" s="363">
        <v>0</v>
      </c>
      <c r="O34" s="363">
        <v>-1.2484263533361299</v>
      </c>
      <c r="P34" s="363">
        <v>0</v>
      </c>
      <c r="Q34" s="363">
        <v>-0.40282182104584802</v>
      </c>
      <c r="R34" s="363">
        <v>-1.74051377843911</v>
      </c>
      <c r="S34" s="559" t="s">
        <v>567</v>
      </c>
      <c r="T34" s="606">
        <v>-2.9532874610878399</v>
      </c>
      <c r="U34" s="606">
        <v>0</v>
      </c>
      <c r="V34" s="606">
        <v>1.4046941678520599</v>
      </c>
      <c r="W34" s="606">
        <v>0.193559739574169</v>
      </c>
      <c r="X34" s="606">
        <v>-0.25444596443228501</v>
      </c>
      <c r="Y34" s="606">
        <v>3.4840304080371798</v>
      </c>
      <c r="Z34" s="606">
        <v>-1.0661833302236299E-2</v>
      </c>
      <c r="AA34" s="606">
        <v>-1.44359967130346E-2</v>
      </c>
      <c r="AB34" s="606">
        <v>0.329827390332393</v>
      </c>
      <c r="AC34" s="606">
        <v>-1.4445538351382801</v>
      </c>
      <c r="AD34" s="606">
        <v>-1.3363879343260801</v>
      </c>
      <c r="AE34" s="606">
        <v>1.5243902439024399</v>
      </c>
      <c r="AF34" s="606">
        <v>0</v>
      </c>
      <c r="AG34" s="606">
        <v>2.62329485834208E-2</v>
      </c>
      <c r="AH34" s="606">
        <v>1.28862408202854</v>
      </c>
      <c r="AI34" s="606">
        <v>0</v>
      </c>
      <c r="AJ34" s="606">
        <v>9.0475408362933399E-2</v>
      </c>
    </row>
    <row r="35" spans="1:36" s="283" customFormat="1" ht="11.85" customHeight="1">
      <c r="A35" s="562" t="s">
        <v>568</v>
      </c>
      <c r="B35" s="377">
        <v>3.8117648900224599</v>
      </c>
      <c r="C35" s="377">
        <v>0</v>
      </c>
      <c r="D35" s="377">
        <v>0.15932023366967599</v>
      </c>
      <c r="E35" s="377">
        <v>1.7403142131792899</v>
      </c>
      <c r="F35" s="377">
        <v>1.0715593229885401</v>
      </c>
      <c r="G35" s="377">
        <v>3.4626588983050799</v>
      </c>
      <c r="H35" s="377">
        <v>3.3443243033131802</v>
      </c>
      <c r="I35" s="377">
        <v>0.21013921723141599</v>
      </c>
      <c r="J35" s="377">
        <v>-0.12236524826949099</v>
      </c>
      <c r="K35" s="377">
        <v>2.6733824099186401</v>
      </c>
      <c r="L35" s="377">
        <v>0</v>
      </c>
      <c r="M35" s="377">
        <v>1.2699921898876001</v>
      </c>
      <c r="N35" s="377">
        <v>0.32430679422733899</v>
      </c>
      <c r="O35" s="377">
        <v>2.4285407264130701</v>
      </c>
      <c r="P35" s="377">
        <v>0</v>
      </c>
      <c r="Q35" s="377">
        <v>1.7705739020319999</v>
      </c>
      <c r="R35" s="377">
        <v>5.3739390658547004</v>
      </c>
      <c r="S35" s="562" t="s">
        <v>568</v>
      </c>
      <c r="T35" s="605">
        <v>4.5675422138836801</v>
      </c>
      <c r="U35" s="605">
        <v>0</v>
      </c>
      <c r="V35" s="605">
        <v>-1.6783216783216801</v>
      </c>
      <c r="W35" s="605">
        <v>2.4794878730502199</v>
      </c>
      <c r="X35" s="605">
        <v>0.23997257456290699</v>
      </c>
      <c r="Y35" s="605">
        <v>4.9239007891769999</v>
      </c>
      <c r="Z35" s="605">
        <v>1.06629701703409E-2</v>
      </c>
      <c r="AA35" s="605">
        <v>4.78428999740132</v>
      </c>
      <c r="AB35" s="605">
        <v>2.3479989497768301</v>
      </c>
      <c r="AC35" s="605">
        <v>7.9532553611888099</v>
      </c>
      <c r="AD35" s="605">
        <v>7.6423385555980106E-2</v>
      </c>
      <c r="AE35" s="605">
        <v>3.2095657646318401</v>
      </c>
      <c r="AF35" s="605">
        <v>0</v>
      </c>
      <c r="AG35" s="605">
        <v>1.89788826516974</v>
      </c>
      <c r="AH35" s="605">
        <v>3.3806044979229299</v>
      </c>
      <c r="AI35" s="605">
        <v>1.36147038801906E-2</v>
      </c>
      <c r="AJ35" s="605">
        <v>4.3224587637182701</v>
      </c>
    </row>
    <row r="36" spans="1:36" s="283" customFormat="1" ht="11.85" customHeight="1">
      <c r="A36" s="559" t="s">
        <v>561</v>
      </c>
      <c r="B36" s="363">
        <v>2.91628904031937</v>
      </c>
      <c r="C36" s="363">
        <v>0.45454545454545497</v>
      </c>
      <c r="D36" s="363">
        <v>-0.10610079575596799</v>
      </c>
      <c r="E36" s="363">
        <v>2.5816191734289502</v>
      </c>
      <c r="F36" s="363">
        <v>0.26967117059878298</v>
      </c>
      <c r="G36" s="363">
        <v>0.62326972330377395</v>
      </c>
      <c r="H36" s="363">
        <v>0.61075912719686798</v>
      </c>
      <c r="I36" s="363">
        <v>-5.50671370851556E-2</v>
      </c>
      <c r="J36" s="363">
        <v>0.167633009883738</v>
      </c>
      <c r="K36" s="363">
        <v>0.57803468208092501</v>
      </c>
      <c r="L36" s="363">
        <v>0</v>
      </c>
      <c r="M36" s="363">
        <v>4.3809591323148904</v>
      </c>
      <c r="N36" s="363">
        <v>0.35801464605370198</v>
      </c>
      <c r="O36" s="363">
        <v>1.26224156692057</v>
      </c>
      <c r="P36" s="363">
        <v>0</v>
      </c>
      <c r="Q36" s="363">
        <v>0.614942796511455</v>
      </c>
      <c r="R36" s="363">
        <v>2.7286157093608701</v>
      </c>
      <c r="S36" s="559" t="s">
        <v>561</v>
      </c>
      <c r="T36" s="606">
        <v>4.9315877547002698</v>
      </c>
      <c r="U36" s="606">
        <v>0</v>
      </c>
      <c r="V36" s="606">
        <v>1.7341040462427699</v>
      </c>
      <c r="W36" s="606">
        <v>0.102891801148056</v>
      </c>
      <c r="X36" s="606">
        <v>2.05733095597312E-2</v>
      </c>
      <c r="Y36" s="606">
        <v>-3.1923601637107799</v>
      </c>
      <c r="Z36" s="606">
        <v>2.6664533503986301E-2</v>
      </c>
      <c r="AA36" s="606">
        <v>-0.45866777858855401</v>
      </c>
      <c r="AB36" s="606">
        <v>1.02307604865295</v>
      </c>
      <c r="AC36" s="606">
        <v>2.7943586432934402</v>
      </c>
      <c r="AD36" s="606">
        <v>1</v>
      </c>
      <c r="AE36" s="606">
        <v>3.8315314244980399</v>
      </c>
      <c r="AF36" s="606">
        <v>0</v>
      </c>
      <c r="AG36" s="606">
        <v>0.38910505836575898</v>
      </c>
      <c r="AH36" s="606">
        <v>1.54181818181818</v>
      </c>
      <c r="AI36" s="606">
        <v>-8.1681550860379006E-3</v>
      </c>
      <c r="AJ36" s="606">
        <v>0.28000000000000003</v>
      </c>
    </row>
    <row r="37" spans="1:36" s="283" customFormat="1" ht="11.85" customHeight="1">
      <c r="A37" s="562" t="s">
        <v>569</v>
      </c>
      <c r="B37" s="377">
        <v>-3.06856569010779</v>
      </c>
      <c r="C37" s="377">
        <v>0</v>
      </c>
      <c r="D37" s="377">
        <v>-1.3260840737302699E-2</v>
      </c>
      <c r="E37" s="377">
        <v>-1.1233019853709501</v>
      </c>
      <c r="F37" s="377">
        <v>-0.29842762426272901</v>
      </c>
      <c r="G37" s="377">
        <v>-1.72408776115929</v>
      </c>
      <c r="H37" s="377">
        <v>-1.7667869886026599</v>
      </c>
      <c r="I37" s="377">
        <v>-0.119595804553594</v>
      </c>
      <c r="J37" s="377">
        <v>0.111278195488722</v>
      </c>
      <c r="K37" s="377">
        <v>-2.4363970471754901</v>
      </c>
      <c r="L37" s="377">
        <v>0</v>
      </c>
      <c r="M37" s="377">
        <v>-4.4307442159818402</v>
      </c>
      <c r="N37" s="377">
        <v>-0.146246343841404</v>
      </c>
      <c r="O37" s="377">
        <v>-2.86439065637882</v>
      </c>
      <c r="P37" s="377">
        <v>0</v>
      </c>
      <c r="Q37" s="377">
        <v>-0.93165460380550802</v>
      </c>
      <c r="R37" s="377">
        <v>-2.98022809764523</v>
      </c>
      <c r="S37" s="562" t="s">
        <v>569</v>
      </c>
      <c r="T37" s="605">
        <v>-2.69902689449084</v>
      </c>
      <c r="U37" s="605">
        <v>0</v>
      </c>
      <c r="V37" s="605">
        <v>0.34802784222737798</v>
      </c>
      <c r="W37" s="605">
        <v>-1.71996274448929</v>
      </c>
      <c r="X37" s="605">
        <v>0</v>
      </c>
      <c r="Y37" s="605">
        <v>2.2315202231520201</v>
      </c>
      <c r="Z37" s="605">
        <v>5.3331911149035998E-3</v>
      </c>
      <c r="AA37" s="605">
        <v>-2.9819606550499702</v>
      </c>
      <c r="AB37" s="605">
        <v>-1.4672939068100399</v>
      </c>
      <c r="AC37" s="605">
        <v>-3.4641124470267899</v>
      </c>
      <c r="AD37" s="605">
        <v>2.4675735526731999</v>
      </c>
      <c r="AE37" s="605">
        <v>-2.3323276862381102</v>
      </c>
      <c r="AF37" s="605">
        <v>0</v>
      </c>
      <c r="AG37" s="605">
        <v>-0.86459164671455202</v>
      </c>
      <c r="AH37" s="605">
        <v>-3.1144306651634701</v>
      </c>
      <c r="AI37" s="605">
        <v>-4.0839107529370101E-3</v>
      </c>
      <c r="AJ37" s="605">
        <v>-0.25135497275526703</v>
      </c>
    </row>
    <row r="38" spans="1:36" s="283" customFormat="1" ht="11.85" customHeight="1">
      <c r="A38" s="559" t="s">
        <v>570</v>
      </c>
      <c r="B38" s="363">
        <v>-1.58</v>
      </c>
      <c r="C38" s="363">
        <v>0</v>
      </c>
      <c r="D38" s="363">
        <v>0.09</v>
      </c>
      <c r="E38" s="363">
        <v>-1.33</v>
      </c>
      <c r="F38" s="363">
        <v>0</v>
      </c>
      <c r="G38" s="363">
        <v>-0.06</v>
      </c>
      <c r="H38" s="363">
        <v>-0.04</v>
      </c>
      <c r="I38" s="363">
        <v>-0.13</v>
      </c>
      <c r="J38" s="363">
        <v>0.24</v>
      </c>
      <c r="K38" s="363">
        <v>0.38</v>
      </c>
      <c r="L38" s="363">
        <v>0</v>
      </c>
      <c r="M38" s="363">
        <v>-2.04</v>
      </c>
      <c r="N38" s="363">
        <v>0.05</v>
      </c>
      <c r="O38" s="363">
        <v>-0.68</v>
      </c>
      <c r="P38" s="363">
        <v>0</v>
      </c>
      <c r="Q38" s="363">
        <v>-0.05</v>
      </c>
      <c r="R38" s="363">
        <v>-0.59</v>
      </c>
      <c r="S38" s="559" t="s">
        <v>570</v>
      </c>
      <c r="T38" s="606">
        <v>-1.4</v>
      </c>
      <c r="U38" s="606">
        <v>0</v>
      </c>
      <c r="V38" s="606">
        <v>0.94</v>
      </c>
      <c r="W38" s="606">
        <v>0.39</v>
      </c>
      <c r="X38" s="606">
        <v>-0.03</v>
      </c>
      <c r="Y38" s="606">
        <v>-2.1</v>
      </c>
      <c r="Z38" s="606">
        <v>-0.01</v>
      </c>
      <c r="AA38" s="606">
        <v>0.06</v>
      </c>
      <c r="AB38" s="606">
        <v>-0.51</v>
      </c>
      <c r="AC38" s="606">
        <v>0.99</v>
      </c>
      <c r="AD38" s="606">
        <v>1.99</v>
      </c>
      <c r="AE38" s="606">
        <v>-1.93</v>
      </c>
      <c r="AF38" s="606">
        <v>0</v>
      </c>
      <c r="AG38" s="606">
        <v>-0.28000000000000003</v>
      </c>
      <c r="AH38" s="606">
        <v>-1.2</v>
      </c>
      <c r="AI38" s="606">
        <v>0</v>
      </c>
      <c r="AJ38" s="606">
        <v>-0.28000000000000003</v>
      </c>
    </row>
    <row r="39" spans="1:36" s="283" customFormat="1" ht="11.85" customHeight="1">
      <c r="A39" s="562" t="s">
        <v>562</v>
      </c>
      <c r="B39" s="377">
        <v>0.38</v>
      </c>
      <c r="C39" s="377">
        <v>0</v>
      </c>
      <c r="D39" s="377">
        <v>0</v>
      </c>
      <c r="E39" s="377">
        <v>0.28000000000000003</v>
      </c>
      <c r="F39" s="377">
        <v>0.12</v>
      </c>
      <c r="G39" s="377">
        <v>-0.48</v>
      </c>
      <c r="H39" s="377">
        <v>-0.4</v>
      </c>
      <c r="I39" s="377">
        <v>0.03</v>
      </c>
      <c r="J39" s="377">
        <v>-0.53</v>
      </c>
      <c r="K39" s="377">
        <v>-0.84</v>
      </c>
      <c r="L39" s="377">
        <v>0</v>
      </c>
      <c r="M39" s="377">
        <v>-0.42</v>
      </c>
      <c r="N39" s="377">
        <v>-0.03</v>
      </c>
      <c r="O39" s="377">
        <v>0.81</v>
      </c>
      <c r="P39" s="377">
        <v>0</v>
      </c>
      <c r="Q39" s="377">
        <v>-0.33</v>
      </c>
      <c r="R39" s="377">
        <v>-1.98</v>
      </c>
      <c r="S39" s="562" t="s">
        <v>562</v>
      </c>
      <c r="T39" s="605">
        <v>-2.11</v>
      </c>
      <c r="U39" s="605">
        <v>0.01</v>
      </c>
      <c r="V39" s="605">
        <v>-0.16</v>
      </c>
      <c r="W39" s="605">
        <v>-7.0000000000000007E-2</v>
      </c>
      <c r="X39" s="605">
        <v>0</v>
      </c>
      <c r="Y39" s="605">
        <v>-1.1100000000000001</v>
      </c>
      <c r="Z39" s="605">
        <v>-0.01</v>
      </c>
      <c r="AA39" s="605">
        <v>-0.91</v>
      </c>
      <c r="AB39" s="605">
        <v>-0.25</v>
      </c>
      <c r="AC39" s="605">
        <v>-3.05</v>
      </c>
      <c r="AD39" s="605">
        <v>3.17</v>
      </c>
      <c r="AE39" s="605">
        <v>-2.5499999999999998</v>
      </c>
      <c r="AF39" s="605">
        <v>0</v>
      </c>
      <c r="AG39" s="605">
        <v>-0.17</v>
      </c>
      <c r="AH39" s="605">
        <v>-1.29</v>
      </c>
      <c r="AI39" s="605">
        <v>0.01</v>
      </c>
      <c r="AJ39" s="605">
        <v>-0.3</v>
      </c>
    </row>
    <row r="40" spans="1:36" s="283" customFormat="1" ht="11.85" customHeight="1">
      <c r="A40" s="559" t="s">
        <v>571</v>
      </c>
      <c r="B40" s="363">
        <v>0.68</v>
      </c>
      <c r="C40" s="363">
        <v>0</v>
      </c>
      <c r="D40" s="363">
        <v>-0.09</v>
      </c>
      <c r="E40" s="363">
        <v>-0.89</v>
      </c>
      <c r="F40" s="363">
        <v>-0.16</v>
      </c>
      <c r="G40" s="363">
        <v>-0.66</v>
      </c>
      <c r="H40" s="363">
        <v>-0.69</v>
      </c>
      <c r="I40" s="363">
        <v>0</v>
      </c>
      <c r="J40" s="363">
        <v>-7.0000000000000007E-2</v>
      </c>
      <c r="K40" s="363">
        <v>-2.5656782915962499</v>
      </c>
      <c r="L40" s="363">
        <v>0</v>
      </c>
      <c r="M40" s="363">
        <v>-3.2046566667732801</v>
      </c>
      <c r="N40" s="363">
        <v>-0.11363636363636399</v>
      </c>
      <c r="O40" s="363">
        <v>-0.90194022024121701</v>
      </c>
      <c r="P40" s="363">
        <v>0</v>
      </c>
      <c r="Q40" s="363">
        <v>-0.49545884846579102</v>
      </c>
      <c r="R40" s="363">
        <v>-0.2</v>
      </c>
      <c r="S40" s="559" t="s">
        <v>571</v>
      </c>
      <c r="T40" s="606">
        <v>-1.57008512400078</v>
      </c>
      <c r="U40" s="606">
        <v>-2.5970653161926999E-2</v>
      </c>
      <c r="V40" s="606">
        <v>-0.25116612845353398</v>
      </c>
      <c r="W40" s="606">
        <v>-2.3463978447901299</v>
      </c>
      <c r="X40" s="606">
        <v>-1.3709898546750801E-2</v>
      </c>
      <c r="Y40" s="606">
        <v>-0.61728395061728403</v>
      </c>
      <c r="Z40" s="606">
        <v>1.3331200341278699E-3</v>
      </c>
      <c r="AA40" s="606">
        <v>-2.3102597591060801</v>
      </c>
      <c r="AB40" s="606">
        <v>-0.74289286896399498</v>
      </c>
      <c r="AC40" s="606">
        <v>-2.79</v>
      </c>
      <c r="AD40" s="606">
        <v>0.97</v>
      </c>
      <c r="AE40" s="606">
        <v>-0.96</v>
      </c>
      <c r="AF40" s="606">
        <v>0</v>
      </c>
      <c r="AG40" s="606">
        <v>-0.46</v>
      </c>
      <c r="AH40" s="606">
        <v>-1.78</v>
      </c>
      <c r="AI40" s="606">
        <v>-0.01</v>
      </c>
      <c r="AJ40" s="606">
        <v>-0.49</v>
      </c>
    </row>
    <row r="41" spans="1:36" s="283" customFormat="1" ht="11.85" customHeight="1">
      <c r="A41" s="562" t="s">
        <v>572</v>
      </c>
      <c r="B41" s="377">
        <v>0.692909268189561</v>
      </c>
      <c r="C41" s="377">
        <v>-6.5420560747663599</v>
      </c>
      <c r="D41" s="377">
        <v>0.01</v>
      </c>
      <c r="E41" s="377">
        <v>-0.40099154272382598</v>
      </c>
      <c r="F41" s="377">
        <v>-6.7500105468914801E-2</v>
      </c>
      <c r="G41" s="377">
        <v>0.72830997335804504</v>
      </c>
      <c r="H41" s="377">
        <v>0.75552658909238402</v>
      </c>
      <c r="I41" s="377">
        <v>0.14653655415133601</v>
      </c>
      <c r="J41" s="377">
        <v>7.1972650392850696E-2</v>
      </c>
      <c r="K41" s="377">
        <v>0.138461538461538</v>
      </c>
      <c r="L41" s="377">
        <v>0</v>
      </c>
      <c r="M41" s="377">
        <v>-0.81210544681661001</v>
      </c>
      <c r="N41" s="377">
        <v>0.342075256556442</v>
      </c>
      <c r="O41" s="377">
        <v>1.2423019749416</v>
      </c>
      <c r="P41" s="377">
        <v>0</v>
      </c>
      <c r="Q41" s="377">
        <v>0.58445378045790697</v>
      </c>
      <c r="R41" s="377">
        <v>2.19136025717776</v>
      </c>
      <c r="S41" s="562" t="s">
        <v>572</v>
      </c>
      <c r="T41" s="605">
        <v>3.7414452258460398</v>
      </c>
      <c r="U41" s="605">
        <v>1.2987012987013E-2</v>
      </c>
      <c r="V41" s="605">
        <v>7.1813285457809697E-2</v>
      </c>
      <c r="W41" s="605">
        <v>-1.91783157176952</v>
      </c>
      <c r="X41" s="605">
        <v>5.2124770239499602E-2</v>
      </c>
      <c r="Y41" s="605">
        <v>3.9910689366452701</v>
      </c>
      <c r="Z41" s="605">
        <v>0</v>
      </c>
      <c r="AA41" s="605">
        <v>5.1906191355985697E-2</v>
      </c>
      <c r="AB41" s="605">
        <v>0.57702977621601603</v>
      </c>
      <c r="AC41" s="605">
        <v>2.5732472152017198</v>
      </c>
      <c r="AD41" s="605">
        <v>-1.3430608522633101</v>
      </c>
      <c r="AE41" s="605">
        <v>-0.32840722495894897</v>
      </c>
      <c r="AF41" s="605">
        <v>0</v>
      </c>
      <c r="AG41" s="605">
        <v>0.343869858484327</v>
      </c>
      <c r="AH41" s="605">
        <v>0.31144211238997999</v>
      </c>
      <c r="AI41" s="605">
        <v>-1.3613221160391001E-3</v>
      </c>
      <c r="AJ41" s="605">
        <v>1.1621428588546401</v>
      </c>
    </row>
    <row r="42" spans="1:36" s="1631" customFormat="1" ht="11.85" customHeight="1">
      <c r="A42" s="559" t="s">
        <v>563</v>
      </c>
      <c r="B42" s="363">
        <v>0.84694498716098598</v>
      </c>
      <c r="C42" s="363">
        <v>-0.25423728813559299</v>
      </c>
      <c r="D42" s="363">
        <v>0</v>
      </c>
      <c r="E42" s="363">
        <v>0.26682261778573801</v>
      </c>
      <c r="F42" s="363">
        <v>-0.220295223662794</v>
      </c>
      <c r="G42" s="363">
        <v>-0.77581748175392196</v>
      </c>
      <c r="H42" s="363">
        <v>-0.80540646166529095</v>
      </c>
      <c r="I42" s="363">
        <v>7.1719933659061402E-2</v>
      </c>
      <c r="J42" s="363">
        <v>5.9980806142034496E-3</v>
      </c>
      <c r="K42" s="363">
        <v>-0.76335877862595403</v>
      </c>
      <c r="L42" s="363">
        <v>0</v>
      </c>
      <c r="M42" s="363">
        <v>-2.0142364241086699</v>
      </c>
      <c r="N42" s="363">
        <v>6.5199674001630001E-2</v>
      </c>
      <c r="O42" s="363">
        <v>-0.18018018018018001</v>
      </c>
      <c r="P42" s="363">
        <v>0</v>
      </c>
      <c r="Q42" s="363">
        <v>-0.74701360652688098</v>
      </c>
      <c r="R42" s="363">
        <v>-0.37649377868169598</v>
      </c>
      <c r="S42" s="559" t="s">
        <v>563</v>
      </c>
      <c r="T42" s="606">
        <v>-0.81178255088855999</v>
      </c>
      <c r="U42" s="606">
        <v>0</v>
      </c>
      <c r="V42" s="606">
        <v>7.1864893999281407E-2</v>
      </c>
      <c r="W42" s="606">
        <v>0.29064797401265202</v>
      </c>
      <c r="X42" s="606">
        <v>-2.46845858475041E-2</v>
      </c>
      <c r="Y42" s="606">
        <v>4.4606413994169101</v>
      </c>
      <c r="Z42" s="606">
        <v>-3.1984647369262799E-2</v>
      </c>
      <c r="AA42" s="606">
        <v>-0.27438417404209903</v>
      </c>
      <c r="AB42" s="606">
        <v>-0.30974593458460897</v>
      </c>
      <c r="AC42" s="606">
        <v>0.79442955806317705</v>
      </c>
      <c r="AD42" s="606">
        <v>-1.4381434874979599</v>
      </c>
      <c r="AE42" s="606">
        <v>1.6242073645566799</v>
      </c>
      <c r="AF42" s="606">
        <v>0</v>
      </c>
      <c r="AG42" s="606">
        <v>-0.552413520978561</v>
      </c>
      <c r="AH42" s="606">
        <v>0.42153929834103898</v>
      </c>
      <c r="AI42" s="606">
        <v>-2.7225701061802301E-3</v>
      </c>
      <c r="AJ42" s="606">
        <v>-0.51144860514373403</v>
      </c>
    </row>
    <row r="43" spans="1:36" s="1631" customFormat="1" ht="11.85" customHeight="1">
      <c r="A43" s="621" t="s">
        <v>2681</v>
      </c>
      <c r="B43" s="377"/>
      <c r="C43" s="377"/>
      <c r="D43" s="377"/>
      <c r="E43" s="377"/>
      <c r="F43" s="377"/>
      <c r="G43" s="377"/>
      <c r="H43" s="377"/>
      <c r="I43" s="377"/>
      <c r="J43" s="377"/>
      <c r="K43" s="377"/>
      <c r="L43" s="377"/>
      <c r="M43" s="377"/>
      <c r="N43" s="377"/>
      <c r="O43" s="377"/>
      <c r="P43" s="377"/>
      <c r="Q43" s="377"/>
      <c r="R43" s="377"/>
      <c r="S43" s="621" t="s">
        <v>2681</v>
      </c>
      <c r="T43" s="605"/>
      <c r="U43" s="605"/>
      <c r="V43" s="605"/>
      <c r="W43" s="605"/>
      <c r="X43" s="605"/>
      <c r="Y43" s="605"/>
      <c r="Z43" s="605"/>
      <c r="AA43" s="605"/>
      <c r="AB43" s="605"/>
      <c r="AC43" s="605"/>
      <c r="AD43" s="605"/>
      <c r="AE43" s="605"/>
      <c r="AF43" s="605"/>
      <c r="AG43" s="605"/>
      <c r="AH43" s="605"/>
      <c r="AI43" s="605"/>
      <c r="AJ43" s="605"/>
    </row>
    <row r="44" spans="1:36" s="1631" customFormat="1" ht="11.85" customHeight="1">
      <c r="A44" s="559" t="s">
        <v>565</v>
      </c>
      <c r="B44" s="363">
        <v>-1.2056787729652101</v>
      </c>
      <c r="C44" s="363">
        <v>0</v>
      </c>
      <c r="D44" s="363">
        <v>0</v>
      </c>
      <c r="E44" s="363">
        <v>-1.22748113650312</v>
      </c>
      <c r="F44" s="363">
        <v>-0.109326381296779</v>
      </c>
      <c r="G44" s="363">
        <v>0.87901735570129402</v>
      </c>
      <c r="H44" s="363">
        <v>0.93794077176746904</v>
      </c>
      <c r="I44" s="363">
        <v>-6.6552759059814295E-2</v>
      </c>
      <c r="J44" s="363">
        <v>-0.441896572315777</v>
      </c>
      <c r="K44" s="363">
        <v>0.475533057217365</v>
      </c>
      <c r="L44" s="363">
        <v>0</v>
      </c>
      <c r="M44" s="363">
        <v>5.2957156416718503</v>
      </c>
      <c r="N44" s="363">
        <v>0.39273441335296999</v>
      </c>
      <c r="O44" s="363">
        <v>2.4207555362570599</v>
      </c>
      <c r="P44" s="363">
        <v>0</v>
      </c>
      <c r="Q44" s="363">
        <v>0.79826417722536203</v>
      </c>
      <c r="R44" s="363">
        <v>-2.9986757280693701</v>
      </c>
      <c r="S44" s="559" t="s">
        <v>565</v>
      </c>
      <c r="T44" s="606">
        <v>-2.52090102588441</v>
      </c>
      <c r="U44" s="606">
        <v>0</v>
      </c>
      <c r="V44" s="606">
        <v>-0.19723865877711999</v>
      </c>
      <c r="W44" s="606">
        <v>-3.4182191078448103E-2</v>
      </c>
      <c r="X44" s="606">
        <v>-1.64536828826852E-2</v>
      </c>
      <c r="Y44" s="606">
        <v>0</v>
      </c>
      <c r="Z44" s="606">
        <v>5.3310587482674103E-3</v>
      </c>
      <c r="AA44" s="606">
        <v>1.23089844725781E-2</v>
      </c>
      <c r="AB44" s="606">
        <v>1.0169112716978299</v>
      </c>
      <c r="AC44" s="606">
        <v>-1.5292565546202901</v>
      </c>
      <c r="AD44" s="606">
        <v>1.1739417989418</v>
      </c>
      <c r="AE44" s="606">
        <v>1.8468162247903901</v>
      </c>
      <c r="AF44" s="606">
        <v>0</v>
      </c>
      <c r="AG44" s="606">
        <v>0.99628055260361303</v>
      </c>
      <c r="AH44" s="606">
        <v>2.8100097861037301</v>
      </c>
      <c r="AI44" s="606">
        <v>1.36130358431234E-3</v>
      </c>
      <c r="AJ44" s="606">
        <v>1.5145535103754999</v>
      </c>
    </row>
    <row r="45" spans="1:36" s="1631" customFormat="1" ht="11.85" customHeight="1">
      <c r="A45" s="562" t="s">
        <v>566</v>
      </c>
      <c r="B45" s="377">
        <v>3.0040472395423699</v>
      </c>
      <c r="C45" s="377">
        <v>1.32643586682584E-2</v>
      </c>
      <c r="D45" s="377">
        <v>-1.6666666666666701</v>
      </c>
      <c r="E45" s="377">
        <v>2.7372871926115501</v>
      </c>
      <c r="F45" s="377">
        <v>6.5919578114700103E-2</v>
      </c>
      <c r="G45" s="377">
        <v>2.8723293226580799</v>
      </c>
      <c r="H45" s="377">
        <v>2.82002682525837</v>
      </c>
      <c r="I45" s="377">
        <v>0.15702913691658901</v>
      </c>
      <c r="J45" s="377">
        <v>-0.22046118095692099</v>
      </c>
      <c r="K45" s="377">
        <v>5.7661107145174899</v>
      </c>
      <c r="L45" s="377">
        <v>0</v>
      </c>
      <c r="M45" s="377">
        <v>5.6612256190344397</v>
      </c>
      <c r="N45" s="377">
        <v>9.8280098280098302E-2</v>
      </c>
      <c r="O45" s="377">
        <v>6.4355863662622799</v>
      </c>
      <c r="P45" s="377">
        <v>0</v>
      </c>
      <c r="Q45" s="377">
        <v>1.7876436164592699</v>
      </c>
      <c r="R45" s="377">
        <v>5.7847020355610903</v>
      </c>
      <c r="S45" s="562" t="s">
        <v>566</v>
      </c>
      <c r="T45" s="605">
        <v>4.3456728983533504</v>
      </c>
      <c r="U45" s="605">
        <v>0</v>
      </c>
      <c r="V45" s="605">
        <v>-0.125358166189112</v>
      </c>
      <c r="W45" s="605">
        <v>3.9023307436182</v>
      </c>
      <c r="X45" s="605">
        <v>4.38957475994513E-2</v>
      </c>
      <c r="Y45" s="605">
        <v>-6.2841530054644803</v>
      </c>
      <c r="Z45" s="605">
        <v>-2.66481905878591E-2</v>
      </c>
      <c r="AA45" s="605">
        <v>3.4341883542407801</v>
      </c>
      <c r="AB45" s="605">
        <v>2.97660145761412</v>
      </c>
      <c r="AC45" s="605">
        <v>5.8020377169313297</v>
      </c>
      <c r="AD45" s="605">
        <v>0.63227953410981697</v>
      </c>
      <c r="AE45" s="605">
        <v>4.7907390917186099</v>
      </c>
      <c r="AF45" s="605">
        <v>0</v>
      </c>
      <c r="AG45" s="605">
        <v>1.37355238351737</v>
      </c>
      <c r="AH45" s="605">
        <v>5.2066480364759498</v>
      </c>
      <c r="AI45" s="605">
        <v>4.0840775430189503E-3</v>
      </c>
      <c r="AJ45" s="605">
        <v>2.77355778577081</v>
      </c>
    </row>
    <row r="46" spans="1:36" s="1631" customFormat="1" ht="11.85" customHeight="1">
      <c r="A46" s="1721" t="s">
        <v>560</v>
      </c>
      <c r="B46" s="363">
        <v>1.7242649953545499</v>
      </c>
      <c r="C46" s="363">
        <v>0</v>
      </c>
      <c r="D46" s="363">
        <v>0</v>
      </c>
      <c r="E46" s="363">
        <v>-0.258961932595908</v>
      </c>
      <c r="F46" s="363">
        <v>1.748151953649</v>
      </c>
      <c r="G46" s="363">
        <v>0.41921815813507801</v>
      </c>
      <c r="H46" s="363">
        <v>0.386673262654748</v>
      </c>
      <c r="I46" s="363">
        <v>0.37248380435272099</v>
      </c>
      <c r="J46" s="363">
        <v>0.23291925465838501</v>
      </c>
      <c r="K46" s="363">
        <v>1.7095709570957101</v>
      </c>
      <c r="L46" s="363">
        <v>0</v>
      </c>
      <c r="M46" s="363">
        <v>1.6772741657582899</v>
      </c>
      <c r="N46" s="363">
        <v>8.1967213114754106E-2</v>
      </c>
      <c r="O46" s="363">
        <v>5.2535570959503799</v>
      </c>
      <c r="P46" s="363">
        <v>0</v>
      </c>
      <c r="Q46" s="363">
        <v>0.40749489455010901</v>
      </c>
      <c r="R46" s="363">
        <v>1.5292253506445901</v>
      </c>
      <c r="S46" s="1721" t="s">
        <v>560</v>
      </c>
      <c r="T46" s="547">
        <v>-1.52356285172877E-2</v>
      </c>
      <c r="U46" s="547">
        <v>0.13003901170351101</v>
      </c>
      <c r="V46" s="547">
        <v>0.54015124234785705</v>
      </c>
      <c r="W46" s="547">
        <v>0.50419418168838104</v>
      </c>
      <c r="X46" s="547">
        <v>0</v>
      </c>
      <c r="Y46" s="547">
        <v>-2.9949642194540198</v>
      </c>
      <c r="Z46" s="547">
        <v>3.1988057791757701E-2</v>
      </c>
      <c r="AA46" s="547">
        <v>1.97068223560363</v>
      </c>
      <c r="AB46" s="547">
        <v>1.7405557290040601</v>
      </c>
      <c r="AC46" s="547">
        <v>0.75069201325100099</v>
      </c>
      <c r="AD46" s="547">
        <v>1.2978257205460999</v>
      </c>
      <c r="AE46" s="547">
        <v>0.20224852774968799</v>
      </c>
      <c r="AF46" s="547">
        <v>0</v>
      </c>
      <c r="AG46" s="547">
        <v>0.71883900718839</v>
      </c>
      <c r="AH46" s="547">
        <v>5.7222826932047903</v>
      </c>
      <c r="AI46" s="547">
        <v>-5.4451402123604697E-3</v>
      </c>
      <c r="AJ46" s="547">
        <v>1.3872569813892</v>
      </c>
    </row>
    <row r="47" spans="1:36" s="1631" customFormat="1" ht="11.85" customHeight="1">
      <c r="A47" s="1377" t="s">
        <v>567</v>
      </c>
      <c r="B47" s="377">
        <v>-4.7881219511208801</v>
      </c>
      <c r="C47" s="377">
        <v>-2.6521681474605499E-2</v>
      </c>
      <c r="D47" s="377">
        <v>0</v>
      </c>
      <c r="E47" s="377">
        <v>-2.7906642212392598</v>
      </c>
      <c r="F47" s="377">
        <v>-1.6505263157894701</v>
      </c>
      <c r="G47" s="377">
        <v>-2.7978490398538902</v>
      </c>
      <c r="H47" s="377">
        <v>-2.7545131037524602</v>
      </c>
      <c r="I47" s="377">
        <v>6.4332677140026501E-4</v>
      </c>
      <c r="J47" s="377">
        <v>-0.44000475680818202</v>
      </c>
      <c r="K47" s="377">
        <v>-3.5185480019105202</v>
      </c>
      <c r="L47" s="377">
        <v>0</v>
      </c>
      <c r="M47" s="377">
        <v>-7.3165167514013802</v>
      </c>
      <c r="N47" s="377">
        <v>-0.48939641109298498</v>
      </c>
      <c r="O47" s="377">
        <v>-6.1087006165791298</v>
      </c>
      <c r="P47" s="377">
        <v>0</v>
      </c>
      <c r="Q47" s="377">
        <v>-1.99999496940982</v>
      </c>
      <c r="R47" s="377">
        <v>-5.7960749195856502</v>
      </c>
      <c r="S47" s="1377" t="s">
        <v>567</v>
      </c>
      <c r="T47" s="922">
        <v>-4.1780721924157804</v>
      </c>
      <c r="U47" s="922">
        <v>-0.12987012987013</v>
      </c>
      <c r="V47" s="922">
        <v>-2.70002700027E-2</v>
      </c>
      <c r="W47" s="922">
        <v>-3.62917096663227</v>
      </c>
      <c r="X47" s="922">
        <v>-2.7427317608337901E-2</v>
      </c>
      <c r="Y47" s="922">
        <v>-2.6674233825198601</v>
      </c>
      <c r="Z47" s="922">
        <v>-0.114492637857124</v>
      </c>
      <c r="AA47" s="922">
        <v>-4.9822038233661399</v>
      </c>
      <c r="AB47" s="922">
        <v>-3.1118841456497899</v>
      </c>
      <c r="AC47" s="922">
        <v>-5.5311524949595601</v>
      </c>
      <c r="AD47" s="922">
        <v>1.2630141662399701</v>
      </c>
      <c r="AE47" s="922">
        <v>-3.0227862705509101</v>
      </c>
      <c r="AF47" s="922">
        <v>-2.69127258746636E-2</v>
      </c>
      <c r="AG47" s="922">
        <v>-1.8242343541944099</v>
      </c>
      <c r="AH47" s="922">
        <v>-4.6835630650659601</v>
      </c>
      <c r="AI47" s="922">
        <v>-1.3612665223724099E-3</v>
      </c>
      <c r="AJ47" s="922">
        <v>-3.0804879153473999</v>
      </c>
    </row>
    <row r="48" spans="1:36" s="1631" customFormat="1" ht="11.85" customHeight="1">
      <c r="A48" s="1721" t="s">
        <v>568</v>
      </c>
      <c r="B48" s="363">
        <v>-1.14121219179192</v>
      </c>
      <c r="C48" s="363">
        <v>1.3262599469495999E-2</v>
      </c>
      <c r="D48" s="363">
        <v>0</v>
      </c>
      <c r="E48" s="363">
        <v>-0.90163934426229497</v>
      </c>
      <c r="F48" s="363">
        <v>-0.89576320694355605</v>
      </c>
      <c r="G48" s="363">
        <v>-2.6500340020401199</v>
      </c>
      <c r="H48" s="363">
        <v>-2.6713364859849098</v>
      </c>
      <c r="I48" s="363">
        <v>-0.122724614959552</v>
      </c>
      <c r="J48" s="363">
        <v>-0.39090262970860001</v>
      </c>
      <c r="K48" s="363">
        <v>-0.99306431273644402</v>
      </c>
      <c r="L48" s="363">
        <v>0</v>
      </c>
      <c r="M48" s="363">
        <v>1.52532839228402</v>
      </c>
      <c r="N48" s="363">
        <v>-0.29277813923227097</v>
      </c>
      <c r="O48" s="363">
        <v>-1.46264626462646</v>
      </c>
      <c r="P48" s="363">
        <v>0</v>
      </c>
      <c r="Q48" s="363">
        <v>-1.21241637615222</v>
      </c>
      <c r="R48" s="363">
        <v>-1.31424539080314</v>
      </c>
      <c r="S48" s="1721" t="s">
        <v>568</v>
      </c>
      <c r="T48" s="547">
        <v>-0.92658717603348395</v>
      </c>
      <c r="U48" s="547">
        <v>-1.29853265809635E-2</v>
      </c>
      <c r="V48" s="547">
        <v>0</v>
      </c>
      <c r="W48" s="547">
        <v>-0.83574961623742094</v>
      </c>
      <c r="X48" s="547">
        <v>1.5087300607606701E-2</v>
      </c>
      <c r="Y48" s="547">
        <v>-14.3526292532037</v>
      </c>
      <c r="Z48" s="547">
        <v>5.3255225669018797E-3</v>
      </c>
      <c r="AA48" s="547">
        <v>-1.27480478544308</v>
      </c>
      <c r="AB48" s="547">
        <v>-1.3429328160555101</v>
      </c>
      <c r="AC48" s="547">
        <v>-2.2439385763542701</v>
      </c>
      <c r="AD48" s="547">
        <v>0.68740333390616903</v>
      </c>
      <c r="AE48" s="547">
        <v>-1.70116246101503</v>
      </c>
      <c r="AF48" s="547">
        <v>0</v>
      </c>
      <c r="AG48" s="547">
        <v>-1.3270266719222199</v>
      </c>
      <c r="AH48" s="547">
        <v>-2.01858844031368</v>
      </c>
      <c r="AI48" s="547">
        <v>4.0839663481172898E-3</v>
      </c>
      <c r="AJ48" s="547">
        <v>-2.1832220527402399</v>
      </c>
    </row>
    <row r="49" spans="1:43" s="1631" customFormat="1" ht="11.85" customHeight="1">
      <c r="A49" s="1377" t="s">
        <v>561</v>
      </c>
      <c r="B49" s="377">
        <v>-4.2481277081479503</v>
      </c>
      <c r="C49" s="377">
        <v>-6.62690523525514E-2</v>
      </c>
      <c r="D49" s="377">
        <v>0</v>
      </c>
      <c r="E49" s="377">
        <v>-2.2640195053988199</v>
      </c>
      <c r="F49" s="377">
        <v>1.39113015413722E-2</v>
      </c>
      <c r="G49" s="377">
        <v>-1.5022222842430599</v>
      </c>
      <c r="H49" s="377">
        <v>-1.50009134135241</v>
      </c>
      <c r="I49" s="377">
        <v>0.196358673259168</v>
      </c>
      <c r="J49" s="377">
        <v>-1.2648900896475499</v>
      </c>
      <c r="K49" s="377">
        <v>-1.7195972114639799</v>
      </c>
      <c r="L49" s="377">
        <v>0</v>
      </c>
      <c r="M49" s="377">
        <v>-3.6532882782364799</v>
      </c>
      <c r="N49" s="377">
        <v>-0.19480519480519501</v>
      </c>
      <c r="O49" s="377">
        <v>-0.58165548098433995</v>
      </c>
      <c r="P49" s="377">
        <v>0</v>
      </c>
      <c r="Q49" s="377">
        <v>-0.58700503100117696</v>
      </c>
      <c r="R49" s="377">
        <v>-4.3260667359834102</v>
      </c>
      <c r="S49" s="1377" t="s">
        <v>561</v>
      </c>
      <c r="T49" s="922">
        <v>-2.34297064665637</v>
      </c>
      <c r="U49" s="922">
        <v>1.2987012987013E-2</v>
      </c>
      <c r="V49" s="922">
        <v>-0.20657445661936399</v>
      </c>
      <c r="W49" s="922">
        <v>1.3833650354487299</v>
      </c>
      <c r="X49" s="922">
        <v>-1.3715539706487499E-3</v>
      </c>
      <c r="Y49" s="922">
        <v>6.9976359338061496</v>
      </c>
      <c r="Z49" s="922">
        <v>0</v>
      </c>
      <c r="AA49" s="922">
        <v>-5.2760153360702997</v>
      </c>
      <c r="AB49" s="922">
        <v>-1.4484761589647399</v>
      </c>
      <c r="AC49" s="922">
        <v>-0.75924320742814899</v>
      </c>
      <c r="AD49" s="922">
        <v>-0.512908189434091</v>
      </c>
      <c r="AE49" s="922">
        <v>-2.4450959783149901</v>
      </c>
      <c r="AF49" s="922">
        <v>0</v>
      </c>
      <c r="AG49" s="922">
        <v>-0.74334898278560302</v>
      </c>
      <c r="AH49" s="922">
        <v>0.45222465353756403</v>
      </c>
      <c r="AI49" s="922">
        <v>-2.7225701061802301E-3</v>
      </c>
      <c r="AJ49" s="922">
        <v>-1.00555939903915</v>
      </c>
    </row>
    <row r="50" spans="1:43" s="1631" customFormat="1" ht="11.85" customHeight="1">
      <c r="A50" s="1721" t="s">
        <v>569</v>
      </c>
      <c r="B50" s="363">
        <v>0.168800644366565</v>
      </c>
      <c r="C50" s="363">
        <v>6.6312997347480099E-2</v>
      </c>
      <c r="D50" s="363">
        <v>-1.63934426229508</v>
      </c>
      <c r="E50" s="363">
        <v>-0.44731093311141201</v>
      </c>
      <c r="F50" s="363">
        <v>0.25942146224441398</v>
      </c>
      <c r="G50" s="363">
        <v>7.7508553871936295E-2</v>
      </c>
      <c r="H50" s="363">
        <v>0.124909921306482</v>
      </c>
      <c r="I50" s="363">
        <v>-0.32982122919367102</v>
      </c>
      <c r="J50" s="363">
        <v>-1.31405817174515</v>
      </c>
      <c r="K50" s="363">
        <v>-0.68619607360452906</v>
      </c>
      <c r="L50" s="363">
        <v>0</v>
      </c>
      <c r="M50" s="363">
        <v>1.0436463198582699</v>
      </c>
      <c r="N50" s="363">
        <v>-0.113507377979569</v>
      </c>
      <c r="O50" s="363">
        <v>1.75278852720237</v>
      </c>
      <c r="P50" s="363">
        <v>0</v>
      </c>
      <c r="Q50" s="363">
        <v>0.145707564011963</v>
      </c>
      <c r="R50" s="363">
        <v>0.33690930575766398</v>
      </c>
      <c r="S50" s="1721" t="s">
        <v>569</v>
      </c>
      <c r="T50" s="547">
        <v>0.33215234720991998</v>
      </c>
      <c r="U50" s="547">
        <v>0</v>
      </c>
      <c r="V50" s="547">
        <v>-0.179307871615564</v>
      </c>
      <c r="W50" s="547">
        <v>-0.94210346008907198</v>
      </c>
      <c r="X50" s="547">
        <v>-8.2286466619123401E-3</v>
      </c>
      <c r="Y50" s="547">
        <v>7.5678974671956096</v>
      </c>
      <c r="Z50" s="547">
        <v>0.127976111125923</v>
      </c>
      <c r="AA50" s="547">
        <v>2.21790625487714</v>
      </c>
      <c r="AB50" s="547">
        <v>0.78177102630603901</v>
      </c>
      <c r="AC50" s="547">
        <v>0.249314158587462</v>
      </c>
      <c r="AD50" s="547">
        <v>-1.32433572332349</v>
      </c>
      <c r="AE50" s="547">
        <v>-0.33081546010916901</v>
      </c>
      <c r="AF50" s="547">
        <v>0</v>
      </c>
      <c r="AG50" s="547">
        <v>-0.415584415584416</v>
      </c>
      <c r="AH50" s="547">
        <v>1.5405125166642</v>
      </c>
      <c r="AI50" s="547">
        <v>2.7226442320781902E-3</v>
      </c>
      <c r="AJ50" s="547">
        <v>-0.80068154301622096</v>
      </c>
    </row>
    <row r="51" spans="1:43" s="1631" customFormat="1" ht="11.85" customHeight="1" thickBot="1">
      <c r="A51" s="1795" t="s">
        <v>570</v>
      </c>
      <c r="B51" s="1793">
        <v>1.2035677729733001</v>
      </c>
      <c r="C51" s="1793">
        <v>2.6532236667551098E-2</v>
      </c>
      <c r="D51" s="1793">
        <v>0</v>
      </c>
      <c r="E51" s="1793">
        <v>0.57192676547515298</v>
      </c>
      <c r="F51" s="1793">
        <v>-5.8544744912182901E-2</v>
      </c>
      <c r="G51" s="1793">
        <v>0.65717800035143203</v>
      </c>
      <c r="H51" s="1793">
        <v>0.61417215619221599</v>
      </c>
      <c r="I51" s="1793">
        <v>0.23218271042764099</v>
      </c>
      <c r="J51" s="1793">
        <v>-0.57435979825683803</v>
      </c>
      <c r="K51" s="1793">
        <v>-1.1768283411889899</v>
      </c>
      <c r="L51" s="1793">
        <v>0</v>
      </c>
      <c r="M51" s="1793">
        <v>4.1149641156348498</v>
      </c>
      <c r="N51" s="1793">
        <v>-3.2420165342843199E-2</v>
      </c>
      <c r="O51" s="1793">
        <v>-1.1809695197390599</v>
      </c>
      <c r="P51" s="1793">
        <v>0</v>
      </c>
      <c r="Q51" s="1793">
        <v>0.58958439608657998</v>
      </c>
      <c r="R51" s="1793">
        <v>0.65387734243154705</v>
      </c>
      <c r="S51" s="1795" t="s">
        <v>570</v>
      </c>
      <c r="T51" s="1734">
        <v>1.2610544065151501</v>
      </c>
      <c r="U51" s="1734">
        <v>0</v>
      </c>
      <c r="V51" s="1734">
        <v>-0.36623492630638699</v>
      </c>
      <c r="W51" s="1734">
        <v>0.80290080290080301</v>
      </c>
      <c r="X51" s="1734">
        <v>3.5670187954451898E-2</v>
      </c>
      <c r="Y51" s="1734">
        <v>13.227756982435899</v>
      </c>
      <c r="Z51" s="1734">
        <v>1.06658134015945E-2</v>
      </c>
      <c r="AA51" s="1734">
        <v>-1.5604410846799401E-2</v>
      </c>
      <c r="AB51" s="1734">
        <v>0.806752819899903</v>
      </c>
      <c r="AC51" s="1734">
        <v>2.9570471684856399</v>
      </c>
      <c r="AD51" s="1734">
        <v>0.32157061860032199</v>
      </c>
      <c r="AE51" s="1734">
        <v>1.3523330539256799</v>
      </c>
      <c r="AF51" s="1734">
        <v>0</v>
      </c>
      <c r="AG51" s="1734">
        <v>0.798533839507789</v>
      </c>
      <c r="AH51" s="1734">
        <v>-0.39834759516081403</v>
      </c>
      <c r="AI51" s="1734">
        <v>2.7227183620126302E-3</v>
      </c>
      <c r="AJ51" s="1734">
        <v>1.7829295889671399</v>
      </c>
    </row>
    <row r="52" spans="1:43" s="13" customFormat="1" ht="11.25" customHeight="1">
      <c r="A52" s="609" t="s">
        <v>597</v>
      </c>
      <c r="B52" s="2445" t="s">
        <v>1346</v>
      </c>
      <c r="C52" s="2445"/>
      <c r="D52" s="2445"/>
      <c r="E52" s="2445"/>
      <c r="F52" s="2445"/>
      <c r="G52" s="2445"/>
      <c r="H52" s="207"/>
      <c r="I52" s="1029" t="s">
        <v>264</v>
      </c>
      <c r="J52" s="1028" t="s">
        <v>1269</v>
      </c>
      <c r="K52" s="31"/>
      <c r="L52" s="31"/>
      <c r="S52" s="1029" t="s">
        <v>264</v>
      </c>
      <c r="T52" s="1028" t="s">
        <v>1269</v>
      </c>
      <c r="U52" s="31"/>
      <c r="V52" s="31"/>
    </row>
    <row r="53" spans="1:43">
      <c r="A53" s="13"/>
      <c r="B53" s="1143"/>
      <c r="C53" s="1143"/>
      <c r="D53" s="641"/>
      <c r="E53" s="641"/>
      <c r="F53" s="641"/>
      <c r="G53" s="641"/>
      <c r="H53" s="641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633"/>
    </row>
    <row r="54" spans="1:43"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1664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</row>
    <row r="55" spans="1:43"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</row>
    <row r="56" spans="1:43"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</row>
    <row r="57" spans="1:43"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</row>
    <row r="58" spans="1:43"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</row>
    <row r="59" spans="1:43"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</row>
    <row r="60" spans="1:43"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</row>
    <row r="61" spans="1:43">
      <c r="B61" s="616"/>
      <c r="C61" s="616"/>
      <c r="D61" s="616"/>
      <c r="E61" s="616"/>
      <c r="F61" s="616"/>
      <c r="G61" s="616"/>
      <c r="H61" s="616"/>
      <c r="I61" s="616"/>
      <c r="J61" s="616"/>
      <c r="K61" s="616"/>
      <c r="L61" s="616"/>
      <c r="M61" s="616"/>
      <c r="N61" s="616"/>
      <c r="O61" s="616"/>
      <c r="P61" s="616"/>
      <c r="Q61" s="616"/>
      <c r="R61" s="616"/>
      <c r="S61" s="616"/>
      <c r="T61" s="616"/>
      <c r="U61" s="616"/>
      <c r="V61" s="616"/>
      <c r="W61" s="616"/>
      <c r="X61" s="616"/>
      <c r="Y61" s="616"/>
      <c r="Z61" s="616"/>
      <c r="AA61" s="616"/>
      <c r="AB61" s="616"/>
      <c r="AC61" s="616"/>
      <c r="AD61" s="616"/>
      <c r="AE61" s="616"/>
      <c r="AF61" s="616"/>
      <c r="AG61" s="616"/>
      <c r="AH61" s="616"/>
      <c r="AI61" s="616"/>
    </row>
    <row r="63" spans="1:43"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</row>
    <row r="64" spans="1:43"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</row>
    <row r="65" spans="2:35"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</row>
    <row r="66" spans="2:35"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</row>
    <row r="67" spans="2:35"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</row>
    <row r="68" spans="2:35"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</row>
    <row r="69" spans="2:35"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</row>
    <row r="70" spans="2:35"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</row>
    <row r="71" spans="2:35">
      <c r="B71" s="85"/>
    </row>
  </sheetData>
  <customSheetViews>
    <customSheetView guid="{A374FC54-96E3-45F0-9C12-8450400C12DF}" scale="130" hiddenRows="1">
      <pane xSplit="1" ySplit="3" topLeftCell="B38" activePane="bottomRight" state="frozen"/>
      <selection pane="bottomRight" activeCell="G52" sqref="G52"/>
      <pageMargins left="0.62992125984252001" right="0.511811023622047" top="0.511811023622047" bottom="0.511811023622047" header="0" footer="0.143700787"/>
      <pageSetup paperSize="132" firstPageNumber="96" orientation="portrait" useFirstPageNumber="1" r:id="rId1"/>
      <headerFooter>
        <oddFooter>&amp;C&amp;"Times New Roman,Regular"&amp;8&amp;P</oddFooter>
      </headerFooter>
    </customSheetView>
  </customSheetViews>
  <mergeCells count="9">
    <mergeCell ref="B52:G52"/>
    <mergeCell ref="AI2:AJ2"/>
    <mergeCell ref="AH1:AJ1"/>
    <mergeCell ref="A1:H1"/>
    <mergeCell ref="I1:N1"/>
    <mergeCell ref="P1:R1"/>
    <mergeCell ref="Q2:R2"/>
    <mergeCell ref="AB1:AF1"/>
    <mergeCell ref="S1:AA1"/>
  </mergeCells>
  <phoneticPr fontId="43" type="noConversion"/>
  <pageMargins left="0.62992125984252001" right="0.511811023622047" top="0.511811023622047" bottom="0.511811023622047" header="0" footer="0.143700787"/>
  <pageSetup paperSize="448" firstPageNumber="100" orientation="portrait" useFirstPageNumber="1" r:id="rId2"/>
  <headerFooter>
    <oddFooter>&amp;C&amp;"Times New Roman,Regular"&amp;8&amp;P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X76"/>
  <sheetViews>
    <sheetView zoomScale="150" zoomScaleNormal="150" workbookViewId="0">
      <pane xSplit="1" ySplit="4" topLeftCell="B44" activePane="bottomRight" state="frozen"/>
      <selection activeCell="F85" sqref="F85"/>
      <selection pane="topRight" activeCell="F85" sqref="F85"/>
      <selection pane="bottomLeft" activeCell="F85" sqref="F85"/>
      <selection pane="bottomRight" activeCell="V42" sqref="V42"/>
    </sheetView>
  </sheetViews>
  <sheetFormatPr defaultColWidth="9.140625" defaultRowHeight="11.25"/>
  <cols>
    <col min="1" max="1" width="7.85546875" style="17" customWidth="1"/>
    <col min="2" max="2" width="8.5703125" style="8" customWidth="1"/>
    <col min="3" max="3" width="7.7109375" style="8" customWidth="1"/>
    <col min="4" max="4" width="7" style="8" customWidth="1"/>
    <col min="5" max="5" width="7.42578125" style="8" customWidth="1"/>
    <col min="6" max="6" width="5.85546875" style="8" customWidth="1"/>
    <col min="7" max="7" width="8.5703125" style="8" customWidth="1"/>
    <col min="8" max="8" width="9.28515625" style="8" customWidth="1"/>
    <col min="9" max="9" width="7.42578125" style="8" customWidth="1"/>
    <col min="10" max="10" width="8.7109375" style="8" customWidth="1"/>
    <col min="11" max="11" width="6.85546875" style="8" customWidth="1"/>
    <col min="12" max="12" width="6.42578125" style="8" customWidth="1"/>
    <col min="13" max="13" width="8.5703125" style="8" customWidth="1"/>
    <col min="14" max="14" width="7" style="8" customWidth="1"/>
    <col min="15" max="15" width="7.140625" style="8" customWidth="1"/>
    <col min="16" max="16" width="6.5703125" style="8" customWidth="1"/>
    <col min="17" max="17" width="7.42578125" style="8" customWidth="1"/>
    <col min="18" max="18" width="9" style="8" customWidth="1"/>
    <col min="19" max="19" width="6.140625" style="8" customWidth="1"/>
    <col min="20" max="21" width="6.7109375" style="8" customWidth="1"/>
    <col min="22" max="16384" width="9.140625" style="8"/>
  </cols>
  <sheetData>
    <row r="1" spans="1:22" s="23" customFormat="1" ht="20.45" customHeight="1">
      <c r="A1" s="2499" t="s">
        <v>598</v>
      </c>
      <c r="B1" s="2499"/>
      <c r="C1" s="2499"/>
      <c r="D1" s="2499"/>
      <c r="E1" s="2499"/>
      <c r="F1" s="2499"/>
      <c r="G1" s="2499"/>
      <c r="H1" s="2499"/>
      <c r="I1" s="2499"/>
      <c r="J1" s="2499"/>
      <c r="K1" s="2231" t="s">
        <v>315</v>
      </c>
      <c r="L1" s="2500"/>
      <c r="M1" s="2500"/>
      <c r="N1" s="2500"/>
      <c r="O1" s="2500"/>
      <c r="P1" s="2500"/>
      <c r="Q1" s="2500"/>
      <c r="R1" s="2500"/>
      <c r="S1" s="2238" t="s">
        <v>1118</v>
      </c>
      <c r="T1" s="2238"/>
      <c r="U1" s="2238"/>
    </row>
    <row r="2" spans="1:22" s="109" customFormat="1" ht="30" customHeight="1">
      <c r="A2" s="964" t="s">
        <v>587</v>
      </c>
      <c r="B2" s="964" t="s">
        <v>318</v>
      </c>
      <c r="C2" s="197" t="s">
        <v>802</v>
      </c>
      <c r="D2" s="964" t="s">
        <v>1094</v>
      </c>
      <c r="E2" s="2502" t="s">
        <v>1023</v>
      </c>
      <c r="F2" s="2503"/>
      <c r="G2" s="964" t="s">
        <v>317</v>
      </c>
      <c r="H2" s="964" t="s">
        <v>1027</v>
      </c>
      <c r="I2" s="972" t="s">
        <v>1020</v>
      </c>
      <c r="J2" s="964" t="s">
        <v>1026</v>
      </c>
      <c r="K2" s="964" t="s">
        <v>1022</v>
      </c>
      <c r="L2" s="2505" t="s">
        <v>1249</v>
      </c>
      <c r="M2" s="2506"/>
      <c r="N2" s="2507"/>
      <c r="O2" s="2502" t="s">
        <v>1248</v>
      </c>
      <c r="P2" s="2503"/>
      <c r="Q2" s="964" t="s">
        <v>778</v>
      </c>
      <c r="R2" s="964" t="s">
        <v>245</v>
      </c>
      <c r="S2" s="2501" t="s">
        <v>1021</v>
      </c>
      <c r="T2" s="2501"/>
      <c r="U2" s="2501"/>
      <c r="V2" s="125"/>
    </row>
    <row r="3" spans="1:22" s="632" customFormat="1" ht="35.1" customHeight="1">
      <c r="A3" s="629" t="s">
        <v>588</v>
      </c>
      <c r="B3" s="629" t="s">
        <v>589</v>
      </c>
      <c r="C3" s="629" t="s">
        <v>541</v>
      </c>
      <c r="D3" s="635" t="s">
        <v>1095</v>
      </c>
      <c r="E3" s="629" t="s">
        <v>599</v>
      </c>
      <c r="F3" s="629" t="s">
        <v>600</v>
      </c>
      <c r="G3" s="629" t="s">
        <v>334</v>
      </c>
      <c r="H3" s="629" t="s">
        <v>601</v>
      </c>
      <c r="I3" s="636" t="s">
        <v>542</v>
      </c>
      <c r="J3" s="630" t="s">
        <v>611</v>
      </c>
      <c r="K3" s="630" t="s">
        <v>612</v>
      </c>
      <c r="L3" s="630" t="s">
        <v>613</v>
      </c>
      <c r="M3" s="630" t="s">
        <v>1247</v>
      </c>
      <c r="N3" s="630" t="s">
        <v>543</v>
      </c>
      <c r="O3" s="630" t="s">
        <v>602</v>
      </c>
      <c r="P3" s="630" t="s">
        <v>519</v>
      </c>
      <c r="Q3" s="630" t="s">
        <v>41</v>
      </c>
      <c r="R3" s="630" t="s">
        <v>603</v>
      </c>
      <c r="S3" s="630" t="s">
        <v>614</v>
      </c>
      <c r="T3" s="630" t="s">
        <v>615</v>
      </c>
      <c r="U3" s="630" t="s">
        <v>616</v>
      </c>
      <c r="V3" s="631"/>
    </row>
    <row r="4" spans="1:22" s="109" customFormat="1" ht="11.1" customHeight="1">
      <c r="A4" s="126" t="s">
        <v>487</v>
      </c>
      <c r="B4" s="126">
        <v>1</v>
      </c>
      <c r="C4" s="126">
        <v>2</v>
      </c>
      <c r="D4" s="126">
        <v>3</v>
      </c>
      <c r="E4" s="126">
        <v>4</v>
      </c>
      <c r="F4" s="126">
        <v>5</v>
      </c>
      <c r="G4" s="126">
        <v>6</v>
      </c>
      <c r="H4" s="126">
        <v>7</v>
      </c>
      <c r="I4" s="126">
        <v>8</v>
      </c>
      <c r="J4" s="126">
        <v>9</v>
      </c>
      <c r="K4" s="126">
        <v>10</v>
      </c>
      <c r="L4" s="126">
        <v>11</v>
      </c>
      <c r="M4" s="126">
        <v>12</v>
      </c>
      <c r="N4" s="126">
        <v>13</v>
      </c>
      <c r="O4" s="126">
        <v>14</v>
      </c>
      <c r="P4" s="126">
        <v>15</v>
      </c>
      <c r="Q4" s="126">
        <v>16</v>
      </c>
      <c r="R4" s="126">
        <v>17</v>
      </c>
      <c r="S4" s="126">
        <v>18</v>
      </c>
      <c r="T4" s="126">
        <v>19</v>
      </c>
      <c r="U4" s="126">
        <v>20</v>
      </c>
      <c r="V4" s="127"/>
    </row>
    <row r="5" spans="1:22" s="164" customFormat="1" ht="11.45" customHeight="1">
      <c r="A5" s="958">
        <v>2002</v>
      </c>
      <c r="B5" s="15">
        <v>310.03500000000003</v>
      </c>
      <c r="C5" s="15">
        <v>27.06</v>
      </c>
      <c r="D5" s="15">
        <v>12.68</v>
      </c>
      <c r="E5" s="15">
        <v>23.734200000000001</v>
      </c>
      <c r="F5" s="15">
        <v>24.9983</v>
      </c>
      <c r="G5" s="15">
        <v>46.260800000000003</v>
      </c>
      <c r="H5" s="15">
        <v>133.06700000000001</v>
      </c>
      <c r="I5" s="15">
        <v>94.361699999999999</v>
      </c>
      <c r="J5" s="15">
        <v>191.827</v>
      </c>
      <c r="K5" s="15">
        <v>222.398</v>
      </c>
      <c r="L5" s="15">
        <v>152.78299999999999</v>
      </c>
      <c r="M5" s="15">
        <v>132.167</v>
      </c>
      <c r="N5" s="15">
        <v>121.22</v>
      </c>
      <c r="O5" s="15">
        <v>356.745</v>
      </c>
      <c r="P5" s="15">
        <v>359.661</v>
      </c>
      <c r="Q5" s="15">
        <v>183.917</v>
      </c>
      <c r="R5" s="15">
        <v>409.84199999999998</v>
      </c>
      <c r="S5" s="15">
        <v>24.978300000000001</v>
      </c>
      <c r="T5" s="15">
        <v>6.2366700000000002</v>
      </c>
      <c r="U5" s="15">
        <v>20.940799999999999</v>
      </c>
      <c r="V5" s="490"/>
    </row>
    <row r="6" spans="1:22" ht="11.45" customHeight="1">
      <c r="A6" s="310">
        <v>2003</v>
      </c>
      <c r="B6" s="322">
        <v>363.50900000000001</v>
      </c>
      <c r="C6" s="322">
        <v>27.9542</v>
      </c>
      <c r="D6" s="322">
        <v>13.82</v>
      </c>
      <c r="E6" s="322">
        <v>26.7333</v>
      </c>
      <c r="F6" s="322">
        <v>28.852499999999999</v>
      </c>
      <c r="G6" s="322">
        <v>63.4437</v>
      </c>
      <c r="H6" s="322">
        <v>149.333</v>
      </c>
      <c r="I6" s="322">
        <v>138.89599999999999</v>
      </c>
      <c r="J6" s="322">
        <v>199.46100000000001</v>
      </c>
      <c r="K6" s="322">
        <v>248.75399999999999</v>
      </c>
      <c r="L6" s="322">
        <v>165.548</v>
      </c>
      <c r="M6" s="322">
        <v>131.571</v>
      </c>
      <c r="N6" s="322">
        <v>152.44999999999999</v>
      </c>
      <c r="O6" s="322">
        <v>410.37299999999999</v>
      </c>
      <c r="P6" s="322">
        <v>425.53800000000001</v>
      </c>
      <c r="Q6" s="322">
        <v>214.65600000000001</v>
      </c>
      <c r="R6" s="322">
        <v>500.28300000000002</v>
      </c>
      <c r="S6" s="322">
        <v>27.1768</v>
      </c>
      <c r="T6" s="322">
        <v>6.9257099999999996</v>
      </c>
      <c r="U6" s="322">
        <v>21.4998</v>
      </c>
      <c r="V6" s="85"/>
    </row>
    <row r="7" spans="1:22" s="164" customFormat="1" ht="11.45" customHeight="1">
      <c r="A7" s="958">
        <v>2004</v>
      </c>
      <c r="B7" s="15">
        <v>409.21199999999999</v>
      </c>
      <c r="C7" s="15">
        <v>56.729900000000001</v>
      </c>
      <c r="D7" s="15">
        <v>16.39</v>
      </c>
      <c r="E7" s="15">
        <v>33.455800000000004</v>
      </c>
      <c r="F7" s="15">
        <v>38.297499999999999</v>
      </c>
      <c r="G7" s="15">
        <v>62.006</v>
      </c>
      <c r="H7" s="15">
        <v>186.31200000000001</v>
      </c>
      <c r="I7" s="15">
        <v>175.292</v>
      </c>
      <c r="J7" s="15">
        <v>245.78299999999999</v>
      </c>
      <c r="K7" s="15">
        <v>269.95499999999998</v>
      </c>
      <c r="L7" s="15">
        <v>167.05</v>
      </c>
      <c r="M7" s="15">
        <v>133.45599999999999</v>
      </c>
      <c r="N7" s="15">
        <v>139.5</v>
      </c>
      <c r="O7" s="15">
        <v>434.72300000000001</v>
      </c>
      <c r="P7" s="15">
        <v>448.73899999999998</v>
      </c>
      <c r="Q7" s="15">
        <v>257.20499999999998</v>
      </c>
      <c r="R7" s="15">
        <v>590.452</v>
      </c>
      <c r="S7" s="15">
        <v>30.459700000000002</v>
      </c>
      <c r="T7" s="15">
        <v>7.5450999999999997</v>
      </c>
      <c r="U7" s="15">
        <v>20.571100000000001</v>
      </c>
      <c r="V7" s="490"/>
    </row>
    <row r="8" spans="1:22" ht="11.45" customHeight="1">
      <c r="A8" s="310">
        <v>2005</v>
      </c>
      <c r="B8" s="322">
        <v>444.84300000000002</v>
      </c>
      <c r="C8" s="322">
        <v>51.022399999999998</v>
      </c>
      <c r="D8" s="322">
        <v>28.11</v>
      </c>
      <c r="E8" s="322">
        <v>49.201700000000002</v>
      </c>
      <c r="F8" s="322">
        <v>54.434199999999997</v>
      </c>
      <c r="G8" s="322">
        <v>55.168300000000002</v>
      </c>
      <c r="H8" s="322">
        <v>201.47900000000001</v>
      </c>
      <c r="I8" s="322">
        <v>219.01900000000001</v>
      </c>
      <c r="J8" s="322">
        <v>287.81099999999998</v>
      </c>
      <c r="K8" s="322">
        <v>308.45100000000002</v>
      </c>
      <c r="L8" s="322">
        <v>163.43100000000001</v>
      </c>
      <c r="M8" s="322">
        <v>129.886</v>
      </c>
      <c r="N8" s="322">
        <v>121.4</v>
      </c>
      <c r="O8" s="322">
        <v>367.68700000000001</v>
      </c>
      <c r="P8" s="322">
        <v>390.75200000000001</v>
      </c>
      <c r="Q8" s="322">
        <v>205.762</v>
      </c>
      <c r="R8" s="322">
        <v>495.74700000000001</v>
      </c>
      <c r="S8" s="322">
        <v>30.2624</v>
      </c>
      <c r="T8" s="322">
        <v>10.0702</v>
      </c>
      <c r="U8" s="322">
        <v>21.0684</v>
      </c>
      <c r="V8" s="85"/>
    </row>
    <row r="9" spans="1:22" s="164" customFormat="1" ht="11.45" customHeight="1">
      <c r="A9" s="958">
        <v>2006</v>
      </c>
      <c r="B9" s="15">
        <v>604.33600000000001</v>
      </c>
      <c r="C9" s="15">
        <v>52.595999999999997</v>
      </c>
      <c r="D9" s="15">
        <v>33.450000000000003</v>
      </c>
      <c r="E9" s="15">
        <v>61.431699999999999</v>
      </c>
      <c r="F9" s="15">
        <v>65.39</v>
      </c>
      <c r="G9" s="15">
        <v>58.052500000000002</v>
      </c>
      <c r="H9" s="15">
        <v>201.63300000000001</v>
      </c>
      <c r="I9" s="15">
        <v>222.95400000000001</v>
      </c>
      <c r="J9" s="15">
        <v>303.51499999999999</v>
      </c>
      <c r="K9" s="15">
        <v>345.83100000000002</v>
      </c>
      <c r="L9" s="15">
        <v>169.399</v>
      </c>
      <c r="M9" s="15">
        <v>168.566</v>
      </c>
      <c r="N9" s="15">
        <v>153.30000000000001</v>
      </c>
      <c r="O9" s="15">
        <v>416.81400000000002</v>
      </c>
      <c r="P9" s="15">
        <v>425.46100000000001</v>
      </c>
      <c r="Q9" s="15">
        <v>193.97499999999999</v>
      </c>
      <c r="R9" s="15">
        <v>551.49599999999998</v>
      </c>
      <c r="S9" s="15">
        <v>30.639700000000001</v>
      </c>
      <c r="T9" s="15">
        <v>14.788500000000001</v>
      </c>
      <c r="U9" s="15">
        <v>22.119499999999999</v>
      </c>
      <c r="V9" s="490"/>
    </row>
    <row r="10" spans="1:22" ht="11.45" customHeight="1">
      <c r="A10" s="310">
        <v>2007</v>
      </c>
      <c r="B10" s="322">
        <v>696.72</v>
      </c>
      <c r="C10" s="322">
        <v>70.428299999999993</v>
      </c>
      <c r="D10" s="322">
        <v>36.630000000000003</v>
      </c>
      <c r="E10" s="322">
        <v>68.368300000000005</v>
      </c>
      <c r="F10" s="322">
        <v>72.712500000000006</v>
      </c>
      <c r="G10" s="322">
        <v>63.283700000000003</v>
      </c>
      <c r="H10" s="322">
        <v>339.05399999999997</v>
      </c>
      <c r="I10" s="322">
        <v>309.39999999999998</v>
      </c>
      <c r="J10" s="322">
        <v>332.39299999999997</v>
      </c>
      <c r="K10" s="322">
        <v>375.70800000000003</v>
      </c>
      <c r="L10" s="322">
        <v>243.411</v>
      </c>
      <c r="M10" s="322">
        <v>226.88499999999999</v>
      </c>
      <c r="N10" s="322">
        <v>209.6</v>
      </c>
      <c r="O10" s="322">
        <v>719.12199999999996</v>
      </c>
      <c r="P10" s="322">
        <v>694.65099999999995</v>
      </c>
      <c r="Q10" s="322">
        <v>263.673</v>
      </c>
      <c r="R10" s="322">
        <v>799.74199999999996</v>
      </c>
      <c r="S10" s="322">
        <v>33.284399999999998</v>
      </c>
      <c r="T10" s="322">
        <v>9.9566400000000002</v>
      </c>
      <c r="U10" s="322">
        <v>20.763200000000001</v>
      </c>
      <c r="V10" s="85"/>
    </row>
    <row r="11" spans="1:22" s="164" customFormat="1" ht="11.45" customHeight="1">
      <c r="A11" s="958">
        <v>2008</v>
      </c>
      <c r="B11" s="15">
        <v>871.70699999999999</v>
      </c>
      <c r="C11" s="15">
        <v>136.18299999999999</v>
      </c>
      <c r="D11" s="15">
        <v>61.565199999999997</v>
      </c>
      <c r="E11" s="15">
        <v>93.776700000000005</v>
      </c>
      <c r="F11" s="15">
        <v>97.66</v>
      </c>
      <c r="G11" s="15">
        <v>71.399900000000002</v>
      </c>
      <c r="H11" s="15">
        <v>879.38099999999997</v>
      </c>
      <c r="I11" s="15">
        <v>492.72500000000002</v>
      </c>
      <c r="J11" s="15">
        <v>700.2</v>
      </c>
      <c r="K11" s="15">
        <v>597.11800000000005</v>
      </c>
      <c r="L11" s="15">
        <v>383.31099999999998</v>
      </c>
      <c r="M11" s="15">
        <v>286.952</v>
      </c>
      <c r="N11" s="15">
        <v>289.39999999999998</v>
      </c>
      <c r="O11" s="15">
        <v>862.91800000000001</v>
      </c>
      <c r="P11" s="15">
        <v>924.9</v>
      </c>
      <c r="Q11" s="15">
        <v>367.93799999999999</v>
      </c>
      <c r="R11" s="15">
        <v>1133.79</v>
      </c>
      <c r="S11" s="15">
        <v>30.816099999999999</v>
      </c>
      <c r="T11" s="15">
        <v>12.452199999999999</v>
      </c>
      <c r="U11" s="15">
        <v>21.323399999999999</v>
      </c>
      <c r="V11" s="490"/>
    </row>
    <row r="12" spans="1:22" s="18" customFormat="1" ht="11.45" customHeight="1">
      <c r="A12" s="956">
        <v>2009</v>
      </c>
      <c r="B12" s="321">
        <v>972.96600000000001</v>
      </c>
      <c r="C12" s="321">
        <v>76.975899999999996</v>
      </c>
      <c r="D12" s="321">
        <v>79.993899999999996</v>
      </c>
      <c r="E12" s="321">
        <v>61.754899999999999</v>
      </c>
      <c r="F12" s="321">
        <v>61.860599999999998</v>
      </c>
      <c r="G12" s="321">
        <v>62.752000000000002</v>
      </c>
      <c r="H12" s="321">
        <v>257.41699999999997</v>
      </c>
      <c r="I12" s="321">
        <v>249.57400000000001</v>
      </c>
      <c r="J12" s="321">
        <v>589.37599999999998</v>
      </c>
      <c r="K12" s="321">
        <v>582.69000000000005</v>
      </c>
      <c r="L12" s="321">
        <v>246.96899999999999</v>
      </c>
      <c r="M12" s="321">
        <v>190.11199999999999</v>
      </c>
      <c r="N12" s="321">
        <v>200.2</v>
      </c>
      <c r="O12" s="321">
        <v>644.06799999999998</v>
      </c>
      <c r="P12" s="321">
        <v>634.09199999999998</v>
      </c>
      <c r="Q12" s="321">
        <v>359.27</v>
      </c>
      <c r="R12" s="321">
        <v>787.02</v>
      </c>
      <c r="S12" s="321">
        <v>26.014600000000002</v>
      </c>
      <c r="T12" s="321">
        <v>18.150400000000001</v>
      </c>
      <c r="U12" s="321">
        <v>24.335699999999999</v>
      </c>
      <c r="V12" s="221"/>
    </row>
    <row r="13" spans="1:22" s="164" customFormat="1" ht="11.45" customHeight="1">
      <c r="A13" s="958">
        <v>2010</v>
      </c>
      <c r="B13" s="28">
        <v>1224.6600000000001</v>
      </c>
      <c r="C13" s="28">
        <v>106.035</v>
      </c>
      <c r="D13" s="28">
        <v>146.72</v>
      </c>
      <c r="E13" s="28">
        <v>78.057900000000004</v>
      </c>
      <c r="F13" s="28">
        <v>79.631500000000003</v>
      </c>
      <c r="G13" s="28">
        <v>103.545</v>
      </c>
      <c r="H13" s="28">
        <v>381.89</v>
      </c>
      <c r="I13" s="28">
        <v>288.59199999999998</v>
      </c>
      <c r="J13" s="28">
        <v>520.55600000000004</v>
      </c>
      <c r="K13" s="28">
        <v>593.779</v>
      </c>
      <c r="L13" s="28">
        <v>241.82900000000001</v>
      </c>
      <c r="M13" s="28">
        <v>194.5</v>
      </c>
      <c r="N13" s="28">
        <v>233.5</v>
      </c>
      <c r="O13" s="28">
        <v>859.94200000000001</v>
      </c>
      <c r="P13" s="28">
        <v>819.53099999999995</v>
      </c>
      <c r="Q13" s="28">
        <v>331.31700000000001</v>
      </c>
      <c r="R13" s="28">
        <v>924.82799999999997</v>
      </c>
      <c r="S13" s="28">
        <v>25.712800000000001</v>
      </c>
      <c r="T13" s="28">
        <v>20.890899999999998</v>
      </c>
      <c r="U13" s="28">
        <v>31.051200000000001</v>
      </c>
      <c r="V13" s="245"/>
    </row>
    <row r="14" spans="1:22" s="164" customFormat="1" ht="11.45" customHeight="1">
      <c r="A14" s="310">
        <v>2011</v>
      </c>
      <c r="B14" s="300">
        <v>1569.21</v>
      </c>
      <c r="C14" s="300">
        <v>130.12299999999999</v>
      </c>
      <c r="D14" s="300">
        <v>167.79</v>
      </c>
      <c r="E14" s="300">
        <v>106.027</v>
      </c>
      <c r="F14" s="300">
        <v>110.952</v>
      </c>
      <c r="G14" s="300">
        <v>154.608</v>
      </c>
      <c r="H14" s="300">
        <v>538.26</v>
      </c>
      <c r="I14" s="300">
        <v>420.96</v>
      </c>
      <c r="J14" s="300">
        <v>551.71100000000001</v>
      </c>
      <c r="K14" s="300">
        <v>593.49199999999996</v>
      </c>
      <c r="L14" s="300">
        <v>317.43599999999998</v>
      </c>
      <c r="M14" s="300">
        <v>279.98899999999998</v>
      </c>
      <c r="N14" s="300">
        <v>304.8</v>
      </c>
      <c r="O14" s="300">
        <v>1076.5</v>
      </c>
      <c r="P14" s="300">
        <v>1068.3699999999999</v>
      </c>
      <c r="Q14" s="300">
        <v>378.86099999999999</v>
      </c>
      <c r="R14" s="300">
        <v>1215.82</v>
      </c>
      <c r="S14" s="300">
        <v>26.665199999999999</v>
      </c>
      <c r="T14" s="300">
        <v>26.235600000000002</v>
      </c>
      <c r="U14" s="300">
        <v>37.572499999999998</v>
      </c>
      <c r="V14" s="245"/>
    </row>
    <row r="15" spans="1:22" s="164" customFormat="1" ht="11.45" customHeight="1">
      <c r="A15" s="958">
        <v>2012</v>
      </c>
      <c r="B15" s="28">
        <v>1669.52</v>
      </c>
      <c r="C15" s="28">
        <v>103.247</v>
      </c>
      <c r="D15" s="28">
        <v>128.52600000000001</v>
      </c>
      <c r="E15" s="28">
        <v>108.919</v>
      </c>
      <c r="F15" s="28">
        <v>111.96</v>
      </c>
      <c r="G15" s="28">
        <v>89.241</v>
      </c>
      <c r="H15" s="28">
        <v>462</v>
      </c>
      <c r="I15" s="28">
        <v>405.40199999999999</v>
      </c>
      <c r="J15" s="28">
        <v>580.23599999999999</v>
      </c>
      <c r="K15" s="28">
        <v>683.029</v>
      </c>
      <c r="L15" s="28">
        <v>287.19799999999998</v>
      </c>
      <c r="M15" s="28">
        <v>276.12200000000001</v>
      </c>
      <c r="N15" s="28">
        <v>248.5</v>
      </c>
      <c r="O15" s="28">
        <v>939.83399999999995</v>
      </c>
      <c r="P15" s="28">
        <v>960.327</v>
      </c>
      <c r="Q15" s="28">
        <v>473.28399999999999</v>
      </c>
      <c r="R15" s="28">
        <v>1151.75</v>
      </c>
      <c r="S15" s="28">
        <v>26.360900000000001</v>
      </c>
      <c r="T15" s="28">
        <v>21.374500000000001</v>
      </c>
      <c r="U15" s="28">
        <v>28.895399999999999</v>
      </c>
      <c r="V15" s="245"/>
    </row>
    <row r="16" spans="1:22" s="162" customFormat="1" ht="11.45" customHeight="1">
      <c r="A16" s="310">
        <v>2013</v>
      </c>
      <c r="B16" s="300">
        <v>1411.46</v>
      </c>
      <c r="C16" s="300">
        <v>90.6023</v>
      </c>
      <c r="D16" s="300">
        <v>135.36099999999999</v>
      </c>
      <c r="E16" s="300">
        <v>105.43</v>
      </c>
      <c r="F16" s="300">
        <v>108.84399999999999</v>
      </c>
      <c r="G16" s="300">
        <v>90.400599999999997</v>
      </c>
      <c r="H16" s="300">
        <v>382.06299999999999</v>
      </c>
      <c r="I16" s="300">
        <v>340.12299999999999</v>
      </c>
      <c r="J16" s="300">
        <v>518.81200000000001</v>
      </c>
      <c r="K16" s="300">
        <v>658.726</v>
      </c>
      <c r="L16" s="300">
        <v>326.16699999999997</v>
      </c>
      <c r="M16" s="300">
        <v>265.75099999999998</v>
      </c>
      <c r="N16" s="300">
        <v>314</v>
      </c>
      <c r="O16" s="300">
        <v>764.197</v>
      </c>
      <c r="P16" s="300">
        <v>743.37900000000002</v>
      </c>
      <c r="Q16" s="300">
        <v>477.29899999999998</v>
      </c>
      <c r="R16" s="300">
        <v>1011.11</v>
      </c>
      <c r="S16" s="300">
        <v>26.011800000000001</v>
      </c>
      <c r="T16" s="300">
        <v>17.708500000000001</v>
      </c>
      <c r="U16" s="300">
        <v>21.214500000000001</v>
      </c>
      <c r="V16" s="245"/>
    </row>
    <row r="17" spans="1:24" s="190" customFormat="1" ht="11.45" customHeight="1">
      <c r="A17" s="959">
        <v>2014</v>
      </c>
      <c r="B17" s="143">
        <v>1265.58</v>
      </c>
      <c r="C17" s="143">
        <v>75.139300000000006</v>
      </c>
      <c r="D17" s="143">
        <v>96.841499999999996</v>
      </c>
      <c r="E17" s="143">
        <v>96.664100000000005</v>
      </c>
      <c r="F17" s="143">
        <v>98.943299999999994</v>
      </c>
      <c r="G17" s="143">
        <v>83.096699999999998</v>
      </c>
      <c r="H17" s="143">
        <v>388.34399999999999</v>
      </c>
      <c r="I17" s="143">
        <v>316.20999999999998</v>
      </c>
      <c r="J17" s="143" t="s">
        <v>295</v>
      </c>
      <c r="K17" s="143">
        <v>490.76400000000001</v>
      </c>
      <c r="L17" s="143">
        <v>291.87299999999999</v>
      </c>
      <c r="M17" s="143">
        <v>242.49600000000001</v>
      </c>
      <c r="N17" s="143">
        <v>324.02499999999998</v>
      </c>
      <c r="O17" s="143">
        <v>739.40800000000002</v>
      </c>
      <c r="P17" s="143">
        <v>743.99199999999996</v>
      </c>
      <c r="Q17" s="143">
        <v>466.96600000000001</v>
      </c>
      <c r="R17" s="143">
        <v>812.71</v>
      </c>
      <c r="S17" s="143">
        <v>27.394400000000001</v>
      </c>
      <c r="T17" s="143">
        <v>17.1264</v>
      </c>
      <c r="U17" s="143">
        <v>24.865400000000001</v>
      </c>
      <c r="V17" s="540"/>
    </row>
    <row r="18" spans="1:24" s="162" customFormat="1" ht="11.45" customHeight="1">
      <c r="A18" s="833">
        <v>2015</v>
      </c>
      <c r="B18" s="303">
        <f>AVERAGE(B19:B30)</f>
        <v>1160.6633333333334</v>
      </c>
      <c r="C18" s="303">
        <f t="shared" ref="C18:U18" si="0">AVERAGE(C19:C30)</f>
        <v>61.618599999999994</v>
      </c>
      <c r="D18" s="303">
        <f t="shared" si="0"/>
        <v>55.209266666666657</v>
      </c>
      <c r="E18" s="303">
        <f t="shared" si="0"/>
        <v>51.232049999999994</v>
      </c>
      <c r="F18" s="303">
        <f t="shared" si="0"/>
        <v>52.399408333333348</v>
      </c>
      <c r="G18" s="303">
        <f t="shared" si="0"/>
        <v>70.417191666666668</v>
      </c>
      <c r="H18" s="303">
        <f t="shared" si="0"/>
        <v>385</v>
      </c>
      <c r="I18" s="303">
        <f t="shared" si="0"/>
        <v>272.91941666666668</v>
      </c>
      <c r="J18" s="303" t="s">
        <v>295</v>
      </c>
      <c r="K18" s="303">
        <f t="shared" si="0"/>
        <v>469.92883333333333</v>
      </c>
      <c r="L18" s="303" t="s">
        <v>295</v>
      </c>
      <c r="M18" s="303">
        <f t="shared" si="0"/>
        <v>185.60733333333334</v>
      </c>
      <c r="N18" s="303">
        <f t="shared" si="0"/>
        <v>236.21666666666667</v>
      </c>
      <c r="O18" s="303">
        <f t="shared" si="0"/>
        <v>565.09</v>
      </c>
      <c r="P18" s="303">
        <f>AVERAGE(P19:P27)</f>
        <v>593.50144444444459</v>
      </c>
      <c r="Q18" s="303">
        <f t="shared" si="0"/>
        <v>352.72174999999993</v>
      </c>
      <c r="R18" s="303">
        <f t="shared" si="0"/>
        <v>672.16466666666656</v>
      </c>
      <c r="S18" s="303">
        <f t="shared" si="0"/>
        <v>25.423941666666668</v>
      </c>
      <c r="T18" s="303">
        <f t="shared" si="0"/>
        <v>13.238658333333335</v>
      </c>
      <c r="U18" s="303">
        <f t="shared" si="0"/>
        <v>24.850825</v>
      </c>
      <c r="V18" s="245"/>
    </row>
    <row r="19" spans="1:24" s="162" customFormat="1" ht="11.45" customHeight="1">
      <c r="A19" s="955" t="s">
        <v>569</v>
      </c>
      <c r="B19" s="256">
        <v>1250.75</v>
      </c>
      <c r="C19" s="256">
        <v>66.535700000000006</v>
      </c>
      <c r="D19" s="256">
        <v>67.386399999999995</v>
      </c>
      <c r="E19" s="256">
        <v>46.335000000000001</v>
      </c>
      <c r="F19" s="256">
        <v>48.416800000000002</v>
      </c>
      <c r="G19" s="256">
        <v>67.349999999999994</v>
      </c>
      <c r="H19" s="256">
        <v>400</v>
      </c>
      <c r="I19" s="256">
        <v>319.2</v>
      </c>
      <c r="J19" s="256" t="s">
        <v>295</v>
      </c>
      <c r="K19" s="256">
        <v>546.59199999999998</v>
      </c>
      <c r="L19" s="256" t="s">
        <v>295</v>
      </c>
      <c r="M19" s="256">
        <v>210.608</v>
      </c>
      <c r="N19" s="256">
        <v>261.8</v>
      </c>
      <c r="O19" s="256">
        <v>641.59699999999998</v>
      </c>
      <c r="P19" s="256">
        <v>617.11199999999997</v>
      </c>
      <c r="Q19" s="256">
        <v>379.041</v>
      </c>
      <c r="R19" s="256">
        <v>707.88099999999997</v>
      </c>
      <c r="S19" s="256">
        <v>25.170200000000001</v>
      </c>
      <c r="T19" s="256">
        <v>15.0625</v>
      </c>
      <c r="U19" s="256">
        <v>25.24</v>
      </c>
      <c r="V19" s="245"/>
      <c r="X19" s="245"/>
    </row>
    <row r="20" spans="1:24" s="162" customFormat="1" ht="11.45" customHeight="1">
      <c r="A20" s="956" t="s">
        <v>570</v>
      </c>
      <c r="B20" s="295">
        <v>1227.08</v>
      </c>
      <c r="C20" s="295">
        <v>65.785700000000006</v>
      </c>
      <c r="D20" s="295">
        <v>62.69</v>
      </c>
      <c r="E20" s="295">
        <v>56.15</v>
      </c>
      <c r="F20" s="295">
        <v>57.930500000000002</v>
      </c>
      <c r="G20" s="295">
        <v>69.842500000000001</v>
      </c>
      <c r="H20" s="295">
        <v>400</v>
      </c>
      <c r="I20" s="295">
        <v>297</v>
      </c>
      <c r="J20" s="295" t="s">
        <v>295</v>
      </c>
      <c r="K20" s="295">
        <v>501.76499999999999</v>
      </c>
      <c r="L20" s="295" t="s">
        <v>295</v>
      </c>
      <c r="M20" s="295">
        <v>201.714</v>
      </c>
      <c r="N20" s="295">
        <v>253</v>
      </c>
      <c r="O20" s="295">
        <v>634.37800000000004</v>
      </c>
      <c r="P20" s="295">
        <v>628.54300000000001</v>
      </c>
      <c r="Q20" s="295">
        <v>374.25200000000001</v>
      </c>
      <c r="R20" s="295">
        <v>697.93600000000004</v>
      </c>
      <c r="S20" s="295">
        <v>25.485399999999998</v>
      </c>
      <c r="T20" s="295">
        <v>14.5121</v>
      </c>
      <c r="U20" s="295">
        <v>24.62</v>
      </c>
      <c r="V20" s="245"/>
      <c r="X20" s="245"/>
    </row>
    <row r="21" spans="1:24" s="162" customFormat="1" ht="11.45" customHeight="1">
      <c r="A21" s="955" t="s">
        <v>562</v>
      </c>
      <c r="B21" s="256">
        <v>1178.6300000000001</v>
      </c>
      <c r="C21" s="256">
        <v>64.408900000000003</v>
      </c>
      <c r="D21" s="256">
        <v>56.940899999999999</v>
      </c>
      <c r="E21" s="256">
        <v>54.909100000000002</v>
      </c>
      <c r="F21" s="256">
        <v>55.791400000000003</v>
      </c>
      <c r="G21" s="256">
        <v>69.3523</v>
      </c>
      <c r="H21" s="256">
        <v>400</v>
      </c>
      <c r="I21" s="256">
        <v>271</v>
      </c>
      <c r="J21" s="256" t="s">
        <v>295</v>
      </c>
      <c r="K21" s="256">
        <v>503.84899999999999</v>
      </c>
      <c r="L21" s="256" t="s">
        <v>295</v>
      </c>
      <c r="M21" s="256">
        <v>202.679</v>
      </c>
      <c r="N21" s="256">
        <v>250.4</v>
      </c>
      <c r="O21" s="256">
        <v>607.65499999999997</v>
      </c>
      <c r="P21" s="256">
        <v>615.98599999999999</v>
      </c>
      <c r="Q21" s="256">
        <v>364.86</v>
      </c>
      <c r="R21" s="256">
        <v>683.43200000000002</v>
      </c>
      <c r="S21" s="256">
        <v>24.9069</v>
      </c>
      <c r="T21" s="256">
        <v>12.8409</v>
      </c>
      <c r="U21" s="256">
        <v>24.4</v>
      </c>
      <c r="V21" s="245"/>
      <c r="X21" s="245"/>
    </row>
    <row r="22" spans="1:24" s="162" customFormat="1" ht="11.45" customHeight="1">
      <c r="A22" s="956" t="s">
        <v>571</v>
      </c>
      <c r="B22" s="295">
        <v>1198.93</v>
      </c>
      <c r="C22" s="295">
        <v>61.943899999999999</v>
      </c>
      <c r="D22" s="295">
        <v>51.15</v>
      </c>
      <c r="E22" s="295">
        <v>58.665500000000002</v>
      </c>
      <c r="F22" s="295">
        <v>59.389499999999998</v>
      </c>
      <c r="G22" s="295">
        <v>71.702500000000001</v>
      </c>
      <c r="H22" s="295">
        <v>380</v>
      </c>
      <c r="I22" s="295">
        <v>259</v>
      </c>
      <c r="J22" s="295" t="s">
        <v>295</v>
      </c>
      <c r="K22" s="295">
        <v>504.22399999999999</v>
      </c>
      <c r="L22" s="295" t="s">
        <v>295</v>
      </c>
      <c r="M22" s="295">
        <v>195.89599999999999</v>
      </c>
      <c r="N22" s="295">
        <v>234.3</v>
      </c>
      <c r="O22" s="295">
        <v>591.78800000000001</v>
      </c>
      <c r="P22" s="295">
        <v>604.04200000000003</v>
      </c>
      <c r="Q22" s="295">
        <v>349.71100000000001</v>
      </c>
      <c r="R22" s="295">
        <v>691.673</v>
      </c>
      <c r="S22" s="295">
        <v>24.853300000000001</v>
      </c>
      <c r="T22" s="295">
        <v>12.911</v>
      </c>
      <c r="U22" s="295">
        <v>24.39</v>
      </c>
      <c r="V22" s="245"/>
      <c r="X22" s="245"/>
    </row>
    <row r="23" spans="1:24" s="162" customFormat="1" ht="11.45" customHeight="1">
      <c r="A23" s="955" t="s">
        <v>572</v>
      </c>
      <c r="B23" s="256">
        <v>1198.6300000000001</v>
      </c>
      <c r="C23" s="256">
        <v>64.711500000000001</v>
      </c>
      <c r="D23" s="256">
        <v>60.2333</v>
      </c>
      <c r="E23" s="256">
        <v>63.674799999999998</v>
      </c>
      <c r="F23" s="256">
        <v>64.561400000000006</v>
      </c>
      <c r="G23" s="256">
        <v>72.863200000000006</v>
      </c>
      <c r="H23" s="256">
        <v>380</v>
      </c>
      <c r="I23" s="256">
        <v>280</v>
      </c>
      <c r="J23" s="256" t="s">
        <v>295</v>
      </c>
      <c r="K23" s="256">
        <v>444.74299999999999</v>
      </c>
      <c r="L23" s="256" t="s">
        <v>295</v>
      </c>
      <c r="M23" s="256">
        <v>193.15199999999999</v>
      </c>
      <c r="N23" s="256">
        <v>234.5</v>
      </c>
      <c r="O23" s="256">
        <v>601.39700000000005</v>
      </c>
      <c r="P23" s="256">
        <v>595.471</v>
      </c>
      <c r="Q23" s="256">
        <v>340.471</v>
      </c>
      <c r="R23" s="256">
        <v>716.49</v>
      </c>
      <c r="S23" s="256">
        <v>25.732500000000002</v>
      </c>
      <c r="T23" s="256">
        <v>12.7035</v>
      </c>
      <c r="U23" s="256">
        <v>24.72</v>
      </c>
      <c r="V23" s="245"/>
      <c r="X23" s="245"/>
    </row>
    <row r="24" spans="1:24" s="162" customFormat="1" ht="11.45" customHeight="1">
      <c r="A24" s="956" t="s">
        <v>563</v>
      </c>
      <c r="B24" s="295">
        <v>1181.5</v>
      </c>
      <c r="C24" s="295">
        <v>63.043799999999997</v>
      </c>
      <c r="D24" s="295">
        <v>62.2864</v>
      </c>
      <c r="E24" s="295">
        <v>61.758600000000001</v>
      </c>
      <c r="F24" s="295">
        <v>62.3459</v>
      </c>
      <c r="G24" s="295">
        <v>72.3523</v>
      </c>
      <c r="H24" s="295">
        <v>380</v>
      </c>
      <c r="I24" s="295">
        <v>292</v>
      </c>
      <c r="J24" s="295" t="s">
        <v>295</v>
      </c>
      <c r="K24" s="295">
        <v>466.17599999999999</v>
      </c>
      <c r="L24" s="295" t="s">
        <v>295</v>
      </c>
      <c r="M24" s="295">
        <v>199.82300000000001</v>
      </c>
      <c r="N24" s="295">
        <v>233.4</v>
      </c>
      <c r="O24" s="295">
        <v>606.404</v>
      </c>
      <c r="P24" s="295">
        <v>593.16099999999994</v>
      </c>
      <c r="Q24" s="295">
        <v>353.90199999999999</v>
      </c>
      <c r="R24" s="295">
        <v>738.03700000000003</v>
      </c>
      <c r="S24" s="295">
        <v>25.865200000000002</v>
      </c>
      <c r="T24" s="295">
        <v>12.1136</v>
      </c>
      <c r="U24" s="295">
        <v>24.76</v>
      </c>
      <c r="V24" s="245"/>
      <c r="X24" s="245"/>
    </row>
    <row r="25" spans="1:24" s="162" customFormat="1" ht="11.45" customHeight="1">
      <c r="A25" s="955" t="s">
        <v>565</v>
      </c>
      <c r="B25" s="256">
        <v>1128.31</v>
      </c>
      <c r="C25" s="256">
        <v>63.353999999999999</v>
      </c>
      <c r="D25" s="256">
        <v>51.504300000000001</v>
      </c>
      <c r="E25" s="256">
        <v>56.266100000000002</v>
      </c>
      <c r="F25" s="256">
        <v>55.865699999999997</v>
      </c>
      <c r="G25" s="256">
        <v>72.347800000000007</v>
      </c>
      <c r="H25" s="256">
        <v>380</v>
      </c>
      <c r="I25" s="256">
        <v>273</v>
      </c>
      <c r="J25" s="256" t="s">
        <v>295</v>
      </c>
      <c r="K25" s="256">
        <v>460.57799999999997</v>
      </c>
      <c r="L25" s="256" t="s">
        <v>295</v>
      </c>
      <c r="M25" s="256">
        <v>199.197</v>
      </c>
      <c r="N25" s="256">
        <v>225.6</v>
      </c>
      <c r="O25" s="256">
        <v>575.68200000000002</v>
      </c>
      <c r="P25" s="256">
        <v>587.58799999999997</v>
      </c>
      <c r="Q25" s="256">
        <v>394.642</v>
      </c>
      <c r="R25" s="256">
        <v>695.78800000000001</v>
      </c>
      <c r="S25" s="256">
        <v>25.8688</v>
      </c>
      <c r="T25" s="256">
        <v>11.8786</v>
      </c>
      <c r="U25" s="256">
        <v>24.67</v>
      </c>
      <c r="V25" s="245"/>
      <c r="X25" s="245"/>
    </row>
    <row r="26" spans="1:24" s="162" customFormat="1" ht="11.45" customHeight="1">
      <c r="A26" s="956" t="s">
        <v>566</v>
      </c>
      <c r="B26" s="295">
        <v>1117.93</v>
      </c>
      <c r="C26" s="295">
        <v>62.7562</v>
      </c>
      <c r="D26" s="295">
        <v>55.381</v>
      </c>
      <c r="E26" s="295">
        <v>47.3033</v>
      </c>
      <c r="F26" s="295">
        <v>46.994300000000003</v>
      </c>
      <c r="G26" s="295">
        <v>71.822500000000005</v>
      </c>
      <c r="H26" s="295">
        <v>380</v>
      </c>
      <c r="I26" s="295">
        <v>273</v>
      </c>
      <c r="J26" s="295" t="s">
        <v>295</v>
      </c>
      <c r="K26" s="295">
        <v>451.36</v>
      </c>
      <c r="L26" s="295" t="s">
        <v>295</v>
      </c>
      <c r="M26" s="295">
        <v>173.46899999999999</v>
      </c>
      <c r="N26" s="295">
        <v>230.2</v>
      </c>
      <c r="O26" s="295">
        <v>484.678</v>
      </c>
      <c r="P26" s="295">
        <v>538.529</v>
      </c>
      <c r="Q26" s="295">
        <v>370.40800000000002</v>
      </c>
      <c r="R26" s="295">
        <v>628.74699999999996</v>
      </c>
      <c r="S26" s="295">
        <v>25.947700000000001</v>
      </c>
      <c r="T26" s="295">
        <v>10.674799999999999</v>
      </c>
      <c r="U26" s="295">
        <v>24.5</v>
      </c>
      <c r="V26" s="245"/>
      <c r="X26" s="245"/>
    </row>
    <row r="27" spans="1:24" s="162" customFormat="1" ht="11.45" customHeight="1">
      <c r="A27" s="955" t="s">
        <v>560</v>
      </c>
      <c r="B27" s="256">
        <v>1124.77</v>
      </c>
      <c r="C27" s="256">
        <v>58.655799999999999</v>
      </c>
      <c r="D27" s="256">
        <v>56.431800000000003</v>
      </c>
      <c r="E27" s="256">
        <v>46.144500000000001</v>
      </c>
      <c r="F27" s="256">
        <v>47.234499999999997</v>
      </c>
      <c r="G27" s="256">
        <v>68.736400000000003</v>
      </c>
      <c r="H27" s="256">
        <v>380</v>
      </c>
      <c r="I27" s="256">
        <v>259</v>
      </c>
      <c r="J27" s="256"/>
      <c r="K27" s="256">
        <v>458.15699999999998</v>
      </c>
      <c r="L27" s="256" t="s">
        <v>295</v>
      </c>
      <c r="M27" s="256">
        <v>163.827</v>
      </c>
      <c r="N27" s="256">
        <v>229.7</v>
      </c>
      <c r="O27" s="256">
        <v>483.48700000000002</v>
      </c>
      <c r="P27" s="256">
        <v>561.08100000000002</v>
      </c>
      <c r="Q27" s="256">
        <v>342.95499999999998</v>
      </c>
      <c r="R27" s="256">
        <v>590.25</v>
      </c>
      <c r="S27" s="256">
        <v>25.535799999999998</v>
      </c>
      <c r="T27" s="256">
        <v>12.1371</v>
      </c>
      <c r="U27" s="256">
        <v>24.434799999999999</v>
      </c>
      <c r="V27" s="245"/>
      <c r="X27" s="245"/>
    </row>
    <row r="28" spans="1:24" s="162" customFormat="1" ht="11.45" customHeight="1">
      <c r="A28" s="956" t="s">
        <v>567</v>
      </c>
      <c r="B28" s="295">
        <v>1159.25</v>
      </c>
      <c r="C28" s="295">
        <v>56.0503</v>
      </c>
      <c r="D28" s="295">
        <v>52.740900000000003</v>
      </c>
      <c r="E28" s="295">
        <v>46.5518</v>
      </c>
      <c r="F28" s="295">
        <v>48.124099999999999</v>
      </c>
      <c r="G28" s="295">
        <v>69.027299999999997</v>
      </c>
      <c r="H28" s="295">
        <v>380</v>
      </c>
      <c r="I28" s="295">
        <v>255</v>
      </c>
      <c r="J28" s="295" t="s">
        <v>295</v>
      </c>
      <c r="K28" s="295">
        <v>405.63600000000002</v>
      </c>
      <c r="L28" s="295" t="s">
        <v>295</v>
      </c>
      <c r="M28" s="295">
        <v>165.38800000000001</v>
      </c>
      <c r="N28" s="295">
        <v>226</v>
      </c>
      <c r="O28" s="295">
        <v>530.24699999999996</v>
      </c>
      <c r="P28" s="295" t="s">
        <v>295</v>
      </c>
      <c r="Q28" s="295">
        <v>338.214</v>
      </c>
      <c r="R28" s="295">
        <v>623.80700000000002</v>
      </c>
      <c r="S28" s="295">
        <v>25.5</v>
      </c>
      <c r="T28" s="295">
        <v>14.1418</v>
      </c>
      <c r="U28" s="295">
        <v>25.0382</v>
      </c>
      <c r="V28" s="245"/>
      <c r="X28" s="245"/>
    </row>
    <row r="29" spans="1:24" s="162" customFormat="1" ht="11.45" customHeight="1">
      <c r="A29" s="955" t="s">
        <v>568</v>
      </c>
      <c r="B29" s="256">
        <v>1086.44</v>
      </c>
      <c r="C29" s="256">
        <v>56.326500000000003</v>
      </c>
      <c r="D29" s="256">
        <v>46.161900000000003</v>
      </c>
      <c r="E29" s="256">
        <v>42.323300000000003</v>
      </c>
      <c r="F29" s="256">
        <v>44.417099999999998</v>
      </c>
      <c r="G29" s="256">
        <v>69.221400000000003</v>
      </c>
      <c r="H29" s="256">
        <v>380</v>
      </c>
      <c r="I29" s="256">
        <v>257</v>
      </c>
      <c r="J29" s="256" t="s">
        <v>295</v>
      </c>
      <c r="K29" s="256">
        <v>460.50099999999998</v>
      </c>
      <c r="L29" s="256" t="s">
        <v>295</v>
      </c>
      <c r="M29" s="256">
        <v>157.74199999999999</v>
      </c>
      <c r="N29" s="256">
        <v>229.7</v>
      </c>
      <c r="O29" s="256">
        <v>503.16399999999999</v>
      </c>
      <c r="P29" s="256" t="s">
        <v>295</v>
      </c>
      <c r="Q29" s="256">
        <v>320.34300000000002</v>
      </c>
      <c r="R29" s="256">
        <v>614.73599999999999</v>
      </c>
      <c r="S29" s="256">
        <v>25.2958</v>
      </c>
      <c r="T29" s="256">
        <v>14.888</v>
      </c>
      <c r="U29" s="256">
        <v>25.606000000000002</v>
      </c>
      <c r="V29" s="245"/>
      <c r="X29" s="245"/>
    </row>
    <row r="30" spans="1:24" s="162" customFormat="1" ht="11.45" customHeight="1">
      <c r="A30" s="956" t="s">
        <v>561</v>
      </c>
      <c r="B30" s="295">
        <v>1075.74</v>
      </c>
      <c r="C30" s="295">
        <v>55.850900000000003</v>
      </c>
      <c r="D30" s="295">
        <v>39.604300000000002</v>
      </c>
      <c r="E30" s="295">
        <v>34.702599999999997</v>
      </c>
      <c r="F30" s="295">
        <v>37.721699999999998</v>
      </c>
      <c r="G30" s="295">
        <v>70.388099999999994</v>
      </c>
      <c r="H30" s="295">
        <v>380</v>
      </c>
      <c r="I30" s="295">
        <v>239.833</v>
      </c>
      <c r="J30" s="295" t="s">
        <v>295</v>
      </c>
      <c r="K30" s="295">
        <v>435.565</v>
      </c>
      <c r="L30" s="295" t="s">
        <v>295</v>
      </c>
      <c r="M30" s="295">
        <v>163.79300000000001</v>
      </c>
      <c r="N30" s="295">
        <v>226</v>
      </c>
      <c r="O30" s="295">
        <v>520.60299999999995</v>
      </c>
      <c r="P30" s="295" t="s">
        <v>295</v>
      </c>
      <c r="Q30" s="295">
        <v>303.86200000000002</v>
      </c>
      <c r="R30" s="295">
        <v>677.19899999999996</v>
      </c>
      <c r="S30" s="295">
        <v>24.925699999999999</v>
      </c>
      <c r="T30" s="295">
        <v>15</v>
      </c>
      <c r="U30" s="295">
        <v>25.8309</v>
      </c>
      <c r="V30" s="245"/>
      <c r="X30" s="245"/>
    </row>
    <row r="31" spans="1:24" s="162" customFormat="1" ht="11.45" customHeight="1">
      <c r="A31" s="443">
        <v>2016</v>
      </c>
      <c r="B31" s="143">
        <f>AVERAGE(B32:B43)</f>
        <v>1249.0091666666669</v>
      </c>
      <c r="C31" s="143">
        <f t="shared" ref="C31:U31" si="1">AVERAGE(C32:C43)</f>
        <v>70.595974999999996</v>
      </c>
      <c r="D31" s="143">
        <f t="shared" si="1"/>
        <v>57.927608333333332</v>
      </c>
      <c r="E31" s="143">
        <f t="shared" si="1"/>
        <v>41.239341666666668</v>
      </c>
      <c r="F31" s="143">
        <f t="shared" si="1"/>
        <v>44.043283333333328</v>
      </c>
      <c r="G31" s="143">
        <f t="shared" si="1"/>
        <v>74.221424999999996</v>
      </c>
      <c r="H31" s="143">
        <f t="shared" si="1"/>
        <v>290.5</v>
      </c>
      <c r="I31" s="143">
        <f t="shared" si="1"/>
        <v>199.25</v>
      </c>
      <c r="J31" s="143" t="s">
        <v>295</v>
      </c>
      <c r="K31" s="143">
        <f t="shared" si="1"/>
        <v>447.19941666666676</v>
      </c>
      <c r="L31" s="143" t="s">
        <v>295</v>
      </c>
      <c r="M31" s="143">
        <f t="shared" si="1"/>
        <v>143.15049999999999</v>
      </c>
      <c r="N31" s="143" t="s">
        <v>295</v>
      </c>
      <c r="O31" s="143">
        <f t="shared" si="1"/>
        <v>639.91374999999994</v>
      </c>
      <c r="P31" s="143">
        <f t="shared" si="1"/>
        <v>678.02857142857158</v>
      </c>
      <c r="Q31" s="143">
        <f t="shared" si="1"/>
        <v>350.16058333333331</v>
      </c>
      <c r="R31" s="143">
        <f t="shared" si="1"/>
        <v>721.16600000000005</v>
      </c>
      <c r="S31" s="143">
        <f t="shared" si="1"/>
        <v>22.537283333333335</v>
      </c>
      <c r="T31" s="143">
        <f t="shared" si="1"/>
        <v>18.252850000000002</v>
      </c>
      <c r="U31" s="143">
        <f t="shared" si="1"/>
        <v>27.479150000000004</v>
      </c>
      <c r="V31" s="245"/>
    </row>
    <row r="32" spans="1:24" s="162" customFormat="1" ht="11.45" customHeight="1">
      <c r="A32" s="956" t="s">
        <v>569</v>
      </c>
      <c r="B32" s="295">
        <v>1097.9100000000001</v>
      </c>
      <c r="C32" s="295">
        <v>53.373899999999999</v>
      </c>
      <c r="D32" s="295">
        <v>41.252400000000002</v>
      </c>
      <c r="E32" s="295">
        <v>27.246700000000001</v>
      </c>
      <c r="F32" s="295">
        <v>30.8033</v>
      </c>
      <c r="G32" s="295">
        <v>68.75</v>
      </c>
      <c r="H32" s="295">
        <v>380</v>
      </c>
      <c r="I32" s="295">
        <v>214</v>
      </c>
      <c r="J32" s="295" t="s">
        <v>295</v>
      </c>
      <c r="K32" s="295">
        <v>419.29700000000003</v>
      </c>
      <c r="L32" s="295" t="s">
        <v>295</v>
      </c>
      <c r="M32" s="295">
        <v>164.55799999999999</v>
      </c>
      <c r="N32" s="295" t="s">
        <v>295</v>
      </c>
      <c r="O32" s="295">
        <v>531.61900000000003</v>
      </c>
      <c r="P32" s="295" t="s">
        <v>295</v>
      </c>
      <c r="Q32" s="295">
        <v>297.17700000000002</v>
      </c>
      <c r="R32" s="295">
        <v>659.90099999999995</v>
      </c>
      <c r="S32" s="295">
        <v>23.9497</v>
      </c>
      <c r="T32" s="295">
        <v>14.2911</v>
      </c>
      <c r="U32" s="295">
        <v>25.831600000000002</v>
      </c>
      <c r="V32" s="245"/>
      <c r="X32" s="245"/>
    </row>
    <row r="33" spans="1:24" s="162" customFormat="1" ht="12" customHeight="1">
      <c r="A33" s="955" t="s">
        <v>570</v>
      </c>
      <c r="B33" s="256">
        <v>1199.5</v>
      </c>
      <c r="C33" s="256">
        <v>54.329500000000003</v>
      </c>
      <c r="D33" s="256">
        <v>46.176200000000001</v>
      </c>
      <c r="E33" s="256">
        <v>29.614799999999999</v>
      </c>
      <c r="F33" s="256">
        <v>33.198099999999997</v>
      </c>
      <c r="G33" s="256">
        <v>66.571399999999997</v>
      </c>
      <c r="H33" s="256">
        <v>329</v>
      </c>
      <c r="I33" s="256">
        <v>209</v>
      </c>
      <c r="J33" s="256" t="s">
        <v>295</v>
      </c>
      <c r="K33" s="256">
        <v>448.315</v>
      </c>
      <c r="L33" s="256" t="s">
        <v>295</v>
      </c>
      <c r="M33" s="256">
        <v>159.25200000000001</v>
      </c>
      <c r="N33" s="256" t="s">
        <v>295</v>
      </c>
      <c r="O33" s="256">
        <v>595.90099999999995</v>
      </c>
      <c r="P33" s="256" t="s">
        <v>295</v>
      </c>
      <c r="Q33" s="256">
        <v>291.36799999999999</v>
      </c>
      <c r="R33" s="256">
        <v>686.904</v>
      </c>
      <c r="S33" s="256">
        <v>23.770800000000001</v>
      </c>
      <c r="T33" s="256">
        <v>13.2905</v>
      </c>
      <c r="U33" s="256">
        <v>25.4985</v>
      </c>
      <c r="V33" s="245"/>
      <c r="X33" s="245"/>
    </row>
    <row r="34" spans="1:24" s="162" customFormat="1" ht="11.45" customHeight="1">
      <c r="A34" s="956" t="s">
        <v>562</v>
      </c>
      <c r="B34" s="295">
        <v>1245.1400000000001</v>
      </c>
      <c r="C34" s="295">
        <v>55.917900000000003</v>
      </c>
      <c r="D34" s="295">
        <v>55.521700000000003</v>
      </c>
      <c r="E34" s="295">
        <v>35.173000000000002</v>
      </c>
      <c r="F34" s="295">
        <v>39.070900000000002</v>
      </c>
      <c r="G34" s="295">
        <v>65.457099999999997</v>
      </c>
      <c r="H34" s="295">
        <v>275</v>
      </c>
      <c r="I34" s="295">
        <v>203</v>
      </c>
      <c r="J34" s="295" t="s">
        <v>295</v>
      </c>
      <c r="K34" s="295">
        <v>434.28100000000001</v>
      </c>
      <c r="L34" s="295" t="s">
        <v>295</v>
      </c>
      <c r="M34" s="295">
        <v>164.03100000000001</v>
      </c>
      <c r="N34" s="295" t="s">
        <v>295</v>
      </c>
      <c r="O34" s="295">
        <v>633.06799999999998</v>
      </c>
      <c r="P34" s="295" t="s">
        <v>295</v>
      </c>
      <c r="Q34" s="295">
        <v>296.18099999999998</v>
      </c>
      <c r="R34" s="295">
        <v>713.85599999999999</v>
      </c>
      <c r="S34" s="295">
        <v>23.656700000000001</v>
      </c>
      <c r="T34" s="295">
        <v>15.435</v>
      </c>
      <c r="U34" s="295">
        <v>26.316800000000001</v>
      </c>
      <c r="V34" s="245"/>
      <c r="X34" s="245"/>
    </row>
    <row r="35" spans="1:24" s="162" customFormat="1" ht="11.45" customHeight="1">
      <c r="A35" s="955" t="s">
        <v>571</v>
      </c>
      <c r="B35" s="256">
        <v>1242.26</v>
      </c>
      <c r="C35" s="256">
        <v>54.830399999999997</v>
      </c>
      <c r="D35" s="256">
        <v>59.581000000000003</v>
      </c>
      <c r="E35" s="256">
        <v>39.037599999999998</v>
      </c>
      <c r="F35" s="256">
        <v>42.247100000000003</v>
      </c>
      <c r="G35" s="256">
        <v>69.278599999999997</v>
      </c>
      <c r="H35" s="256">
        <v>278</v>
      </c>
      <c r="I35" s="256">
        <v>204</v>
      </c>
      <c r="J35" s="256" t="s">
        <v>295</v>
      </c>
      <c r="K35" s="256">
        <v>441.2</v>
      </c>
      <c r="L35" s="256" t="s">
        <v>295</v>
      </c>
      <c r="M35" s="256">
        <v>163.36500000000001</v>
      </c>
      <c r="N35" s="256" t="s">
        <v>295</v>
      </c>
      <c r="O35" s="256">
        <v>681.077</v>
      </c>
      <c r="P35" s="256">
        <v>669.2</v>
      </c>
      <c r="Q35" s="256">
        <v>327.70100000000002</v>
      </c>
      <c r="R35" s="256">
        <v>748.53099999999995</v>
      </c>
      <c r="S35" s="256">
        <v>23.670200000000001</v>
      </c>
      <c r="T35" s="256">
        <v>15.217599999999999</v>
      </c>
      <c r="U35" s="256">
        <v>27.902899999999999</v>
      </c>
      <c r="V35" s="245"/>
      <c r="X35" s="245"/>
    </row>
    <row r="36" spans="1:24" s="162" customFormat="1" ht="11.45" customHeight="1">
      <c r="A36" s="956" t="s">
        <v>572</v>
      </c>
      <c r="B36" s="295">
        <v>1261</v>
      </c>
      <c r="C36" s="295">
        <v>55.2</v>
      </c>
      <c r="D36" s="295">
        <v>54.9</v>
      </c>
      <c r="E36" s="295">
        <v>44</v>
      </c>
      <c r="F36" s="295">
        <v>47.1</v>
      </c>
      <c r="G36" s="295">
        <v>70.3</v>
      </c>
      <c r="H36" s="295">
        <v>284</v>
      </c>
      <c r="I36" s="295">
        <v>200</v>
      </c>
      <c r="J36" s="295" t="s">
        <v>295</v>
      </c>
      <c r="K36" s="295">
        <v>448</v>
      </c>
      <c r="L36" s="295" t="s">
        <v>295</v>
      </c>
      <c r="M36" s="295">
        <v>157.5</v>
      </c>
      <c r="N36" s="295" t="s">
        <v>295</v>
      </c>
      <c r="O36" s="295">
        <v>644.6</v>
      </c>
      <c r="P36" s="295" t="s">
        <v>295</v>
      </c>
      <c r="Q36" s="295">
        <v>407.5</v>
      </c>
      <c r="R36" s="295">
        <v>707</v>
      </c>
      <c r="S36" s="295">
        <v>24.2</v>
      </c>
      <c r="T36" s="295">
        <v>16.7</v>
      </c>
      <c r="U36" s="295">
        <v>27.3</v>
      </c>
      <c r="V36" s="245"/>
    </row>
    <row r="37" spans="1:24" s="162" customFormat="1" ht="11.45" customHeight="1">
      <c r="A37" s="955" t="s">
        <v>563</v>
      </c>
      <c r="B37" s="256">
        <v>1276.4000000000001</v>
      </c>
      <c r="C37" s="256">
        <v>57</v>
      </c>
      <c r="D37" s="256">
        <v>51.4</v>
      </c>
      <c r="E37" s="256">
        <v>45.8</v>
      </c>
      <c r="F37" s="256">
        <v>48.5</v>
      </c>
      <c r="G37" s="256">
        <v>74.099999999999994</v>
      </c>
      <c r="H37" s="256">
        <v>285</v>
      </c>
      <c r="I37" s="256">
        <v>191</v>
      </c>
      <c r="J37" s="256" t="s">
        <v>295</v>
      </c>
      <c r="K37" s="256">
        <v>455.1</v>
      </c>
      <c r="L37" s="256" t="s">
        <v>295</v>
      </c>
      <c r="M37" s="256">
        <v>156.6</v>
      </c>
      <c r="N37" s="256" t="s">
        <v>295</v>
      </c>
      <c r="O37" s="256">
        <v>618.5</v>
      </c>
      <c r="P37" s="256" t="s">
        <v>295</v>
      </c>
      <c r="Q37" s="256">
        <v>443.4</v>
      </c>
      <c r="R37" s="256">
        <v>703.6</v>
      </c>
      <c r="S37" s="256">
        <v>23.6</v>
      </c>
      <c r="T37" s="256">
        <v>19.399999999999999</v>
      </c>
      <c r="U37" s="256">
        <v>27.4</v>
      </c>
      <c r="V37" s="245"/>
    </row>
    <row r="38" spans="1:24" s="162" customFormat="1" ht="11.45" customHeight="1">
      <c r="A38" s="956" t="s">
        <v>565</v>
      </c>
      <c r="B38" s="295">
        <v>1336.7</v>
      </c>
      <c r="C38" s="295">
        <v>66.7</v>
      </c>
      <c r="D38" s="295">
        <v>56.6</v>
      </c>
      <c r="E38" s="295">
        <v>42.7</v>
      </c>
      <c r="F38" s="295">
        <v>45.1</v>
      </c>
      <c r="G38" s="295">
        <v>81.099999999999994</v>
      </c>
      <c r="H38" s="295">
        <v>285</v>
      </c>
      <c r="I38" s="295">
        <v>177</v>
      </c>
      <c r="J38" s="295" t="s">
        <v>295</v>
      </c>
      <c r="K38" s="295">
        <v>506.3</v>
      </c>
      <c r="L38" s="295" t="s">
        <v>295</v>
      </c>
      <c r="M38" s="295">
        <v>133.6</v>
      </c>
      <c r="N38" s="295" t="s">
        <v>295</v>
      </c>
      <c r="O38" s="295">
        <v>584.20000000000005</v>
      </c>
      <c r="P38" s="295">
        <v>660.5</v>
      </c>
      <c r="Q38" s="295">
        <v>403.3</v>
      </c>
      <c r="R38" s="295">
        <v>669.9</v>
      </c>
      <c r="S38" s="295">
        <v>21.9</v>
      </c>
      <c r="T38" s="295">
        <v>19.7</v>
      </c>
      <c r="U38" s="295">
        <v>28.1</v>
      </c>
      <c r="V38" s="245"/>
    </row>
    <row r="39" spans="1:24" s="162" customFormat="1" ht="11.45" customHeight="1">
      <c r="A39" s="955" t="s">
        <v>566</v>
      </c>
      <c r="B39" s="256">
        <v>1340.2</v>
      </c>
      <c r="C39" s="256">
        <v>72.2</v>
      </c>
      <c r="D39" s="256">
        <v>60.5</v>
      </c>
      <c r="E39" s="256">
        <v>43.6</v>
      </c>
      <c r="F39" s="256">
        <v>46.1</v>
      </c>
      <c r="G39" s="256">
        <v>80.3</v>
      </c>
      <c r="H39" s="256">
        <v>283</v>
      </c>
      <c r="I39" s="256">
        <v>182</v>
      </c>
      <c r="J39" s="256" t="s">
        <v>295</v>
      </c>
      <c r="K39" s="256">
        <v>481.7</v>
      </c>
      <c r="L39" s="256" t="s">
        <v>295</v>
      </c>
      <c r="M39" s="256">
        <v>127.9</v>
      </c>
      <c r="N39" s="256" t="s">
        <v>295</v>
      </c>
      <c r="O39" s="256">
        <v>664.4</v>
      </c>
      <c r="P39" s="256">
        <v>644.20000000000005</v>
      </c>
      <c r="Q39" s="256">
        <v>364.5</v>
      </c>
      <c r="R39" s="256">
        <v>711.7</v>
      </c>
      <c r="S39" s="256">
        <v>21.8</v>
      </c>
      <c r="T39" s="256">
        <v>20.5</v>
      </c>
      <c r="U39" s="256">
        <v>27.2</v>
      </c>
      <c r="V39" s="245"/>
    </row>
    <row r="40" spans="1:24" s="162" customFormat="1" ht="11.45" customHeight="1">
      <c r="A40" s="956" t="s">
        <v>560</v>
      </c>
      <c r="B40" s="295">
        <v>1326.6</v>
      </c>
      <c r="C40" s="295">
        <v>78.099999999999994</v>
      </c>
      <c r="D40" s="295">
        <v>56.7</v>
      </c>
      <c r="E40" s="295">
        <v>43.8</v>
      </c>
      <c r="F40" s="295">
        <v>46.2</v>
      </c>
      <c r="G40" s="295">
        <v>77.900000000000006</v>
      </c>
      <c r="H40" s="295">
        <v>277</v>
      </c>
      <c r="I40" s="295">
        <v>191</v>
      </c>
      <c r="J40" s="295" t="s">
        <v>295</v>
      </c>
      <c r="K40" s="295">
        <v>446.9</v>
      </c>
      <c r="L40" s="295" t="s">
        <v>295</v>
      </c>
      <c r="M40" s="295">
        <v>123.2</v>
      </c>
      <c r="N40" s="295" t="s">
        <v>295</v>
      </c>
      <c r="O40" s="295">
        <v>692.4</v>
      </c>
      <c r="P40" s="295">
        <v>669.5</v>
      </c>
      <c r="Q40" s="295">
        <v>342.2</v>
      </c>
      <c r="R40" s="295">
        <v>722.6</v>
      </c>
      <c r="S40" s="295">
        <v>21.9</v>
      </c>
      <c r="T40" s="295">
        <v>21.9</v>
      </c>
      <c r="U40" s="295">
        <v>27.5</v>
      </c>
      <c r="V40" s="245"/>
    </row>
    <row r="41" spans="1:24" s="162" customFormat="1" ht="11.45" customHeight="1">
      <c r="A41" s="955" t="s">
        <v>567</v>
      </c>
      <c r="B41" s="256">
        <v>1266.5999999999999</v>
      </c>
      <c r="C41" s="256">
        <v>99.8</v>
      </c>
      <c r="D41" s="256">
        <v>59</v>
      </c>
      <c r="E41" s="256">
        <v>48.3</v>
      </c>
      <c r="F41" s="256">
        <v>49.7</v>
      </c>
      <c r="G41" s="256">
        <v>78.5</v>
      </c>
      <c r="H41" s="256">
        <v>273</v>
      </c>
      <c r="I41" s="256">
        <v>193</v>
      </c>
      <c r="J41" s="256" t="s">
        <v>295</v>
      </c>
      <c r="K41" s="256">
        <v>429.1</v>
      </c>
      <c r="L41" s="256" t="s">
        <v>295</v>
      </c>
      <c r="M41" s="256">
        <v>122.5</v>
      </c>
      <c r="N41" s="256" t="s">
        <v>295</v>
      </c>
      <c r="O41" s="256">
        <v>651.4</v>
      </c>
      <c r="P41" s="256">
        <v>705.9</v>
      </c>
      <c r="Q41" s="256">
        <v>337.1</v>
      </c>
      <c r="R41" s="256">
        <v>757.3</v>
      </c>
      <c r="S41" s="256">
        <v>20.5</v>
      </c>
      <c r="T41" s="256">
        <v>22.9</v>
      </c>
      <c r="U41" s="256">
        <v>28.6</v>
      </c>
      <c r="V41" s="245"/>
    </row>
    <row r="42" spans="1:24" s="162" customFormat="1" ht="10.5" customHeight="1">
      <c r="A42" s="956" t="s">
        <v>568</v>
      </c>
      <c r="B42" s="295">
        <v>1238.4000000000001</v>
      </c>
      <c r="C42" s="295">
        <v>107.2</v>
      </c>
      <c r="D42" s="295">
        <v>74.099999999999994</v>
      </c>
      <c r="E42" s="295">
        <v>43.8</v>
      </c>
      <c r="F42" s="295">
        <v>46.4</v>
      </c>
      <c r="G42" s="295">
        <v>78.900000000000006</v>
      </c>
      <c r="H42" s="295">
        <v>270</v>
      </c>
      <c r="I42" s="295">
        <v>211</v>
      </c>
      <c r="J42" s="295" t="s">
        <v>295</v>
      </c>
      <c r="K42" s="295">
        <v>440.6</v>
      </c>
      <c r="L42" s="295" t="s">
        <v>295</v>
      </c>
      <c r="M42" s="295">
        <v>122.5</v>
      </c>
      <c r="N42" s="295" t="s">
        <v>295</v>
      </c>
      <c r="O42" s="295">
        <v>670</v>
      </c>
      <c r="P42" s="295">
        <v>685.3</v>
      </c>
      <c r="Q42" s="295">
        <v>345.7</v>
      </c>
      <c r="R42" s="295">
        <v>772.4</v>
      </c>
      <c r="S42" s="295">
        <v>20.7</v>
      </c>
      <c r="T42" s="295">
        <v>20.9</v>
      </c>
      <c r="U42" s="295">
        <v>28.8</v>
      </c>
      <c r="V42" s="245"/>
    </row>
    <row r="43" spans="1:24" s="162" customFormat="1" ht="10.5" customHeight="1">
      <c r="A43" s="955" t="s">
        <v>561</v>
      </c>
      <c r="B43" s="256">
        <v>1157.4000000000001</v>
      </c>
      <c r="C43" s="256">
        <v>92.5</v>
      </c>
      <c r="D43" s="256">
        <v>79.400000000000006</v>
      </c>
      <c r="E43" s="256">
        <v>51.8</v>
      </c>
      <c r="F43" s="256">
        <v>54.1</v>
      </c>
      <c r="G43" s="256">
        <v>79.5</v>
      </c>
      <c r="H43" s="256">
        <v>267</v>
      </c>
      <c r="I43" s="256">
        <v>216</v>
      </c>
      <c r="J43" s="256" t="s">
        <v>295</v>
      </c>
      <c r="K43" s="256">
        <v>415.6</v>
      </c>
      <c r="L43" s="256" t="s">
        <v>295</v>
      </c>
      <c r="M43" s="256">
        <v>122.8</v>
      </c>
      <c r="N43" s="256" t="s">
        <v>295</v>
      </c>
      <c r="O43" s="256">
        <v>711.8</v>
      </c>
      <c r="P43" s="256">
        <v>711.6</v>
      </c>
      <c r="Q43" s="256">
        <v>345.8</v>
      </c>
      <c r="R43" s="256">
        <v>800.3</v>
      </c>
      <c r="S43" s="256">
        <v>20.8</v>
      </c>
      <c r="T43" s="256">
        <v>18.8</v>
      </c>
      <c r="U43" s="256">
        <v>29.3</v>
      </c>
      <c r="V43" s="245"/>
    </row>
    <row r="44" spans="1:24" s="162" customFormat="1" ht="10.5" customHeight="1">
      <c r="A44" s="833">
        <v>2017</v>
      </c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  <c r="P44" s="295"/>
      <c r="Q44" s="295"/>
      <c r="R44" s="295"/>
      <c r="S44" s="295"/>
      <c r="T44" s="295"/>
      <c r="U44" s="295"/>
      <c r="V44" s="245"/>
    </row>
    <row r="45" spans="1:24" s="162" customFormat="1" ht="11.45" customHeight="1">
      <c r="A45" s="955" t="s">
        <v>569</v>
      </c>
      <c r="B45" s="256">
        <v>1192.0999999999999</v>
      </c>
      <c r="C45" s="256">
        <v>89.7</v>
      </c>
      <c r="D45" s="256">
        <v>80.8</v>
      </c>
      <c r="E45" s="256">
        <v>53.4</v>
      </c>
      <c r="F45" s="256">
        <v>54.9</v>
      </c>
      <c r="G45" s="256">
        <v>82.3</v>
      </c>
      <c r="H45" s="256">
        <v>269</v>
      </c>
      <c r="I45" s="256">
        <v>241</v>
      </c>
      <c r="J45" s="256" t="s">
        <v>295</v>
      </c>
      <c r="K45" s="256">
        <v>422.5</v>
      </c>
      <c r="L45" s="256" t="s">
        <v>295</v>
      </c>
      <c r="M45" s="256">
        <v>137.1</v>
      </c>
      <c r="N45" s="256" t="s">
        <v>295</v>
      </c>
      <c r="O45" s="256">
        <v>726.5</v>
      </c>
      <c r="P45" s="256">
        <v>746.6</v>
      </c>
      <c r="Q45" s="256">
        <v>364.7</v>
      </c>
      <c r="R45" s="256">
        <v>771.9</v>
      </c>
      <c r="S45" s="256">
        <v>20.5</v>
      </c>
      <c r="T45" s="256">
        <v>20.5</v>
      </c>
      <c r="U45" s="256">
        <v>29</v>
      </c>
      <c r="V45" s="245"/>
    </row>
    <row r="46" spans="1:24" s="162" customFormat="1" ht="11.45" customHeight="1">
      <c r="A46" s="956" t="s">
        <v>570</v>
      </c>
      <c r="B46" s="295">
        <v>1234.2</v>
      </c>
      <c r="C46" s="295">
        <v>86.2</v>
      </c>
      <c r="D46" s="295">
        <v>88.8</v>
      </c>
      <c r="E46" s="295">
        <v>54.2</v>
      </c>
      <c r="F46" s="295">
        <v>55.5</v>
      </c>
      <c r="G46" s="295">
        <v>85.2</v>
      </c>
      <c r="H46" s="295">
        <v>270</v>
      </c>
      <c r="I46" s="295">
        <v>247</v>
      </c>
      <c r="J46" s="295" t="s">
        <v>295</v>
      </c>
      <c r="K46" s="295">
        <v>430.1</v>
      </c>
      <c r="L46" s="295" t="s">
        <v>295</v>
      </c>
      <c r="M46" s="295">
        <v>147.30000000000001</v>
      </c>
      <c r="N46" s="295" t="s">
        <v>295</v>
      </c>
      <c r="O46" s="295">
        <v>706.8</v>
      </c>
      <c r="P46" s="295">
        <v>761.4</v>
      </c>
      <c r="Q46" s="295">
        <v>371.4</v>
      </c>
      <c r="R46" s="295">
        <v>742.9</v>
      </c>
      <c r="S46" s="295">
        <v>20.8</v>
      </c>
      <c r="T46" s="295">
        <v>20.3</v>
      </c>
      <c r="U46" s="295">
        <v>30.4</v>
      </c>
      <c r="V46" s="245"/>
    </row>
    <row r="47" spans="1:24" s="162" customFormat="1" ht="11.45" customHeight="1">
      <c r="A47" s="955" t="s">
        <v>562</v>
      </c>
      <c r="B47" s="256">
        <v>1231.4000000000001</v>
      </c>
      <c r="C47" s="256">
        <v>86.3</v>
      </c>
      <c r="D47" s="256">
        <v>87.2</v>
      </c>
      <c r="E47" s="256">
        <v>51.2</v>
      </c>
      <c r="F47" s="256">
        <v>52</v>
      </c>
      <c r="G47" s="256">
        <v>86.8</v>
      </c>
      <c r="H47" s="256">
        <v>278</v>
      </c>
      <c r="I47" s="256">
        <v>234</v>
      </c>
      <c r="J47" s="256" t="s">
        <v>295</v>
      </c>
      <c r="K47" s="256">
        <v>424.6</v>
      </c>
      <c r="L47" s="256" t="s">
        <v>295</v>
      </c>
      <c r="M47" s="256">
        <v>146.4</v>
      </c>
      <c r="N47" s="256" t="s">
        <v>295</v>
      </c>
      <c r="O47" s="256">
        <v>663.3</v>
      </c>
      <c r="P47" s="256" t="s">
        <v>295</v>
      </c>
      <c r="Q47" s="256">
        <v>356.9</v>
      </c>
      <c r="R47" s="256">
        <v>723.4</v>
      </c>
      <c r="S47" s="256">
        <v>20.5</v>
      </c>
      <c r="T47" s="256">
        <v>18.100000000000001</v>
      </c>
      <c r="U47" s="256">
        <v>29.8</v>
      </c>
      <c r="V47" s="245"/>
    </row>
    <row r="48" spans="1:24" s="162" customFormat="1" ht="11.45" customHeight="1">
      <c r="A48" s="956" t="s">
        <v>571</v>
      </c>
      <c r="B48" s="295">
        <v>1266.9000000000001</v>
      </c>
      <c r="C48" s="295">
        <v>90.7</v>
      </c>
      <c r="D48" s="295">
        <v>70.400000000000006</v>
      </c>
      <c r="E48" s="295">
        <v>52.4</v>
      </c>
      <c r="F48" s="295">
        <v>53.1</v>
      </c>
      <c r="G48" s="295">
        <v>87</v>
      </c>
      <c r="H48" s="295">
        <v>276</v>
      </c>
      <c r="I48" s="295">
        <v>205</v>
      </c>
      <c r="J48" s="295" t="s">
        <v>295</v>
      </c>
      <c r="K48" s="295">
        <v>410.3</v>
      </c>
      <c r="L48" s="295" t="s">
        <v>295</v>
      </c>
      <c r="M48" s="295">
        <v>138.4</v>
      </c>
      <c r="N48" s="295" t="s">
        <v>295</v>
      </c>
      <c r="O48" s="295">
        <v>623.20000000000005</v>
      </c>
      <c r="P48" s="295" t="s">
        <v>295</v>
      </c>
      <c r="Q48" s="295">
        <v>342.6</v>
      </c>
      <c r="R48" s="295">
        <v>695.3</v>
      </c>
      <c r="S48" s="295">
        <v>21</v>
      </c>
      <c r="T48" s="295">
        <v>16.399999999999999</v>
      </c>
      <c r="U48" s="295">
        <v>28.7</v>
      </c>
      <c r="V48" s="245"/>
    </row>
    <row r="49" spans="1:23" s="162" customFormat="1" ht="11.45" customHeight="1" thickBot="1">
      <c r="A49" s="471" t="s">
        <v>572</v>
      </c>
      <c r="B49" s="719">
        <v>1246</v>
      </c>
      <c r="C49" s="719" t="s">
        <v>295</v>
      </c>
      <c r="D49" s="719">
        <v>61.6</v>
      </c>
      <c r="E49" s="719">
        <v>50.3</v>
      </c>
      <c r="F49" s="719">
        <v>50.9</v>
      </c>
      <c r="G49" s="719">
        <v>88.6</v>
      </c>
      <c r="H49" s="719">
        <v>273</v>
      </c>
      <c r="I49" s="719">
        <v>180</v>
      </c>
      <c r="J49" s="719" t="s">
        <v>295</v>
      </c>
      <c r="K49" s="719">
        <v>444.7</v>
      </c>
      <c r="L49" s="719" t="s">
        <v>295</v>
      </c>
      <c r="M49" s="719">
        <v>146.5</v>
      </c>
      <c r="N49" s="719" t="s">
        <v>295</v>
      </c>
      <c r="O49" s="719">
        <v>655.5</v>
      </c>
      <c r="P49" s="719" t="s">
        <v>295</v>
      </c>
      <c r="Q49" s="719">
        <v>341</v>
      </c>
      <c r="R49" s="719">
        <v>714.1</v>
      </c>
      <c r="S49" s="719">
        <v>21.5</v>
      </c>
      <c r="T49" s="719">
        <v>15.7</v>
      </c>
      <c r="U49" s="719">
        <v>28.4</v>
      </c>
      <c r="V49" s="245"/>
    </row>
    <row r="50" spans="1:23" ht="11.25" customHeight="1">
      <c r="A50" s="10" t="s">
        <v>706</v>
      </c>
      <c r="B50" s="2497" t="s">
        <v>153</v>
      </c>
      <c r="C50" s="2497"/>
      <c r="D50" s="2497"/>
      <c r="E50" s="2497"/>
      <c r="F50" s="2497"/>
      <c r="G50" s="2497"/>
      <c r="H50" s="26"/>
      <c r="I50" s="26"/>
      <c r="J50" s="26"/>
      <c r="K50" s="10"/>
      <c r="L50" s="1347"/>
      <c r="M50" s="1347"/>
      <c r="N50" s="1347"/>
      <c r="O50" s="1347"/>
      <c r="P50" s="1347"/>
      <c r="Q50" s="1347"/>
      <c r="R50" s="965"/>
      <c r="S50" s="965"/>
      <c r="T50" s="13"/>
      <c r="U50" s="26"/>
    </row>
    <row r="51" spans="1:23" s="13" customFormat="1" ht="9" customHeight="1">
      <c r="B51" s="2504" t="s">
        <v>154</v>
      </c>
      <c r="C51" s="2504"/>
      <c r="D51" s="2504"/>
      <c r="E51" s="2504"/>
      <c r="F51" s="2504"/>
      <c r="G51" s="2504"/>
      <c r="H51" s="2504"/>
      <c r="I51" s="651"/>
      <c r="J51" s="651"/>
      <c r="K51" s="10" t="s">
        <v>660</v>
      </c>
      <c r="L51" s="2498" t="s">
        <v>1270</v>
      </c>
      <c r="M51" s="2498"/>
      <c r="N51" s="2498"/>
      <c r="O51" s="2498"/>
      <c r="P51" s="2498"/>
      <c r="Q51" s="2498"/>
      <c r="S51" s="965"/>
      <c r="T51" s="965"/>
    </row>
    <row r="52" spans="1:23" s="13" customFormat="1" ht="10.5" customHeight="1">
      <c r="B52" s="2497" t="s">
        <v>1199</v>
      </c>
      <c r="C52" s="2497"/>
      <c r="F52" s="85"/>
      <c r="G52" s="135"/>
      <c r="K52" s="13" t="s">
        <v>1412</v>
      </c>
    </row>
    <row r="53" spans="1:23" s="13" customFormat="1" ht="8.25" customHeight="1">
      <c r="A53" s="30"/>
      <c r="F53" s="85"/>
      <c r="G53" s="85"/>
      <c r="I53" s="633"/>
    </row>
    <row r="54" spans="1:23">
      <c r="C54" s="85"/>
      <c r="D54" s="85"/>
      <c r="E54" s="85"/>
      <c r="F54" s="85"/>
      <c r="G54" s="85"/>
      <c r="H54" s="85"/>
      <c r="I54" s="633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633"/>
      <c r="V54" s="633"/>
      <c r="W54" s="85"/>
    </row>
    <row r="55" spans="1:23">
      <c r="C55" s="85"/>
      <c r="D55" s="85"/>
      <c r="E55" s="85"/>
      <c r="F55" s="85"/>
      <c r="G55" s="85"/>
      <c r="H55" s="85"/>
      <c r="I55" s="633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633"/>
      <c r="V55" s="633"/>
      <c r="W55" s="85"/>
    </row>
    <row r="56" spans="1:23">
      <c r="C56" s="85"/>
      <c r="D56" s="85"/>
      <c r="E56" s="85"/>
      <c r="F56" s="85"/>
      <c r="G56" s="85"/>
      <c r="H56" s="85"/>
      <c r="I56" s="633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633"/>
      <c r="V56" s="633"/>
      <c r="W56" s="85"/>
    </row>
    <row r="57" spans="1:23" ht="10.5" customHeight="1">
      <c r="C57" s="85"/>
      <c r="D57" s="85"/>
      <c r="E57" s="85"/>
      <c r="F57" s="85"/>
      <c r="G57" s="85"/>
      <c r="H57" s="85"/>
      <c r="I57" s="633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633"/>
      <c r="V57" s="633"/>
      <c r="W57" s="85"/>
    </row>
    <row r="58" spans="1:23">
      <c r="C58" s="85"/>
      <c r="D58" s="85"/>
      <c r="E58" s="85"/>
      <c r="F58" s="85"/>
      <c r="G58" s="85"/>
      <c r="H58" s="85"/>
      <c r="I58" s="633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633"/>
      <c r="V58" s="633"/>
      <c r="W58" s="85"/>
    </row>
    <row r="59" spans="1:23">
      <c r="C59" s="85"/>
      <c r="D59" s="85"/>
      <c r="E59" s="85"/>
      <c r="F59" s="85"/>
      <c r="G59" s="85"/>
      <c r="H59" s="85"/>
      <c r="I59" s="633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633"/>
      <c r="V59" s="633"/>
      <c r="W59" s="85"/>
    </row>
    <row r="60" spans="1:23">
      <c r="C60" s="85"/>
      <c r="D60" s="85"/>
      <c r="E60" s="85"/>
      <c r="F60" s="85"/>
      <c r="G60" s="85"/>
      <c r="H60" s="85"/>
      <c r="I60" s="633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633"/>
      <c r="V60" s="633"/>
      <c r="W60" s="85"/>
    </row>
    <row r="61" spans="1:23">
      <c r="C61" s="85"/>
      <c r="D61" s="85"/>
      <c r="E61" s="85"/>
      <c r="F61" s="85"/>
      <c r="G61" s="85"/>
      <c r="H61" s="85"/>
      <c r="I61" s="633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633"/>
      <c r="V61" s="633"/>
      <c r="W61" s="85"/>
    </row>
    <row r="62" spans="1:23">
      <c r="C62" s="85"/>
      <c r="D62" s="85"/>
      <c r="E62" s="85"/>
      <c r="F62" s="85"/>
      <c r="G62" s="85"/>
      <c r="H62" s="85"/>
      <c r="I62" s="633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633"/>
      <c r="V62" s="633"/>
      <c r="W62" s="85"/>
    </row>
    <row r="63" spans="1:23">
      <c r="C63" s="85"/>
      <c r="D63" s="85"/>
      <c r="E63" s="85"/>
      <c r="F63" s="85"/>
      <c r="G63" s="85"/>
      <c r="H63" s="85"/>
      <c r="I63" s="633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633"/>
      <c r="V63" s="633"/>
      <c r="W63" s="85"/>
    </row>
    <row r="64" spans="1:23">
      <c r="C64" s="85"/>
      <c r="D64" s="85"/>
      <c r="E64" s="85"/>
      <c r="F64" s="85"/>
      <c r="G64" s="85"/>
      <c r="H64" s="85"/>
      <c r="I64" s="633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633"/>
      <c r="V64" s="633"/>
      <c r="W64" s="85"/>
    </row>
    <row r="65" spans="3:23"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633"/>
      <c r="V65" s="633"/>
      <c r="W65" s="85"/>
    </row>
    <row r="66" spans="3:23"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633"/>
      <c r="V66" s="13"/>
      <c r="W66" s="85"/>
    </row>
    <row r="67" spans="3:23">
      <c r="C67" s="85"/>
      <c r="D67" s="85"/>
      <c r="E67" s="85"/>
      <c r="F67" s="85"/>
      <c r="G67" s="85"/>
      <c r="H67" s="85"/>
      <c r="I67" s="634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633"/>
      <c r="V67" s="13"/>
      <c r="W67" s="85"/>
    </row>
    <row r="68" spans="3:23">
      <c r="C68" s="85"/>
      <c r="D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R68" s="85"/>
      <c r="S68" s="85"/>
      <c r="T68" s="85"/>
      <c r="U68" s="633"/>
      <c r="V68" s="13"/>
      <c r="W68" s="85"/>
    </row>
    <row r="69" spans="3:23">
      <c r="C69" s="85"/>
      <c r="D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R69" s="85"/>
      <c r="S69" s="85"/>
      <c r="T69" s="85"/>
      <c r="U69" s="633"/>
      <c r="V69" s="13"/>
      <c r="W69" s="85"/>
    </row>
    <row r="70" spans="3:23">
      <c r="D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S70" s="85"/>
      <c r="T70" s="85"/>
      <c r="U70" s="633"/>
      <c r="V70" s="13"/>
      <c r="W70" s="85"/>
    </row>
    <row r="71" spans="3:23">
      <c r="D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R71" s="85"/>
      <c r="S71" s="85"/>
      <c r="T71" s="85"/>
      <c r="U71" s="633"/>
      <c r="V71" s="13"/>
      <c r="W71" s="85"/>
    </row>
    <row r="72" spans="3:23"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633"/>
      <c r="V72" s="13"/>
      <c r="W72" s="85"/>
    </row>
    <row r="73" spans="3:23"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633"/>
      <c r="V73" s="13"/>
      <c r="W73" s="85"/>
    </row>
    <row r="74" spans="3:23"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633"/>
      <c r="V74" s="13"/>
      <c r="W74" s="85"/>
    </row>
    <row r="75" spans="3:23"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W75" s="85"/>
    </row>
    <row r="76" spans="3:23">
      <c r="J76" s="85"/>
      <c r="K76" s="85"/>
      <c r="M76" s="85"/>
      <c r="O76" s="85"/>
      <c r="P76" s="85"/>
      <c r="Q76" s="85"/>
      <c r="R76" s="85"/>
    </row>
  </sheetData>
  <customSheetViews>
    <customSheetView guid="{A374FC54-96E3-45F0-9C12-8450400C12DF}" scale="150">
      <pane xSplit="1" ySplit="4" topLeftCell="I44" activePane="bottomRight" state="frozen"/>
      <selection pane="bottomRight" activeCell="L57" sqref="L57"/>
      <pageMargins left="0.62992125984252001" right="0.511811023622047" top="0.511811023622047" bottom="0.511811023622047" header="0" footer="0.39370078740157499"/>
      <pageSetup paperSize="132" firstPageNumber="10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B52:C52"/>
    <mergeCell ref="L51:Q51"/>
    <mergeCell ref="A1:J1"/>
    <mergeCell ref="K1:R1"/>
    <mergeCell ref="S2:U2"/>
    <mergeCell ref="E2:F2"/>
    <mergeCell ref="S1:U1"/>
    <mergeCell ref="B50:G50"/>
    <mergeCell ref="B51:H51"/>
    <mergeCell ref="O2:P2"/>
    <mergeCell ref="L2:N2"/>
  </mergeCells>
  <phoneticPr fontId="0" type="noConversion"/>
  <pageMargins left="0.62992125984252001" right="0.511811023622047" top="0.511811023622047" bottom="0.511811023622047" header="0" footer="0.39370078740157499"/>
  <pageSetup paperSize="448" firstPageNumber="104" orientation="portrait" useFirstPageNumber="1" r:id="rId2"/>
  <headerFooter alignWithMargins="0">
    <oddFooter>&amp;C&amp;"Times New Roman,Regular"&amp;8&amp;P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R69"/>
  <sheetViews>
    <sheetView zoomScale="150" zoomScaleNormal="150" workbookViewId="0">
      <pane xSplit="1" ySplit="5" topLeftCell="B37" activePane="bottomRight" state="frozen"/>
      <selection activeCell="F85" sqref="F85"/>
      <selection pane="topRight" activeCell="F85" sqref="F85"/>
      <selection pane="bottomLeft" activeCell="F85" sqref="F85"/>
      <selection pane="bottomRight" activeCell="K46" sqref="K46:K53"/>
    </sheetView>
  </sheetViews>
  <sheetFormatPr defaultColWidth="9.140625" defaultRowHeight="11.25"/>
  <cols>
    <col min="1" max="1" width="9.28515625" style="3" customWidth="1"/>
    <col min="2" max="2" width="9.140625" style="1"/>
    <col min="3" max="3" width="7.5703125" style="1" customWidth="1"/>
    <col min="4" max="4" width="9.28515625" style="1" customWidth="1"/>
    <col min="5" max="5" width="9.7109375" style="1" customWidth="1"/>
    <col min="6" max="6" width="9.28515625" style="1" customWidth="1"/>
    <col min="7" max="7" width="8.5703125" style="1" customWidth="1"/>
    <col min="8" max="8" width="8.42578125" style="1" customWidth="1"/>
    <col min="9" max="9" width="7.42578125" style="1" customWidth="1"/>
    <col min="10" max="10" width="10.85546875" style="1" customWidth="1"/>
    <col min="11" max="11" width="11.7109375" style="1" customWidth="1"/>
    <col min="12" max="12" width="11.5703125" style="1" customWidth="1"/>
    <col min="13" max="13" width="11.7109375" style="1" customWidth="1"/>
    <col min="14" max="14" width="11.28515625" style="1" customWidth="1"/>
    <col min="15" max="15" width="11.140625" style="1" customWidth="1"/>
    <col min="16" max="16" width="10.85546875" style="3" customWidth="1"/>
    <col min="17" max="16384" width="9.140625" style="1"/>
  </cols>
  <sheetData>
    <row r="1" spans="1:18" s="77" customFormat="1" ht="12.75" customHeight="1">
      <c r="A1" s="2469" t="s">
        <v>233</v>
      </c>
      <c r="B1" s="2469"/>
      <c r="C1" s="2469"/>
      <c r="D1" s="2469"/>
      <c r="E1" s="2469"/>
      <c r="F1" s="2469"/>
      <c r="G1" s="2469"/>
      <c r="H1" s="2469"/>
      <c r="I1" s="2469"/>
      <c r="J1" s="2512" t="s">
        <v>1311</v>
      </c>
      <c r="K1" s="2512"/>
      <c r="L1" s="2512"/>
      <c r="M1" s="2512"/>
      <c r="N1" s="2512"/>
      <c r="O1" s="2510" t="s">
        <v>1575</v>
      </c>
      <c r="P1" s="2510"/>
    </row>
    <row r="2" spans="1:18" s="21" customFormat="1" ht="9.75" customHeight="1">
      <c r="O2" s="2513" t="s">
        <v>24</v>
      </c>
      <c r="P2" s="2513"/>
    </row>
    <row r="3" spans="1:18" s="76" customFormat="1" ht="13.5" customHeight="1">
      <c r="A3" s="2463" t="s">
        <v>487</v>
      </c>
      <c r="B3" s="2348" t="s">
        <v>232</v>
      </c>
      <c r="C3" s="2349"/>
      <c r="D3" s="2349"/>
      <c r="E3" s="2349"/>
      <c r="F3" s="2349"/>
      <c r="G3" s="2349"/>
      <c r="H3" s="2349"/>
      <c r="I3" s="2349"/>
      <c r="J3" s="2349"/>
      <c r="K3" s="2396"/>
      <c r="L3" s="2348" t="s">
        <v>584</v>
      </c>
      <c r="M3" s="2349"/>
      <c r="N3" s="2349"/>
      <c r="O3" s="2350"/>
      <c r="P3" s="2352" t="s">
        <v>487</v>
      </c>
    </row>
    <row r="4" spans="1:18" s="21" customFormat="1" ht="12.75" customHeight="1">
      <c r="A4" s="2463"/>
      <c r="B4" s="2511" t="s">
        <v>776</v>
      </c>
      <c r="C4" s="2514" t="s">
        <v>284</v>
      </c>
      <c r="D4" s="2222" t="s">
        <v>951</v>
      </c>
      <c r="E4" s="2222" t="s">
        <v>777</v>
      </c>
      <c r="F4" s="2263" t="s">
        <v>544</v>
      </c>
      <c r="G4" s="2263"/>
      <c r="H4" s="2508" t="s">
        <v>546</v>
      </c>
      <c r="I4" s="2509"/>
      <c r="J4" s="2492" t="s">
        <v>953</v>
      </c>
      <c r="K4" s="2222" t="s">
        <v>954</v>
      </c>
      <c r="L4" s="2492" t="s">
        <v>952</v>
      </c>
      <c r="M4" s="2492" t="s">
        <v>955</v>
      </c>
      <c r="N4" s="2492" t="s">
        <v>585</v>
      </c>
      <c r="O4" s="2492" t="s">
        <v>547</v>
      </c>
      <c r="P4" s="2236"/>
    </row>
    <row r="5" spans="1:18" s="21" customFormat="1" ht="11.25" customHeight="1">
      <c r="A5" s="2463"/>
      <c r="B5" s="2511"/>
      <c r="C5" s="2515"/>
      <c r="D5" s="2224"/>
      <c r="E5" s="2224"/>
      <c r="F5" s="1561" t="s">
        <v>485</v>
      </c>
      <c r="G5" s="1561" t="s">
        <v>545</v>
      </c>
      <c r="H5" s="1561" t="s">
        <v>485</v>
      </c>
      <c r="I5" s="1561" t="s">
        <v>545</v>
      </c>
      <c r="J5" s="2068"/>
      <c r="K5" s="2224"/>
      <c r="L5" s="2068"/>
      <c r="M5" s="2068"/>
      <c r="N5" s="2068"/>
      <c r="O5" s="2068"/>
      <c r="P5" s="2237"/>
    </row>
    <row r="6" spans="1:18" s="9" customFormat="1" ht="11.85" customHeight="1">
      <c r="A6" s="1560" t="s">
        <v>81</v>
      </c>
      <c r="B6" s="16">
        <v>8997.119999999999</v>
      </c>
      <c r="C6" s="16" t="s">
        <v>295</v>
      </c>
      <c r="D6" s="16">
        <v>347.49000000000007</v>
      </c>
      <c r="E6" s="16">
        <v>17042.28</v>
      </c>
      <c r="F6" s="16">
        <v>13816.849999999999</v>
      </c>
      <c r="G6" s="16">
        <v>10651.220000000001</v>
      </c>
      <c r="H6" s="16">
        <v>7593.34</v>
      </c>
      <c r="I6" s="16">
        <v>3203.1299999999997</v>
      </c>
      <c r="J6" s="16">
        <v>390.73</v>
      </c>
      <c r="K6" s="16">
        <v>62042.159999999989</v>
      </c>
      <c r="L6" s="16">
        <v>357.61000000000007</v>
      </c>
      <c r="M6" s="16">
        <v>46.46</v>
      </c>
      <c r="N6" s="16">
        <v>342.97</v>
      </c>
      <c r="O6" s="16" t="s">
        <v>295</v>
      </c>
      <c r="P6" s="70" t="s">
        <v>81</v>
      </c>
    </row>
    <row r="7" spans="1:18" s="9" customFormat="1" ht="11.85" customHeight="1">
      <c r="A7" s="310" t="s">
        <v>190</v>
      </c>
      <c r="B7" s="300">
        <v>11574.13</v>
      </c>
      <c r="C7" s="300">
        <v>28.710000000000004</v>
      </c>
      <c r="D7" s="300">
        <v>486.18</v>
      </c>
      <c r="E7" s="300">
        <v>23007.520000000004</v>
      </c>
      <c r="F7" s="300">
        <v>17827.949999999997</v>
      </c>
      <c r="G7" s="300">
        <v>12375.810000000001</v>
      </c>
      <c r="H7" s="300">
        <v>9701.1600000000017</v>
      </c>
      <c r="I7" s="300">
        <v>3998.71</v>
      </c>
      <c r="J7" s="300">
        <v>402.94000000000005</v>
      </c>
      <c r="K7" s="300">
        <v>79403.11</v>
      </c>
      <c r="L7" s="300">
        <v>243.66</v>
      </c>
      <c r="M7" s="300">
        <v>57.26</v>
      </c>
      <c r="N7" s="300">
        <v>175.67000000000002</v>
      </c>
      <c r="O7" s="300">
        <v>1476.8200000000002</v>
      </c>
      <c r="P7" s="311" t="s">
        <v>190</v>
      </c>
    </row>
    <row r="8" spans="1:18" s="9" customFormat="1" ht="11.85" customHeight="1">
      <c r="A8" s="1167" t="s">
        <v>731</v>
      </c>
      <c r="B8" s="28">
        <v>13153.5</v>
      </c>
      <c r="C8" s="28">
        <v>38.950000000000003</v>
      </c>
      <c r="D8" s="28">
        <v>660.36</v>
      </c>
      <c r="E8" s="28">
        <v>28652.63</v>
      </c>
      <c r="F8" s="28">
        <v>21984.81</v>
      </c>
      <c r="G8" s="28">
        <v>13792.62</v>
      </c>
      <c r="H8" s="28">
        <v>11923.97</v>
      </c>
      <c r="I8" s="28">
        <v>4367.71</v>
      </c>
      <c r="J8" s="28">
        <v>484.44</v>
      </c>
      <c r="K8" s="28">
        <v>95058.99</v>
      </c>
      <c r="L8" s="28">
        <v>407.8</v>
      </c>
      <c r="M8" s="28">
        <v>64.63</v>
      </c>
      <c r="N8" s="28">
        <v>217.14</v>
      </c>
      <c r="O8" s="28">
        <v>2018.8599999999997</v>
      </c>
      <c r="P8" s="241" t="s">
        <v>731</v>
      </c>
      <c r="R8" s="160"/>
    </row>
    <row r="9" spans="1:18" s="9" customFormat="1" ht="11.85" customHeight="1">
      <c r="A9" s="310" t="s">
        <v>840</v>
      </c>
      <c r="B9" s="300">
        <v>13322.45</v>
      </c>
      <c r="C9" s="300">
        <v>33.47</v>
      </c>
      <c r="D9" s="300">
        <v>772.53</v>
      </c>
      <c r="E9" s="300">
        <v>37120.65</v>
      </c>
      <c r="F9" s="300">
        <v>26367.260000000002</v>
      </c>
      <c r="G9" s="300">
        <v>14846.48</v>
      </c>
      <c r="H9" s="300">
        <v>11985.29</v>
      </c>
      <c r="I9" s="300">
        <v>4205.01</v>
      </c>
      <c r="J9" s="300">
        <v>498.59</v>
      </c>
      <c r="K9" s="300">
        <v>109151.73</v>
      </c>
      <c r="L9" s="300">
        <v>293.5</v>
      </c>
      <c r="M9" s="300">
        <v>75.7</v>
      </c>
      <c r="N9" s="300">
        <v>166.19</v>
      </c>
      <c r="O9" s="300">
        <v>2015.1900000000003</v>
      </c>
      <c r="P9" s="311" t="s">
        <v>840</v>
      </c>
      <c r="R9" s="160"/>
    </row>
    <row r="10" spans="1:18" s="255" customFormat="1" ht="11.85" customHeight="1">
      <c r="A10" s="1562" t="s">
        <v>1019</v>
      </c>
      <c r="B10" s="28">
        <v>13650.83</v>
      </c>
      <c r="C10" s="28">
        <v>41.980000000000004</v>
      </c>
      <c r="D10" s="28">
        <v>822.39</v>
      </c>
      <c r="E10" s="28">
        <v>43207.27</v>
      </c>
      <c r="F10" s="28">
        <v>29252.109999999997</v>
      </c>
      <c r="G10" s="28">
        <v>15325.119999999999</v>
      </c>
      <c r="H10" s="28">
        <v>13647.190000000002</v>
      </c>
      <c r="I10" s="28">
        <v>4335.7699999999995</v>
      </c>
      <c r="J10" s="28">
        <v>643.71</v>
      </c>
      <c r="K10" s="28">
        <v>120819.84999999998</v>
      </c>
      <c r="L10" s="28">
        <v>424.8</v>
      </c>
      <c r="M10" s="28">
        <v>71.41</v>
      </c>
      <c r="N10" s="28">
        <v>219.57</v>
      </c>
      <c r="O10" s="28">
        <v>2214.5200000000004</v>
      </c>
      <c r="P10" s="258" t="s">
        <v>1019</v>
      </c>
      <c r="R10" s="256"/>
    </row>
    <row r="11" spans="1:18" s="255" customFormat="1" ht="11.85" customHeight="1">
      <c r="A11" s="1563" t="s">
        <v>1070</v>
      </c>
      <c r="B11" s="295">
        <v>15349.850000000002</v>
      </c>
      <c r="C11" s="295">
        <v>40.630000000000003</v>
      </c>
      <c r="D11" s="295">
        <v>960.37999999999988</v>
      </c>
      <c r="E11" s="295">
        <v>47477.399999999994</v>
      </c>
      <c r="F11" s="295">
        <v>32290.130000000005</v>
      </c>
      <c r="G11" s="295">
        <v>17690.469999999998</v>
      </c>
      <c r="H11" s="295">
        <v>15758.310000000001</v>
      </c>
      <c r="I11" s="295">
        <v>5252.42</v>
      </c>
      <c r="J11" s="295">
        <v>881.11</v>
      </c>
      <c r="K11" s="295">
        <v>135700.70000000001</v>
      </c>
      <c r="L11" s="300">
        <v>362.66</v>
      </c>
      <c r="M11" s="300">
        <v>86.53</v>
      </c>
      <c r="N11" s="300">
        <v>253.13</v>
      </c>
      <c r="O11" s="300">
        <v>2139.31</v>
      </c>
      <c r="P11" s="325" t="s">
        <v>1070</v>
      </c>
      <c r="R11" s="256"/>
    </row>
    <row r="12" spans="1:18" s="255" customFormat="1" ht="11.85" customHeight="1">
      <c r="A12" s="1562" t="s">
        <v>1193</v>
      </c>
      <c r="B12" s="256">
        <v>18016.580000000002</v>
      </c>
      <c r="C12" s="256">
        <v>32.749999999999993</v>
      </c>
      <c r="D12" s="256">
        <v>1582.0299999999997</v>
      </c>
      <c r="E12" s="256">
        <v>53235.45</v>
      </c>
      <c r="F12" s="256">
        <v>34862.82</v>
      </c>
      <c r="G12" s="256">
        <v>20583.86</v>
      </c>
      <c r="H12" s="256">
        <v>19630.96</v>
      </c>
      <c r="I12" s="256">
        <v>6560.2000000000007</v>
      </c>
      <c r="J12" s="256">
        <v>1014.0699999999999</v>
      </c>
      <c r="K12" s="256">
        <v>155518.71999999997</v>
      </c>
      <c r="L12" s="28">
        <v>432.78999999999996</v>
      </c>
      <c r="M12" s="28">
        <v>95.44</v>
      </c>
      <c r="N12" s="28">
        <v>195.29999999999998</v>
      </c>
      <c r="O12" s="28">
        <v>2279.71</v>
      </c>
      <c r="P12" s="258" t="s">
        <v>1193</v>
      </c>
      <c r="Q12" s="256"/>
    </row>
    <row r="13" spans="1:18" s="255" customFormat="1" ht="11.85" customHeight="1">
      <c r="A13" s="1563" t="s">
        <v>1225</v>
      </c>
      <c r="B13" s="295">
        <v>21069.19</v>
      </c>
      <c r="C13" s="295">
        <v>22.699999999999996</v>
      </c>
      <c r="D13" s="295">
        <v>1790.5100000000002</v>
      </c>
      <c r="E13" s="295">
        <v>52754.93</v>
      </c>
      <c r="F13" s="295">
        <v>38287.759999999995</v>
      </c>
      <c r="G13" s="295">
        <v>25561.09</v>
      </c>
      <c r="H13" s="295">
        <v>23481.699999999997</v>
      </c>
      <c r="I13" s="295">
        <v>7628.89</v>
      </c>
      <c r="J13" s="295">
        <v>1059.67</v>
      </c>
      <c r="K13" s="295">
        <v>171656.43999999997</v>
      </c>
      <c r="L13" s="300">
        <v>1684.0539999999999</v>
      </c>
      <c r="M13" s="300">
        <v>100.30000000000001</v>
      </c>
      <c r="N13" s="300">
        <v>374.15</v>
      </c>
      <c r="O13" s="300">
        <v>2470.79</v>
      </c>
      <c r="P13" s="325" t="s">
        <v>1225</v>
      </c>
      <c r="Q13" s="256"/>
    </row>
    <row r="14" spans="1:18" s="255" customFormat="1" ht="11.85" customHeight="1">
      <c r="A14" s="1562" t="s">
        <v>1350</v>
      </c>
      <c r="B14" s="256">
        <v>24502.12</v>
      </c>
      <c r="C14" s="256">
        <v>35.769999999999996</v>
      </c>
      <c r="D14" s="256">
        <v>2080.3399999999997</v>
      </c>
      <c r="E14" s="256">
        <v>64548.260000000009</v>
      </c>
      <c r="F14" s="256">
        <v>47171.799999999996</v>
      </c>
      <c r="G14" s="256">
        <v>29367.759999999998</v>
      </c>
      <c r="H14" s="256">
        <v>29639.15</v>
      </c>
      <c r="I14" s="256">
        <v>7912.2300000000005</v>
      </c>
      <c r="J14" s="256">
        <v>1149.8200000000002</v>
      </c>
      <c r="K14" s="256">
        <v>206407.25</v>
      </c>
      <c r="L14" s="28">
        <v>550.11999999999989</v>
      </c>
      <c r="M14" s="28">
        <v>100.05</v>
      </c>
      <c r="N14" s="28">
        <v>404.92</v>
      </c>
      <c r="O14" s="28">
        <v>2756.99</v>
      </c>
      <c r="P14" s="258" t="s">
        <v>1350</v>
      </c>
      <c r="Q14" s="256"/>
    </row>
    <row r="15" spans="1:18" s="255" customFormat="1" ht="11.85" customHeight="1">
      <c r="A15" s="1563" t="s">
        <v>1466</v>
      </c>
      <c r="B15" s="295">
        <v>24277.399999999998</v>
      </c>
      <c r="C15" s="295">
        <v>42.169999999999995</v>
      </c>
      <c r="D15" s="295">
        <v>2373.3299999999995</v>
      </c>
      <c r="E15" s="295">
        <v>71795.500000000015</v>
      </c>
      <c r="F15" s="295">
        <v>56323.020000000004</v>
      </c>
      <c r="G15" s="295">
        <v>31398.55</v>
      </c>
      <c r="H15" s="295">
        <v>28891.02</v>
      </c>
      <c r="I15" s="295">
        <v>7664.0400000000009</v>
      </c>
      <c r="J15" s="295">
        <v>1127.3900000000001</v>
      </c>
      <c r="K15" s="295">
        <v>223892.42</v>
      </c>
      <c r="L15" s="300">
        <v>892.1400000000001</v>
      </c>
      <c r="M15" s="300">
        <v>100.23</v>
      </c>
      <c r="N15" s="300">
        <v>443.39</v>
      </c>
      <c r="O15" s="300">
        <v>3032.62</v>
      </c>
      <c r="P15" s="325" t="s">
        <v>1466</v>
      </c>
      <c r="Q15" s="256"/>
    </row>
    <row r="16" spans="1:18" s="162" customFormat="1" ht="11.85" customHeight="1">
      <c r="A16" s="1562" t="s">
        <v>1550</v>
      </c>
      <c r="B16" s="1443">
        <v>23559.5</v>
      </c>
      <c r="C16" s="1443">
        <v>1.0300000000000002</v>
      </c>
      <c r="D16" s="1443">
        <v>2279.4000000000005</v>
      </c>
      <c r="E16" s="1443">
        <v>70501.5</v>
      </c>
      <c r="F16" s="1443">
        <v>56080.7</v>
      </c>
      <c r="G16" s="1443">
        <v>30016.640000000007</v>
      </c>
      <c r="H16" s="1443">
        <v>25471.140000000003</v>
      </c>
      <c r="I16" s="1443">
        <v>6975.1500000000005</v>
      </c>
      <c r="J16" s="1443">
        <v>1566.73</v>
      </c>
      <c r="K16" s="1443">
        <v>216451.78999999995</v>
      </c>
      <c r="L16" s="28">
        <v>649.49299999999994</v>
      </c>
      <c r="M16" s="28">
        <v>240.14999999999998</v>
      </c>
      <c r="N16" s="28">
        <v>454.72999999999996</v>
      </c>
      <c r="O16" s="28">
        <v>2095.779</v>
      </c>
      <c r="P16" s="258" t="s">
        <v>1550</v>
      </c>
    </row>
    <row r="17" spans="1:16" s="162" customFormat="1" ht="11.85" customHeight="1">
      <c r="A17" s="1698" t="s">
        <v>1606</v>
      </c>
      <c r="B17" s="295">
        <v>30455.91</v>
      </c>
      <c r="C17" s="295">
        <v>0.6</v>
      </c>
      <c r="D17" s="295">
        <v>2418.1799999999998</v>
      </c>
      <c r="E17" s="295">
        <v>86693.939999999988</v>
      </c>
      <c r="F17" s="295">
        <v>63786.770000000004</v>
      </c>
      <c r="G17" s="295">
        <v>38271.78</v>
      </c>
      <c r="H17" s="295">
        <v>30047.73</v>
      </c>
      <c r="I17" s="295">
        <v>8422.1200000000008</v>
      </c>
      <c r="J17" s="295">
        <v>1592.17</v>
      </c>
      <c r="K17" s="295">
        <v>261689.19999999995</v>
      </c>
      <c r="L17" s="295">
        <v>840.56999999999994</v>
      </c>
      <c r="M17" s="295">
        <v>87.8</v>
      </c>
      <c r="N17" s="295">
        <v>318.12</v>
      </c>
      <c r="O17" s="295">
        <v>9056.1600000000017</v>
      </c>
      <c r="P17" s="325" t="s">
        <v>1606</v>
      </c>
    </row>
    <row r="18" spans="1:16" s="162" customFormat="1" ht="11.85" customHeight="1">
      <c r="A18" s="891" t="s">
        <v>1927</v>
      </c>
      <c r="B18" s="345">
        <v>35276.579999999994</v>
      </c>
      <c r="C18" s="345">
        <v>0.67</v>
      </c>
      <c r="D18" s="345">
        <v>3102.86</v>
      </c>
      <c r="E18" s="345">
        <v>102908.16</v>
      </c>
      <c r="F18" s="345">
        <v>72606.449999999983</v>
      </c>
      <c r="G18" s="345">
        <v>44328.739999999991</v>
      </c>
      <c r="H18" s="345">
        <v>31234.449999999997</v>
      </c>
      <c r="I18" s="345">
        <v>9817.81</v>
      </c>
      <c r="J18" s="345">
        <v>2358.12</v>
      </c>
      <c r="K18" s="345">
        <v>301633.83999999997</v>
      </c>
      <c r="L18" s="345">
        <v>860.08999999999992</v>
      </c>
      <c r="M18" s="345">
        <v>124.69</v>
      </c>
      <c r="N18" s="345">
        <v>230.06</v>
      </c>
      <c r="O18" s="345">
        <v>10402.980000000001</v>
      </c>
      <c r="P18" s="362" t="s">
        <v>1927</v>
      </c>
    </row>
    <row r="19" spans="1:16" s="162" customFormat="1" ht="11.85" customHeight="1">
      <c r="A19" s="1290" t="s">
        <v>2184</v>
      </c>
      <c r="B19" s="338">
        <f>SUM(B20:B31)</f>
        <v>37004.269999999997</v>
      </c>
      <c r="C19" s="338">
        <f t="shared" ref="C19:M19" si="0">SUM(C20:C31)</f>
        <v>2.8599999999999985</v>
      </c>
      <c r="D19" s="338">
        <f t="shared" si="0"/>
        <v>9855.0999999999985</v>
      </c>
      <c r="E19" s="338">
        <f t="shared" si="0"/>
        <v>111791.82</v>
      </c>
      <c r="F19" s="338">
        <f t="shared" si="0"/>
        <v>80994.319999999992</v>
      </c>
      <c r="G19" s="338">
        <f t="shared" si="0"/>
        <v>45426.239999999998</v>
      </c>
      <c r="H19" s="338">
        <f t="shared" si="0"/>
        <v>32980.19</v>
      </c>
      <c r="I19" s="338">
        <f t="shared" si="0"/>
        <v>10298.98</v>
      </c>
      <c r="J19" s="338">
        <f t="shared" si="0"/>
        <v>3148.3879999999999</v>
      </c>
      <c r="K19" s="338">
        <f t="shared" si="0"/>
        <v>331502.16800000001</v>
      </c>
      <c r="L19" s="338">
        <f t="shared" si="0"/>
        <v>1020.7299999999999</v>
      </c>
      <c r="M19" s="338">
        <f t="shared" si="0"/>
        <v>142.55000000000001</v>
      </c>
      <c r="N19" s="338">
        <f>SUM(N20:N31)</f>
        <v>201.49</v>
      </c>
      <c r="O19" s="338">
        <f>SUM(O20:O31)</f>
        <v>15288.83</v>
      </c>
      <c r="P19" s="307" t="s">
        <v>2184</v>
      </c>
    </row>
    <row r="20" spans="1:16" s="162" customFormat="1" ht="11.85" customHeight="1">
      <c r="A20" s="239" t="s">
        <v>565</v>
      </c>
      <c r="B20" s="256">
        <v>2692.53</v>
      </c>
      <c r="C20" s="256">
        <v>0.7</v>
      </c>
      <c r="D20" s="256">
        <v>4768.28</v>
      </c>
      <c r="E20" s="256">
        <v>4659.8599999999997</v>
      </c>
      <c r="F20" s="256">
        <v>1368.51</v>
      </c>
      <c r="G20" s="256">
        <v>3315.15</v>
      </c>
      <c r="H20" s="256">
        <v>115.56</v>
      </c>
      <c r="I20" s="256">
        <v>758.3</v>
      </c>
      <c r="J20" s="256">
        <f>0.03+46.95+95.22</f>
        <v>142.19999999999999</v>
      </c>
      <c r="K20" s="256">
        <f t="shared" ref="K20:K21" si="1">SUM(B20:J20)</f>
        <v>17821.09</v>
      </c>
      <c r="L20" s="256">
        <v>44.05</v>
      </c>
      <c r="M20" s="256">
        <v>4.9000000000000004</v>
      </c>
      <c r="N20" s="256">
        <v>6.43</v>
      </c>
      <c r="O20" s="256">
        <v>1011.8</v>
      </c>
      <c r="P20" s="209" t="s">
        <v>565</v>
      </c>
    </row>
    <row r="21" spans="1:16" s="162" customFormat="1" ht="11.85" customHeight="1">
      <c r="A21" s="591" t="s">
        <v>566</v>
      </c>
      <c r="B21" s="295">
        <v>3330.91</v>
      </c>
      <c r="C21" s="295">
        <v>1.57</v>
      </c>
      <c r="D21" s="295">
        <v>124.41</v>
      </c>
      <c r="E21" s="295">
        <v>5544.96</v>
      </c>
      <c r="F21" s="295">
        <v>5991.45</v>
      </c>
      <c r="G21" s="295">
        <v>3861.21</v>
      </c>
      <c r="H21" s="295">
        <v>2556.65</v>
      </c>
      <c r="I21" s="295">
        <v>903.23</v>
      </c>
      <c r="J21" s="295">
        <f>0.02+65.37+96.78</f>
        <v>162.17000000000002</v>
      </c>
      <c r="K21" s="295">
        <f t="shared" si="1"/>
        <v>22476.559999999998</v>
      </c>
      <c r="L21" s="295">
        <v>68.16</v>
      </c>
      <c r="M21" s="295">
        <v>9.11</v>
      </c>
      <c r="N21" s="295">
        <v>7.59</v>
      </c>
      <c r="O21" s="295">
        <v>1235.6600000000001</v>
      </c>
      <c r="P21" s="305" t="s">
        <v>566</v>
      </c>
    </row>
    <row r="22" spans="1:16" s="162" customFormat="1" ht="11.85" customHeight="1">
      <c r="A22" s="239" t="s">
        <v>560</v>
      </c>
      <c r="B22" s="256">
        <v>3026.84</v>
      </c>
      <c r="C22" s="256">
        <v>0.24</v>
      </c>
      <c r="D22" s="256">
        <v>142.9</v>
      </c>
      <c r="E22" s="256">
        <v>9606.2900000000009</v>
      </c>
      <c r="F22" s="256">
        <v>6528.06</v>
      </c>
      <c r="G22" s="256">
        <v>3732.29</v>
      </c>
      <c r="H22" s="256">
        <v>3105.3</v>
      </c>
      <c r="I22" s="256">
        <v>831.97</v>
      </c>
      <c r="J22" s="256">
        <f>0.05+87.31+122.68</f>
        <v>210.04000000000002</v>
      </c>
      <c r="K22" s="256">
        <f t="shared" ref="K22:K28" si="2">SUM(B22:J22)</f>
        <v>27183.930000000004</v>
      </c>
      <c r="L22" s="256">
        <v>93.55</v>
      </c>
      <c r="M22" s="256">
        <v>10.07</v>
      </c>
      <c r="N22" s="256">
        <v>7.57</v>
      </c>
      <c r="O22" s="256">
        <v>1192.28</v>
      </c>
      <c r="P22" s="209" t="s">
        <v>560</v>
      </c>
    </row>
    <row r="23" spans="1:16" s="162" customFormat="1" ht="11.85" customHeight="1">
      <c r="A23" s="591" t="s">
        <v>567</v>
      </c>
      <c r="B23" s="295">
        <v>2979.88</v>
      </c>
      <c r="C23" s="295">
        <v>0.19</v>
      </c>
      <c r="D23" s="295">
        <v>158.94999999999999</v>
      </c>
      <c r="E23" s="295">
        <v>6527.94</v>
      </c>
      <c r="F23" s="295">
        <v>6506.95</v>
      </c>
      <c r="G23" s="295">
        <v>3666.87</v>
      </c>
      <c r="H23" s="295">
        <v>3023.35</v>
      </c>
      <c r="I23" s="295">
        <v>834.99</v>
      </c>
      <c r="J23" s="295">
        <f>0.018+75.37+129.79</f>
        <v>205.178</v>
      </c>
      <c r="K23" s="295">
        <f t="shared" si="2"/>
        <v>23904.297999999999</v>
      </c>
      <c r="L23" s="295">
        <v>70.59</v>
      </c>
      <c r="M23" s="295">
        <v>9.74</v>
      </c>
      <c r="N23" s="295">
        <v>6.44</v>
      </c>
      <c r="O23" s="295">
        <v>1235.6600000000001</v>
      </c>
      <c r="P23" s="305" t="s">
        <v>567</v>
      </c>
    </row>
    <row r="24" spans="1:16" s="162" customFormat="1" ht="11.85" customHeight="1">
      <c r="A24" s="239" t="s">
        <v>568</v>
      </c>
      <c r="B24" s="256">
        <v>3109.85</v>
      </c>
      <c r="C24" s="256">
        <v>0.08</v>
      </c>
      <c r="D24" s="256">
        <v>148.84</v>
      </c>
      <c r="E24" s="256">
        <v>6628</v>
      </c>
      <c r="F24" s="256">
        <v>6756.48</v>
      </c>
      <c r="G24" s="256">
        <v>4104.8500000000004</v>
      </c>
      <c r="H24" s="256">
        <v>2888.98</v>
      </c>
      <c r="I24" s="256">
        <v>920.51</v>
      </c>
      <c r="J24" s="256">
        <f>0.05+221.94+120.42</f>
        <v>342.41</v>
      </c>
      <c r="K24" s="256">
        <f t="shared" si="2"/>
        <v>24899.999999999996</v>
      </c>
      <c r="L24" s="256">
        <v>93.82</v>
      </c>
      <c r="M24" s="256">
        <v>10.94</v>
      </c>
      <c r="N24" s="256">
        <v>11.78</v>
      </c>
      <c r="O24" s="256">
        <v>1221.92</v>
      </c>
      <c r="P24" s="209" t="s">
        <v>568</v>
      </c>
    </row>
    <row r="25" spans="1:16" s="162" customFormat="1" ht="11.85" customHeight="1">
      <c r="A25" s="591" t="s">
        <v>561</v>
      </c>
      <c r="B25" s="295">
        <v>2722.65</v>
      </c>
      <c r="C25" s="295">
        <v>0.01</v>
      </c>
      <c r="D25" s="295">
        <v>1963.61</v>
      </c>
      <c r="E25" s="295">
        <v>10991.98</v>
      </c>
      <c r="F25" s="295">
        <v>6872.87</v>
      </c>
      <c r="G25" s="295">
        <v>3416.51</v>
      </c>
      <c r="H25" s="295">
        <v>2718.26</v>
      </c>
      <c r="I25" s="295">
        <v>739.4</v>
      </c>
      <c r="J25" s="295">
        <f>0+70.12+118.44</f>
        <v>188.56</v>
      </c>
      <c r="K25" s="295">
        <f t="shared" si="2"/>
        <v>29613.850000000002</v>
      </c>
      <c r="L25" s="295">
        <v>92.42</v>
      </c>
      <c r="M25" s="295">
        <v>13.66</v>
      </c>
      <c r="N25" s="295">
        <v>6.32</v>
      </c>
      <c r="O25" s="295">
        <v>1511.22</v>
      </c>
      <c r="P25" s="305" t="s">
        <v>561</v>
      </c>
    </row>
    <row r="26" spans="1:16" s="162" customFormat="1" ht="11.85" customHeight="1">
      <c r="A26" s="239" t="s">
        <v>569</v>
      </c>
      <c r="B26" s="256">
        <v>3053.41</v>
      </c>
      <c r="C26" s="256">
        <v>0.01</v>
      </c>
      <c r="D26" s="256">
        <v>481.04</v>
      </c>
      <c r="E26" s="256">
        <v>8504.11</v>
      </c>
      <c r="F26" s="256">
        <v>6793.74</v>
      </c>
      <c r="G26" s="256">
        <v>3581.14</v>
      </c>
      <c r="H26" s="256">
        <v>3297.16</v>
      </c>
      <c r="I26" s="256">
        <v>859.74</v>
      </c>
      <c r="J26" s="256">
        <f>12.96+180.76+114.72</f>
        <v>308.44</v>
      </c>
      <c r="K26" s="256">
        <f t="shared" si="2"/>
        <v>26878.789999999997</v>
      </c>
      <c r="L26" s="256">
        <v>101.53</v>
      </c>
      <c r="M26" s="256">
        <v>13.61</v>
      </c>
      <c r="N26" s="256">
        <v>7.8</v>
      </c>
      <c r="O26" s="256">
        <v>1255.95</v>
      </c>
      <c r="P26" s="209" t="s">
        <v>569</v>
      </c>
    </row>
    <row r="27" spans="1:16" s="162" customFormat="1" ht="11.85" customHeight="1">
      <c r="A27" s="591" t="s">
        <v>570</v>
      </c>
      <c r="B27" s="295">
        <v>2672.96</v>
      </c>
      <c r="C27" s="295">
        <v>0.01</v>
      </c>
      <c r="D27" s="295">
        <v>437.77</v>
      </c>
      <c r="E27" s="295">
        <v>7046.36</v>
      </c>
      <c r="F27" s="295">
        <v>6182.69</v>
      </c>
      <c r="G27" s="295">
        <v>3354.16</v>
      </c>
      <c r="H27" s="295">
        <v>3000.6</v>
      </c>
      <c r="I27" s="295">
        <v>725.91</v>
      </c>
      <c r="J27" s="295">
        <f>11.79+164.5+130.43</f>
        <v>306.72000000000003</v>
      </c>
      <c r="K27" s="295">
        <f t="shared" si="2"/>
        <v>23727.18</v>
      </c>
      <c r="L27" s="295">
        <v>88.02</v>
      </c>
      <c r="M27" s="295">
        <v>20.49</v>
      </c>
      <c r="N27" s="295">
        <v>7.9</v>
      </c>
      <c r="O27" s="295">
        <v>1215.73</v>
      </c>
      <c r="P27" s="305" t="s">
        <v>570</v>
      </c>
    </row>
    <row r="28" spans="1:16" s="162" customFormat="1" ht="11.85" customHeight="1">
      <c r="A28" s="239" t="s">
        <v>562</v>
      </c>
      <c r="B28" s="256">
        <v>3238.67</v>
      </c>
      <c r="C28" s="256">
        <v>0.02</v>
      </c>
      <c r="D28" s="256">
        <v>469.06</v>
      </c>
      <c r="E28" s="256">
        <v>10648.56</v>
      </c>
      <c r="F28" s="256">
        <v>6626.98</v>
      </c>
      <c r="G28" s="256">
        <v>4064.04</v>
      </c>
      <c r="H28" s="256">
        <v>3215.07</v>
      </c>
      <c r="I28" s="256">
        <v>879.54</v>
      </c>
      <c r="J28" s="256">
        <f>12.64+176.25+140.68</f>
        <v>329.57</v>
      </c>
      <c r="K28" s="256">
        <f t="shared" si="2"/>
        <v>29471.510000000002</v>
      </c>
      <c r="L28" s="256">
        <v>74.7</v>
      </c>
      <c r="M28" s="256">
        <v>13.95</v>
      </c>
      <c r="N28" s="256">
        <v>11.9</v>
      </c>
      <c r="O28" s="256">
        <v>1324.02</v>
      </c>
      <c r="P28" s="209" t="s">
        <v>562</v>
      </c>
    </row>
    <row r="29" spans="1:16" s="162" customFormat="1" ht="11.85" customHeight="1">
      <c r="A29" s="591" t="s">
        <v>571</v>
      </c>
      <c r="B29" s="295">
        <v>2707.86</v>
      </c>
      <c r="C29" s="295">
        <v>0.01</v>
      </c>
      <c r="D29" s="295">
        <v>480.64</v>
      </c>
      <c r="E29" s="295">
        <v>6679.19</v>
      </c>
      <c r="F29" s="295">
        <v>6790.6</v>
      </c>
      <c r="G29" s="295">
        <v>3397.96</v>
      </c>
      <c r="H29" s="295">
        <v>3294.45</v>
      </c>
      <c r="I29" s="295">
        <v>735.39</v>
      </c>
      <c r="J29" s="295">
        <f>12.95+180.6+151.89</f>
        <v>345.43999999999994</v>
      </c>
      <c r="K29" s="295">
        <f>SUM(B29:J29)</f>
        <v>24431.54</v>
      </c>
      <c r="L29" s="295">
        <v>70.930000000000007</v>
      </c>
      <c r="M29" s="295">
        <v>9.06</v>
      </c>
      <c r="N29" s="295">
        <v>8.25</v>
      </c>
      <c r="O29" s="295">
        <v>866.4</v>
      </c>
      <c r="P29" s="305" t="s">
        <v>571</v>
      </c>
    </row>
    <row r="30" spans="1:16" s="162" customFormat="1" ht="11.85" customHeight="1">
      <c r="A30" s="239" t="s">
        <v>572</v>
      </c>
      <c r="B30" s="256">
        <v>3729.89</v>
      </c>
      <c r="C30" s="256">
        <v>0.01</v>
      </c>
      <c r="D30" s="256">
        <v>521.91999999999996</v>
      </c>
      <c r="E30" s="256">
        <v>10793.52</v>
      </c>
      <c r="F30" s="256">
        <v>7371.16</v>
      </c>
      <c r="G30" s="256">
        <v>4683.45</v>
      </c>
      <c r="H30" s="256">
        <v>3577.39</v>
      </c>
      <c r="I30" s="256">
        <v>1012.95</v>
      </c>
      <c r="J30" s="256">
        <f>14.07+196.12+107.68</f>
        <v>317.87</v>
      </c>
      <c r="K30" s="256">
        <f>SUM(B30:J30)</f>
        <v>32008.16</v>
      </c>
      <c r="L30" s="256">
        <v>95.07</v>
      </c>
      <c r="M30" s="256">
        <v>11.86</v>
      </c>
      <c r="N30" s="256">
        <v>7.38</v>
      </c>
      <c r="O30" s="256">
        <v>1353.83</v>
      </c>
      <c r="P30" s="209" t="s">
        <v>572</v>
      </c>
    </row>
    <row r="31" spans="1:16" s="162" customFormat="1" ht="11.85" customHeight="1">
      <c r="A31" s="591" t="s">
        <v>563</v>
      </c>
      <c r="B31" s="295">
        <v>3738.82</v>
      </c>
      <c r="C31" s="295">
        <v>0.01</v>
      </c>
      <c r="D31" s="295">
        <v>157.68</v>
      </c>
      <c r="E31" s="295">
        <v>24161.05</v>
      </c>
      <c r="F31" s="295">
        <v>13204.83</v>
      </c>
      <c r="G31" s="295">
        <v>4248.6099999999997</v>
      </c>
      <c r="H31" s="295">
        <v>2187.42</v>
      </c>
      <c r="I31" s="295">
        <v>1097.05</v>
      </c>
      <c r="J31" s="295">
        <f>0.04+63.61+226.14</f>
        <v>289.78999999999996</v>
      </c>
      <c r="K31" s="295">
        <f>SUM(B31:J31)</f>
        <v>49085.26</v>
      </c>
      <c r="L31" s="295">
        <v>127.89</v>
      </c>
      <c r="M31" s="295">
        <v>15.16</v>
      </c>
      <c r="N31" s="295">
        <v>112.13</v>
      </c>
      <c r="O31" s="295">
        <v>1864.36</v>
      </c>
      <c r="P31" s="305" t="s">
        <v>563</v>
      </c>
    </row>
    <row r="32" spans="1:16" s="162" customFormat="1" ht="11.85" customHeight="1">
      <c r="A32" s="102" t="s">
        <v>2344</v>
      </c>
      <c r="B32" s="345">
        <f>SUM(B33:B44)</f>
        <v>39603.270000000004</v>
      </c>
      <c r="C32" s="345">
        <f t="shared" ref="C32:K32" si="3">SUM(C33:C44)</f>
        <v>0.13</v>
      </c>
      <c r="D32" s="345">
        <f t="shared" si="3"/>
        <v>4261.79</v>
      </c>
      <c r="E32" s="345">
        <f t="shared" si="3"/>
        <v>126038.45999999999</v>
      </c>
      <c r="F32" s="345">
        <f t="shared" si="3"/>
        <v>99500.560000000012</v>
      </c>
      <c r="G32" s="345">
        <f t="shared" si="3"/>
        <v>49520.630000000012</v>
      </c>
      <c r="H32" s="345">
        <f t="shared" si="3"/>
        <v>40335.119999999995</v>
      </c>
      <c r="I32" s="345">
        <f t="shared" si="3"/>
        <v>11425.590000000002</v>
      </c>
      <c r="J32" s="345">
        <f t="shared" si="3"/>
        <v>3842.4700000000007</v>
      </c>
      <c r="K32" s="345">
        <f t="shared" si="3"/>
        <v>374528.02</v>
      </c>
      <c r="L32" s="345">
        <f>SUM(L33:L44)</f>
        <v>1134.81</v>
      </c>
      <c r="M32" s="345">
        <f t="shared" ref="M32" si="4">SUM(M33:M44)</f>
        <v>134.16</v>
      </c>
      <c r="N32" s="345">
        <f>SUM(N33:N44)</f>
        <v>111.3</v>
      </c>
      <c r="O32" s="345">
        <f>SUM(O33:O44)</f>
        <v>15004.31</v>
      </c>
      <c r="P32" s="474" t="s">
        <v>2344</v>
      </c>
    </row>
    <row r="33" spans="1:16" s="162" customFormat="1" ht="11.85" customHeight="1">
      <c r="A33" s="591" t="s">
        <v>565</v>
      </c>
      <c r="B33" s="295">
        <v>2987.04</v>
      </c>
      <c r="C33" s="295">
        <v>0.01</v>
      </c>
      <c r="D33" s="295">
        <v>157.72999999999999</v>
      </c>
      <c r="E33" s="295">
        <v>5559.12</v>
      </c>
      <c r="F33" s="295">
        <v>6616.48</v>
      </c>
      <c r="G33" s="295">
        <v>3805.48</v>
      </c>
      <c r="H33" s="295">
        <v>1652.78</v>
      </c>
      <c r="I33" s="295">
        <v>828.74</v>
      </c>
      <c r="J33" s="295">
        <f>109.63+105+0.35</f>
        <v>214.98</v>
      </c>
      <c r="K33" s="295">
        <f>SUM(B33:J33)</f>
        <v>21822.36</v>
      </c>
      <c r="L33" s="295">
        <v>74.92</v>
      </c>
      <c r="M33" s="295">
        <v>5.93</v>
      </c>
      <c r="N33" s="295">
        <v>7.22</v>
      </c>
      <c r="O33" s="295">
        <v>1059.07</v>
      </c>
      <c r="P33" s="305" t="s">
        <v>565</v>
      </c>
    </row>
    <row r="34" spans="1:16" s="162" customFormat="1" ht="11.85" customHeight="1">
      <c r="A34" s="239" t="s">
        <v>566</v>
      </c>
      <c r="B34" s="256">
        <v>3342.74</v>
      </c>
      <c r="C34" s="256">
        <v>0.01</v>
      </c>
      <c r="D34" s="256">
        <v>143.32</v>
      </c>
      <c r="E34" s="256">
        <v>6905.66</v>
      </c>
      <c r="F34" s="256">
        <v>6237.29</v>
      </c>
      <c r="G34" s="256">
        <v>4197.1499999999996</v>
      </c>
      <c r="H34" s="256">
        <v>3220.48</v>
      </c>
      <c r="I34" s="256">
        <v>913</v>
      </c>
      <c r="J34" s="256">
        <f>0.27+129.3+149.19</f>
        <v>278.76</v>
      </c>
      <c r="K34" s="256">
        <f>SUM(B34:J34)</f>
        <v>25238.409999999996</v>
      </c>
      <c r="L34" s="256">
        <v>92.12</v>
      </c>
      <c r="M34" s="256">
        <v>7.94</v>
      </c>
      <c r="N34" s="256">
        <v>7.15</v>
      </c>
      <c r="O34" s="256">
        <v>1401.42</v>
      </c>
      <c r="P34" s="209" t="s">
        <v>566</v>
      </c>
    </row>
    <row r="35" spans="1:16" s="162" customFormat="1" ht="11.85" customHeight="1">
      <c r="A35" s="591" t="s">
        <v>560</v>
      </c>
      <c r="B35" s="295">
        <v>3045.82</v>
      </c>
      <c r="C35" s="295">
        <v>0</v>
      </c>
      <c r="D35" s="295">
        <v>161.5</v>
      </c>
      <c r="E35" s="295">
        <v>10267.969999999999</v>
      </c>
      <c r="F35" s="295">
        <v>6441.03</v>
      </c>
      <c r="G35" s="295">
        <v>3972.51</v>
      </c>
      <c r="H35" s="295">
        <v>3453.83</v>
      </c>
      <c r="I35" s="295">
        <v>778.83</v>
      </c>
      <c r="J35" s="295">
        <f>0.17+125.6+179.67</f>
        <v>305.44</v>
      </c>
      <c r="K35" s="295">
        <f>SUM(B35:J35)</f>
        <v>28426.930000000004</v>
      </c>
      <c r="L35" s="295">
        <v>78.34</v>
      </c>
      <c r="M35" s="295">
        <v>7.67</v>
      </c>
      <c r="N35" s="295">
        <v>7.54</v>
      </c>
      <c r="O35" s="295">
        <v>1158.97</v>
      </c>
      <c r="P35" s="305" t="s">
        <v>560</v>
      </c>
    </row>
    <row r="36" spans="1:16" s="162" customFormat="1" ht="11.85" customHeight="1">
      <c r="A36" s="239" t="s">
        <v>567</v>
      </c>
      <c r="B36" s="256">
        <v>3291.55</v>
      </c>
      <c r="C36" s="256">
        <v>0.02</v>
      </c>
      <c r="D36" s="256">
        <v>153.91</v>
      </c>
      <c r="E36" s="256">
        <v>7939.61</v>
      </c>
      <c r="F36" s="256">
        <v>6794.19</v>
      </c>
      <c r="G36" s="256">
        <v>4295.1899999999996</v>
      </c>
      <c r="H36" s="256">
        <v>3045.22</v>
      </c>
      <c r="I36" s="256">
        <v>942.34</v>
      </c>
      <c r="J36" s="256">
        <f>2.27+170.74+212.3</f>
        <v>385.31000000000006</v>
      </c>
      <c r="K36" s="256">
        <f>SUM(B36:J36)</f>
        <v>26847.34</v>
      </c>
      <c r="L36" s="256">
        <v>84.55</v>
      </c>
      <c r="M36" s="256">
        <v>8.3000000000000007</v>
      </c>
      <c r="N36" s="256">
        <v>8.59</v>
      </c>
      <c r="O36" s="256">
        <v>1137.2</v>
      </c>
      <c r="P36" s="209" t="s">
        <v>567</v>
      </c>
    </row>
    <row r="37" spans="1:16" s="162" customFormat="1" ht="11.85" customHeight="1">
      <c r="A37" s="591" t="s">
        <v>568</v>
      </c>
      <c r="B37" s="295">
        <v>3354.53</v>
      </c>
      <c r="C37" s="295">
        <v>0</v>
      </c>
      <c r="D37" s="295">
        <v>148.82</v>
      </c>
      <c r="E37" s="295">
        <v>7897.73</v>
      </c>
      <c r="F37" s="295">
        <v>8151.29</v>
      </c>
      <c r="G37" s="295">
        <v>4398.3500000000004</v>
      </c>
      <c r="H37" s="295">
        <v>3082.13</v>
      </c>
      <c r="I37" s="295">
        <v>1018.2</v>
      </c>
      <c r="J37" s="295">
        <f>0+92.92+207.87</f>
        <v>300.79000000000002</v>
      </c>
      <c r="K37" s="295">
        <f>SUM(B37:J37)</f>
        <v>28351.840000000004</v>
      </c>
      <c r="L37" s="295">
        <v>82.22</v>
      </c>
      <c r="M37" s="295">
        <v>11.14</v>
      </c>
      <c r="N37" s="295">
        <v>7.67</v>
      </c>
      <c r="O37" s="295">
        <v>1379.5</v>
      </c>
      <c r="P37" s="305" t="s">
        <v>568</v>
      </c>
    </row>
    <row r="38" spans="1:16" s="162" customFormat="1" ht="11.85" customHeight="1">
      <c r="A38" s="239" t="s">
        <v>561</v>
      </c>
      <c r="B38" s="256">
        <v>2975.63</v>
      </c>
      <c r="C38" s="256">
        <v>0</v>
      </c>
      <c r="D38" s="256">
        <v>141.52000000000001</v>
      </c>
      <c r="E38" s="256">
        <v>10376.280000000001</v>
      </c>
      <c r="F38" s="256">
        <v>6677.34</v>
      </c>
      <c r="G38" s="256">
        <v>3782.91</v>
      </c>
      <c r="H38" s="256">
        <v>2698.7</v>
      </c>
      <c r="I38" s="256">
        <v>868.95</v>
      </c>
      <c r="J38" s="256">
        <f>0.03+106.67+175.2</f>
        <v>281.89999999999998</v>
      </c>
      <c r="K38" s="256">
        <f>B38+C38+D38+E38+F38+G38+H38+I38+J38</f>
        <v>27803.230000000003</v>
      </c>
      <c r="L38" s="256">
        <v>80.08</v>
      </c>
      <c r="M38" s="256">
        <v>11.47</v>
      </c>
      <c r="N38" s="256">
        <v>6.96</v>
      </c>
      <c r="O38" s="256">
        <v>1310.52</v>
      </c>
      <c r="P38" s="209" t="s">
        <v>561</v>
      </c>
    </row>
    <row r="39" spans="1:16" s="162" customFormat="1" ht="11.85" customHeight="1">
      <c r="A39" s="591" t="s">
        <v>2956</v>
      </c>
      <c r="B39" s="295">
        <v>3525.79</v>
      </c>
      <c r="C39" s="295">
        <v>0.01</v>
      </c>
      <c r="D39" s="295">
        <v>2235.58</v>
      </c>
      <c r="E39" s="295">
        <v>10828.56</v>
      </c>
      <c r="F39" s="295">
        <v>7376.37</v>
      </c>
      <c r="G39" s="295">
        <v>4197.1400000000003</v>
      </c>
      <c r="H39" s="295">
        <v>3582.81</v>
      </c>
      <c r="I39" s="295">
        <v>1117.52</v>
      </c>
      <c r="J39" s="295">
        <f>1.61+158.45+191.26</f>
        <v>351.32</v>
      </c>
      <c r="K39" s="295">
        <f>B39+C39+D39+E39+F39+G39+H39+I39+J39</f>
        <v>33215.1</v>
      </c>
      <c r="L39" s="295">
        <v>89.21</v>
      </c>
      <c r="M39" s="295">
        <v>11.74</v>
      </c>
      <c r="N39" s="295">
        <v>8.51</v>
      </c>
      <c r="O39" s="295">
        <v>1268.06</v>
      </c>
      <c r="P39" s="305" t="s">
        <v>2956</v>
      </c>
    </row>
    <row r="40" spans="1:16" s="162" customFormat="1" ht="11.85" customHeight="1">
      <c r="A40" s="1587" t="s">
        <v>570</v>
      </c>
      <c r="B40" s="1443">
        <v>3128.78</v>
      </c>
      <c r="C40" s="1443">
        <v>0.01</v>
      </c>
      <c r="D40" s="1443">
        <v>452.71</v>
      </c>
      <c r="E40" s="1443">
        <v>8215.3799999999992</v>
      </c>
      <c r="F40" s="1443">
        <v>6596.68</v>
      </c>
      <c r="G40" s="1443">
        <v>3593.22</v>
      </c>
      <c r="H40" s="1443">
        <v>3340.35</v>
      </c>
      <c r="I40" s="1443">
        <v>942.77</v>
      </c>
      <c r="J40" s="1443">
        <f>1.64+279.98+199.91</f>
        <v>481.53</v>
      </c>
      <c r="K40" s="1443">
        <f>B40+C40+D40+E40+F40+G40+H40+I40+J40</f>
        <v>26751.429999999997</v>
      </c>
      <c r="L40" s="1443">
        <v>80.7</v>
      </c>
      <c r="M40" s="1443">
        <v>14.47</v>
      </c>
      <c r="N40" s="1443">
        <v>8.02</v>
      </c>
      <c r="O40" s="1443">
        <v>1320.59</v>
      </c>
      <c r="P40" s="1588" t="s">
        <v>570</v>
      </c>
    </row>
    <row r="41" spans="1:16" s="162" customFormat="1" ht="11.85" customHeight="1">
      <c r="A41" s="591" t="s">
        <v>562</v>
      </c>
      <c r="B41" s="295">
        <v>3563.57</v>
      </c>
      <c r="C41" s="295">
        <v>0.03</v>
      </c>
      <c r="D41" s="295">
        <v>204.78</v>
      </c>
      <c r="E41" s="295">
        <v>12398.2</v>
      </c>
      <c r="F41" s="295">
        <v>8102.89</v>
      </c>
      <c r="G41" s="295">
        <v>3983.03</v>
      </c>
      <c r="H41" s="295">
        <v>3689.91</v>
      </c>
      <c r="I41" s="295">
        <v>1142.3699999999999</v>
      </c>
      <c r="J41" s="295">
        <f>0+95.36+191.6</f>
        <v>286.95999999999998</v>
      </c>
      <c r="K41" s="295">
        <f>B41+C41+D41+E41+F41+G41+H41+I41+J41</f>
        <v>33371.74</v>
      </c>
      <c r="L41" s="295">
        <v>73.67</v>
      </c>
      <c r="M41" s="295">
        <v>14.52</v>
      </c>
      <c r="N41" s="295">
        <v>17.62</v>
      </c>
      <c r="O41" s="295">
        <v>1390.98</v>
      </c>
      <c r="P41" s="305" t="s">
        <v>562</v>
      </c>
    </row>
    <row r="42" spans="1:16" s="162" customFormat="1" ht="11.85" customHeight="1">
      <c r="A42" s="1587" t="s">
        <v>571</v>
      </c>
      <c r="B42" s="1443">
        <v>3324.82</v>
      </c>
      <c r="C42" s="1443">
        <v>0.03</v>
      </c>
      <c r="D42" s="1443">
        <v>160.37</v>
      </c>
      <c r="E42" s="1443">
        <v>8051.11</v>
      </c>
      <c r="F42" s="1443">
        <v>8812.77</v>
      </c>
      <c r="G42" s="1443">
        <v>4057.8</v>
      </c>
      <c r="H42" s="1443">
        <v>3825.14</v>
      </c>
      <c r="I42" s="1443">
        <v>876.93</v>
      </c>
      <c r="J42" s="1443">
        <f>0+94.24+192.54</f>
        <v>286.77999999999997</v>
      </c>
      <c r="K42" s="1443">
        <f t="shared" ref="K42:K53" si="5">B42+C42+D42+E42+F42+G42+H42+I42+J42</f>
        <v>29395.749999999996</v>
      </c>
      <c r="L42" s="1443">
        <v>69.81</v>
      </c>
      <c r="M42" s="1443">
        <v>13.19</v>
      </c>
      <c r="N42" s="1443">
        <v>6.16</v>
      </c>
      <c r="O42" s="1443">
        <v>1009.42</v>
      </c>
      <c r="P42" s="1588" t="s">
        <v>571</v>
      </c>
    </row>
    <row r="43" spans="1:16" s="162" customFormat="1" ht="11.85" customHeight="1">
      <c r="A43" s="591" t="s">
        <v>572</v>
      </c>
      <c r="B43" s="295">
        <v>3597.27</v>
      </c>
      <c r="C43" s="295">
        <v>0.01</v>
      </c>
      <c r="D43" s="295">
        <v>116.41</v>
      </c>
      <c r="E43" s="295">
        <v>11733.69</v>
      </c>
      <c r="F43" s="295">
        <v>7860.1</v>
      </c>
      <c r="G43" s="295">
        <v>4382.3</v>
      </c>
      <c r="H43" s="295">
        <v>5850.07</v>
      </c>
      <c r="I43" s="295">
        <v>1058.6600000000001</v>
      </c>
      <c r="J43" s="295">
        <f>128.56+99.41+175.5</f>
        <v>403.47</v>
      </c>
      <c r="K43" s="295">
        <f t="shared" si="5"/>
        <v>35001.98000000001</v>
      </c>
      <c r="L43" s="295">
        <v>95.64</v>
      </c>
      <c r="M43" s="295">
        <v>9.98</v>
      </c>
      <c r="N43" s="295">
        <v>13.99</v>
      </c>
      <c r="O43" s="295">
        <v>1308.57</v>
      </c>
      <c r="P43" s="305" t="s">
        <v>572</v>
      </c>
    </row>
    <row r="44" spans="1:16" s="162" customFormat="1" ht="11.85" customHeight="1">
      <c r="A44" s="239" t="s">
        <v>563</v>
      </c>
      <c r="B44" s="256">
        <v>3465.73</v>
      </c>
      <c r="C44" s="256">
        <v>0</v>
      </c>
      <c r="D44" s="256">
        <v>185.14</v>
      </c>
      <c r="E44" s="256">
        <v>25865.15</v>
      </c>
      <c r="F44" s="256">
        <v>19834.13</v>
      </c>
      <c r="G44" s="256">
        <v>4855.55</v>
      </c>
      <c r="H44" s="256">
        <v>2893.7</v>
      </c>
      <c r="I44" s="256">
        <v>937.28</v>
      </c>
      <c r="J44" s="256">
        <f>0.01+82.67+182.55</f>
        <v>265.23</v>
      </c>
      <c r="K44" s="256">
        <f t="shared" si="5"/>
        <v>58301.91</v>
      </c>
      <c r="L44" s="256">
        <v>233.55</v>
      </c>
      <c r="M44" s="256">
        <v>17.809999999999999</v>
      </c>
      <c r="N44" s="256">
        <v>11.87</v>
      </c>
      <c r="O44" s="256">
        <v>1260.01</v>
      </c>
      <c r="P44" s="209" t="s">
        <v>563</v>
      </c>
    </row>
    <row r="45" spans="1:16" s="162" customFormat="1" ht="11.85" customHeight="1">
      <c r="A45" s="1290" t="s">
        <v>2680</v>
      </c>
      <c r="B45" s="295"/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307" t="s">
        <v>2680</v>
      </c>
    </row>
    <row r="46" spans="1:16" s="162" customFormat="1" ht="11.85" customHeight="1">
      <c r="A46" s="239" t="s">
        <v>565</v>
      </c>
      <c r="B46" s="256">
        <v>2828.17</v>
      </c>
      <c r="C46" s="256">
        <v>0</v>
      </c>
      <c r="D46" s="256">
        <v>151.38</v>
      </c>
      <c r="E46" s="256">
        <v>4786</v>
      </c>
      <c r="F46" s="256">
        <v>6283.19</v>
      </c>
      <c r="G46" s="256">
        <v>3577.53</v>
      </c>
      <c r="H46" s="256">
        <v>1617.62</v>
      </c>
      <c r="I46" s="256">
        <v>794.25</v>
      </c>
      <c r="J46" s="256">
        <f>1.64+83.5+146.39</f>
        <v>231.52999999999997</v>
      </c>
      <c r="K46" s="256">
        <f t="shared" si="5"/>
        <v>20269.669999999998</v>
      </c>
      <c r="L46" s="256">
        <v>69.930000000000007</v>
      </c>
      <c r="M46" s="256">
        <v>5.6070000000000002</v>
      </c>
      <c r="N46" s="256">
        <v>7.0549999999999997</v>
      </c>
      <c r="O46" s="256">
        <v>1161</v>
      </c>
      <c r="P46" s="209" t="s">
        <v>565</v>
      </c>
    </row>
    <row r="47" spans="1:16" s="162" customFormat="1" ht="11.85" customHeight="1">
      <c r="A47" s="591" t="s">
        <v>566</v>
      </c>
      <c r="B47" s="295">
        <v>2709.56</v>
      </c>
      <c r="C47" s="295">
        <v>0</v>
      </c>
      <c r="D47" s="295">
        <v>140.12</v>
      </c>
      <c r="E47" s="295">
        <v>6330.19</v>
      </c>
      <c r="F47" s="295">
        <v>5224.17</v>
      </c>
      <c r="G47" s="295">
        <v>3826.1</v>
      </c>
      <c r="H47" s="295">
        <v>2432.2600000000002</v>
      </c>
      <c r="I47" s="295">
        <v>750.29</v>
      </c>
      <c r="J47" s="295">
        <f>1.48+62.28+152.88</f>
        <v>216.64</v>
      </c>
      <c r="K47" s="295">
        <f t="shared" si="5"/>
        <v>21629.33</v>
      </c>
      <c r="L47" s="295">
        <v>62.46</v>
      </c>
      <c r="M47" s="295">
        <v>8.2799999999999994</v>
      </c>
      <c r="N47" s="295">
        <v>5.4909999999999997</v>
      </c>
      <c r="O47" s="295">
        <v>995.33</v>
      </c>
      <c r="P47" s="305" t="s">
        <v>566</v>
      </c>
    </row>
    <row r="48" spans="1:16" s="162" customFormat="1" ht="11.85" customHeight="1">
      <c r="A48" s="239" t="s">
        <v>560</v>
      </c>
      <c r="B48" s="256">
        <v>2922.23</v>
      </c>
      <c r="C48" s="256">
        <v>0.03</v>
      </c>
      <c r="D48" s="256">
        <v>148.18</v>
      </c>
      <c r="E48" s="256">
        <v>11551.2</v>
      </c>
      <c r="F48" s="256">
        <v>6012.83</v>
      </c>
      <c r="G48" s="256">
        <v>3858.38</v>
      </c>
      <c r="H48" s="256">
        <v>3327.51</v>
      </c>
      <c r="I48" s="256">
        <v>878.49</v>
      </c>
      <c r="J48" s="256">
        <f>1.62+105.63+197.5</f>
        <v>304.75</v>
      </c>
      <c r="K48" s="256">
        <f t="shared" si="5"/>
        <v>29003.600000000002</v>
      </c>
      <c r="L48" s="256">
        <v>85.18</v>
      </c>
      <c r="M48" s="256">
        <v>7.9690000000000003</v>
      </c>
      <c r="N48" s="256">
        <v>25.361000000000001</v>
      </c>
      <c r="O48" s="256">
        <v>1340.74</v>
      </c>
      <c r="P48" s="209" t="s">
        <v>560</v>
      </c>
    </row>
    <row r="49" spans="1:16" s="162" customFormat="1" ht="11.85" customHeight="1">
      <c r="A49" s="591" t="s">
        <v>567</v>
      </c>
      <c r="B49" s="295">
        <v>3121.21</v>
      </c>
      <c r="C49" s="295">
        <v>0.02</v>
      </c>
      <c r="D49" s="295">
        <v>202.27</v>
      </c>
      <c r="E49" s="295">
        <v>8537.02</v>
      </c>
      <c r="F49" s="295">
        <v>6573.11</v>
      </c>
      <c r="G49" s="295">
        <v>3995.07</v>
      </c>
      <c r="H49" s="295">
        <v>3418.78</v>
      </c>
      <c r="I49" s="295">
        <v>919.78</v>
      </c>
      <c r="J49" s="295">
        <f>1.62+124.52+179.25</f>
        <v>305.39</v>
      </c>
      <c r="K49" s="295">
        <f t="shared" si="5"/>
        <v>27072.649999999998</v>
      </c>
      <c r="L49" s="295">
        <v>86.7</v>
      </c>
      <c r="M49" s="295">
        <v>6.6929999999999996</v>
      </c>
      <c r="N49" s="295">
        <v>9.3740000000000006</v>
      </c>
      <c r="O49" s="295">
        <v>1311.27</v>
      </c>
      <c r="P49" s="305" t="s">
        <v>567</v>
      </c>
    </row>
    <row r="50" spans="1:16" s="162" customFormat="1" ht="11.85" customHeight="1">
      <c r="A50" s="239" t="s">
        <v>568</v>
      </c>
      <c r="B50" s="256">
        <v>2802</v>
      </c>
      <c r="C50" s="256">
        <v>0</v>
      </c>
      <c r="D50" s="256">
        <v>357</v>
      </c>
      <c r="E50" s="256">
        <v>7931.35</v>
      </c>
      <c r="F50" s="256">
        <v>6431</v>
      </c>
      <c r="G50" s="256">
        <v>3728</v>
      </c>
      <c r="H50" s="256">
        <v>3050</v>
      </c>
      <c r="I50" s="256">
        <v>944</v>
      </c>
      <c r="J50" s="256">
        <f>1+115.22</f>
        <v>116.22</v>
      </c>
      <c r="K50" s="256">
        <f t="shared" si="5"/>
        <v>25359.57</v>
      </c>
      <c r="L50" s="256" t="s">
        <v>295</v>
      </c>
      <c r="M50" s="256" t="s">
        <v>295</v>
      </c>
      <c r="N50" s="256" t="s">
        <v>295</v>
      </c>
      <c r="O50" s="256" t="s">
        <v>295</v>
      </c>
      <c r="P50" s="209" t="s">
        <v>568</v>
      </c>
    </row>
    <row r="51" spans="1:16" s="162" customFormat="1" ht="11.85" customHeight="1">
      <c r="A51" s="591" t="s">
        <v>561</v>
      </c>
      <c r="B51" s="295">
        <v>3100</v>
      </c>
      <c r="C51" s="295">
        <v>6</v>
      </c>
      <c r="D51" s="295">
        <v>130</v>
      </c>
      <c r="E51" s="295">
        <v>12126.77</v>
      </c>
      <c r="F51" s="295">
        <v>6269</v>
      </c>
      <c r="G51" s="295">
        <v>4236</v>
      </c>
      <c r="H51" s="295">
        <v>2689</v>
      </c>
      <c r="I51" s="295">
        <v>969</v>
      </c>
      <c r="J51" s="295">
        <f>2+0+131.63</f>
        <v>133.63</v>
      </c>
      <c r="K51" s="295">
        <f t="shared" si="5"/>
        <v>29659.4</v>
      </c>
      <c r="L51" s="295" t="s">
        <v>295</v>
      </c>
      <c r="M51" s="295" t="s">
        <v>295</v>
      </c>
      <c r="N51" s="295" t="s">
        <v>295</v>
      </c>
      <c r="O51" s="295" t="s">
        <v>295</v>
      </c>
      <c r="P51" s="305" t="s">
        <v>561</v>
      </c>
    </row>
    <row r="52" spans="1:16" s="162" customFormat="1" ht="11.85" customHeight="1">
      <c r="A52" s="239" t="s">
        <v>569</v>
      </c>
      <c r="B52" s="256">
        <v>3325</v>
      </c>
      <c r="C52" s="256">
        <v>0</v>
      </c>
      <c r="D52" s="256">
        <v>2603</v>
      </c>
      <c r="E52" s="256">
        <v>11697.64</v>
      </c>
      <c r="F52" s="256">
        <v>7374</v>
      </c>
      <c r="G52" s="256">
        <v>4394</v>
      </c>
      <c r="H52" s="256">
        <v>4177</v>
      </c>
      <c r="I52" s="256">
        <v>999</v>
      </c>
      <c r="J52" s="256">
        <f>2+652+201.27</f>
        <v>855.27</v>
      </c>
      <c r="K52" s="256">
        <f t="shared" si="5"/>
        <v>35424.909999999996</v>
      </c>
      <c r="L52" s="256" t="s">
        <v>295</v>
      </c>
      <c r="M52" s="256" t="s">
        <v>295</v>
      </c>
      <c r="N52" s="256" t="s">
        <v>295</v>
      </c>
      <c r="O52" s="256" t="s">
        <v>295</v>
      </c>
      <c r="P52" s="209" t="s">
        <v>569</v>
      </c>
    </row>
    <row r="53" spans="1:16" s="162" customFormat="1" ht="11.85" customHeight="1" thickBot="1">
      <c r="A53" s="1761" t="s">
        <v>570</v>
      </c>
      <c r="B53" s="482">
        <v>2776</v>
      </c>
      <c r="C53" s="482">
        <v>0</v>
      </c>
      <c r="D53" s="482">
        <v>658</v>
      </c>
      <c r="E53" s="482">
        <v>8954.41</v>
      </c>
      <c r="F53" s="482">
        <v>6308</v>
      </c>
      <c r="G53" s="482">
        <v>3451</v>
      </c>
      <c r="H53" s="482">
        <v>3437</v>
      </c>
      <c r="I53" s="482">
        <v>1037</v>
      </c>
      <c r="J53" s="482">
        <f>1+253+115.96</f>
        <v>369.96</v>
      </c>
      <c r="K53" s="482">
        <f t="shared" si="5"/>
        <v>26991.37</v>
      </c>
      <c r="L53" s="482" t="s">
        <v>295</v>
      </c>
      <c r="M53" s="482" t="s">
        <v>295</v>
      </c>
      <c r="N53" s="482" t="s">
        <v>295</v>
      </c>
      <c r="O53" s="482" t="s">
        <v>295</v>
      </c>
      <c r="P53" s="1762" t="s">
        <v>570</v>
      </c>
    </row>
    <row r="54" spans="1:16" s="8" customFormat="1">
      <c r="A54" s="115" t="s">
        <v>2119</v>
      </c>
      <c r="B54" s="87"/>
      <c r="C54" s="87"/>
      <c r="D54" s="87"/>
      <c r="E54" s="87"/>
      <c r="F54" s="654"/>
      <c r="G54" s="654"/>
      <c r="H54" s="9"/>
      <c r="I54" s="9"/>
      <c r="O54" s="87"/>
      <c r="P54" s="87"/>
    </row>
    <row r="55" spans="1:16">
      <c r="A55" s="87" t="s">
        <v>2118</v>
      </c>
      <c r="B55" s="87"/>
      <c r="E55" s="31"/>
      <c r="F55" s="31"/>
      <c r="G55" s="8" t="s">
        <v>2381</v>
      </c>
      <c r="H55" s="31"/>
      <c r="I55" s="8"/>
      <c r="O55" s="87"/>
      <c r="P55" s="87"/>
    </row>
    <row r="56" spans="1:16">
      <c r="B56" s="481"/>
      <c r="C56" s="481"/>
      <c r="D56" s="481"/>
      <c r="E56" s="481"/>
      <c r="F56" s="85"/>
      <c r="G56" s="481"/>
      <c r="H56" s="481"/>
      <c r="I56" s="481"/>
      <c r="J56" s="481"/>
      <c r="K56" s="481"/>
      <c r="M56" s="256"/>
    </row>
    <row r="57" spans="1:16">
      <c r="F57" s="85"/>
      <c r="J57" s="481"/>
      <c r="K57" s="256"/>
      <c r="M57" s="481"/>
    </row>
    <row r="58" spans="1:16">
      <c r="F58" s="85"/>
      <c r="J58" s="481"/>
      <c r="K58" s="256"/>
      <c r="L58" s="481"/>
      <c r="M58" s="481"/>
    </row>
    <row r="59" spans="1:16">
      <c r="B59" s="481"/>
      <c r="C59" s="481"/>
      <c r="D59" s="481"/>
      <c r="E59" s="481"/>
      <c r="F59" s="85"/>
      <c r="G59" s="481"/>
      <c r="H59" s="481"/>
      <c r="I59" s="481"/>
      <c r="J59" s="481"/>
      <c r="K59" s="256"/>
      <c r="L59" s="481"/>
      <c r="M59" s="481"/>
    </row>
    <row r="60" spans="1:16">
      <c r="B60" s="481"/>
      <c r="C60" s="481"/>
      <c r="D60" s="481"/>
      <c r="E60" s="481"/>
      <c r="F60" s="85"/>
      <c r="G60" s="481"/>
      <c r="H60" s="481"/>
      <c r="I60" s="481"/>
      <c r="J60" s="481"/>
      <c r="K60" s="256"/>
      <c r="L60" s="481"/>
      <c r="M60" s="481"/>
    </row>
    <row r="61" spans="1:16">
      <c r="F61" s="85"/>
      <c r="J61" s="481"/>
      <c r="K61" s="256"/>
      <c r="L61" s="481"/>
      <c r="M61" s="481"/>
    </row>
    <row r="62" spans="1:16">
      <c r="F62" s="85"/>
      <c r="J62" s="481"/>
      <c r="K62" s="256"/>
      <c r="L62" s="481"/>
      <c r="M62" s="481"/>
    </row>
    <row r="63" spans="1:16">
      <c r="F63" s="85"/>
      <c r="K63" s="256"/>
      <c r="L63" s="481"/>
      <c r="M63" s="481"/>
    </row>
    <row r="64" spans="1:16">
      <c r="B64" s="481"/>
      <c r="C64" s="481"/>
      <c r="D64" s="481"/>
      <c r="E64" s="481"/>
      <c r="F64" s="85"/>
      <c r="G64" s="481"/>
      <c r="H64" s="481"/>
      <c r="I64" s="481"/>
      <c r="J64" s="481"/>
      <c r="K64" s="256"/>
      <c r="L64" s="481"/>
    </row>
    <row r="65" spans="2:12">
      <c r="B65" s="481"/>
      <c r="C65" s="481"/>
      <c r="D65" s="481"/>
      <c r="E65" s="481"/>
      <c r="F65" s="481"/>
      <c r="G65" s="481"/>
      <c r="H65" s="481"/>
      <c r="I65" s="481"/>
      <c r="J65" s="481"/>
      <c r="K65" s="256"/>
      <c r="L65" s="481"/>
    </row>
    <row r="66" spans="2:12">
      <c r="B66" s="481"/>
      <c r="C66" s="481"/>
      <c r="D66" s="481"/>
      <c r="E66" s="481"/>
      <c r="F66" s="481"/>
      <c r="G66" s="481"/>
      <c r="H66" s="481"/>
      <c r="I66" s="481"/>
      <c r="J66" s="481"/>
      <c r="K66" s="256"/>
      <c r="L66" s="481"/>
    </row>
    <row r="67" spans="2:12">
      <c r="B67" s="481"/>
      <c r="C67" s="481"/>
      <c r="D67" s="481"/>
      <c r="E67" s="481"/>
      <c r="F67" s="481"/>
      <c r="G67" s="481"/>
      <c r="H67" s="481"/>
      <c r="I67" s="481"/>
      <c r="J67" s="481"/>
      <c r="K67" s="481"/>
      <c r="L67" s="481"/>
    </row>
    <row r="68" spans="2:12">
      <c r="B68" s="481"/>
      <c r="C68" s="481"/>
      <c r="D68" s="481"/>
      <c r="E68" s="481"/>
      <c r="F68" s="481"/>
      <c r="G68" s="481"/>
      <c r="H68" s="481"/>
      <c r="I68" s="481"/>
      <c r="J68" s="481"/>
      <c r="K68" s="481"/>
    </row>
    <row r="69" spans="2:12">
      <c r="B69" s="481"/>
      <c r="C69" s="481"/>
      <c r="D69" s="481"/>
      <c r="E69" s="481"/>
      <c r="F69" s="481"/>
      <c r="G69" s="481"/>
      <c r="H69" s="481"/>
      <c r="I69" s="481"/>
      <c r="J69" s="481"/>
    </row>
  </sheetData>
  <customSheetViews>
    <customSheetView guid="{A374FC54-96E3-45F0-9C12-8450400C12DF}" scale="150">
      <pane xSplit="1" ySplit="5" topLeftCell="G36" activePane="bottomRight" state="frozen"/>
      <selection pane="bottomRight" activeCell="J49" sqref="J49"/>
      <pageMargins left="0.59055118110236204" right="0.511811023622047" top="0.511811023622047" bottom="0.511811023622047" header="0" footer="0.35433070866141703"/>
      <pageSetup paperSize="132" firstPageNumber="102" orientation="portrait" useFirstPageNumber="1" r:id="rId1"/>
      <headerFooter alignWithMargins="0">
        <oddFooter>&amp;C&amp;"Times New Roman,Regular"&amp;8&amp;P</oddFooter>
      </headerFooter>
    </customSheetView>
  </customSheetViews>
  <mergeCells count="21">
    <mergeCell ref="A1:I1"/>
    <mergeCell ref="O1:P1"/>
    <mergeCell ref="A3:A5"/>
    <mergeCell ref="E4:E5"/>
    <mergeCell ref="B4:B5"/>
    <mergeCell ref="F4:G4"/>
    <mergeCell ref="L3:O3"/>
    <mergeCell ref="P3:P5"/>
    <mergeCell ref="J1:N1"/>
    <mergeCell ref="O2:P2"/>
    <mergeCell ref="J3:K3"/>
    <mergeCell ref="B3:I3"/>
    <mergeCell ref="N4:N5"/>
    <mergeCell ref="O4:O5"/>
    <mergeCell ref="J4:J5"/>
    <mergeCell ref="C4:C5"/>
    <mergeCell ref="H4:I4"/>
    <mergeCell ref="D4:D5"/>
    <mergeCell ref="L4:L5"/>
    <mergeCell ref="K4:K5"/>
    <mergeCell ref="M4:M5"/>
  </mergeCells>
  <phoneticPr fontId="0" type="noConversion"/>
  <pageMargins left="0.59055118110236204" right="0.511811023622047" top="0.511811023622047" bottom="0.511811023622047" header="0" footer="0.35433070866141703"/>
  <pageSetup paperSize="448" firstPageNumber="106" orientation="portrait" useFirstPageNumber="1" r:id="rId2"/>
  <headerFooter alignWithMargins="0">
    <oddFooter>&amp;C&amp;"Times New Roman,Regular"&amp;8&amp;P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U74"/>
  <sheetViews>
    <sheetView topLeftCell="A13" workbookViewId="0">
      <selection activeCell="C55" sqref="C55"/>
    </sheetView>
  </sheetViews>
  <sheetFormatPr defaultColWidth="8.85546875" defaultRowHeight="15"/>
  <cols>
    <col min="1" max="1" width="8.140625" style="702" customWidth="1"/>
    <col min="2" max="2" width="8.42578125" style="702" customWidth="1"/>
    <col min="3" max="3" width="10.42578125" style="702" customWidth="1"/>
    <col min="4" max="4" width="8.42578125" style="702" customWidth="1"/>
    <col min="5" max="5" width="9.85546875" style="702" bestFit="1" customWidth="1"/>
    <col min="6" max="6" width="8" style="702" customWidth="1"/>
    <col min="7" max="7" width="9.28515625" style="702" customWidth="1"/>
    <col min="8" max="8" width="10.28515625" style="702" customWidth="1"/>
    <col min="9" max="9" width="9.7109375" style="702" customWidth="1"/>
    <col min="10" max="10" width="11" style="702" customWidth="1"/>
    <col min="11" max="11" width="8" style="702" customWidth="1"/>
    <col min="12" max="12" width="9" style="702" customWidth="1"/>
    <col min="13" max="13" width="7.28515625" style="702" customWidth="1"/>
    <col min="14" max="14" width="7.85546875" style="702" customWidth="1"/>
    <col min="15" max="15" width="5.28515625" style="702" customWidth="1"/>
    <col min="16" max="16" width="7.85546875" style="702" customWidth="1"/>
    <col min="17" max="17" width="7.42578125" style="702" customWidth="1"/>
    <col min="18" max="18" width="8.140625" style="702" customWidth="1"/>
    <col min="19" max="19" width="9.7109375" style="702" bestFit="1" customWidth="1"/>
    <col min="20" max="16384" width="8.85546875" style="702"/>
  </cols>
  <sheetData>
    <row r="1" spans="1:19" s="700" customFormat="1" ht="17.45" customHeight="1">
      <c r="A1" s="699"/>
      <c r="G1" s="2528" t="s">
        <v>1963</v>
      </c>
      <c r="H1" s="2528"/>
      <c r="I1" s="2528"/>
      <c r="J1" s="709" t="s">
        <v>1455</v>
      </c>
      <c r="K1" s="710"/>
      <c r="L1" s="701"/>
      <c r="M1" s="701"/>
      <c r="R1" s="2519" t="s">
        <v>1574</v>
      </c>
      <c r="S1" s="2519"/>
    </row>
    <row r="2" spans="1:19" ht="15" customHeight="1">
      <c r="C2" s="703"/>
      <c r="R2" s="2520" t="s">
        <v>24</v>
      </c>
      <c r="S2" s="2520"/>
    </row>
    <row r="3" spans="1:19" ht="13.9" customHeight="1">
      <c r="A3" s="2516" t="s">
        <v>481</v>
      </c>
      <c r="B3" s="2521" t="s">
        <v>488</v>
      </c>
      <c r="C3" s="2521" t="s">
        <v>1447</v>
      </c>
      <c r="D3" s="2523" t="s">
        <v>1440</v>
      </c>
      <c r="E3" s="2523"/>
      <c r="F3" s="2523"/>
      <c r="G3" s="2518" t="s">
        <v>1427</v>
      </c>
      <c r="H3" s="2525" t="s">
        <v>1441</v>
      </c>
      <c r="I3" s="2526"/>
      <c r="J3" s="2526"/>
      <c r="K3" s="2526"/>
      <c r="L3" s="2527"/>
      <c r="M3" s="2517" t="s">
        <v>1464</v>
      </c>
      <c r="N3" s="2517" t="s">
        <v>1465</v>
      </c>
      <c r="O3" s="2518" t="s">
        <v>1428</v>
      </c>
      <c r="P3" s="2524" t="s">
        <v>1429</v>
      </c>
      <c r="Q3" s="2518" t="s">
        <v>1430</v>
      </c>
      <c r="R3" s="2518" t="s">
        <v>1431</v>
      </c>
      <c r="S3" s="2518" t="s">
        <v>1432</v>
      </c>
    </row>
    <row r="4" spans="1:19" ht="72.75" customHeight="1">
      <c r="A4" s="2516"/>
      <c r="B4" s="2522"/>
      <c r="C4" s="2522"/>
      <c r="D4" s="1589" t="s">
        <v>1448</v>
      </c>
      <c r="E4" s="1589" t="s">
        <v>1446</v>
      </c>
      <c r="F4" s="1589" t="s">
        <v>1444</v>
      </c>
      <c r="G4" s="2518"/>
      <c r="H4" s="1589" t="s">
        <v>120</v>
      </c>
      <c r="I4" s="1589" t="s">
        <v>1456</v>
      </c>
      <c r="J4" s="1589" t="s">
        <v>1463</v>
      </c>
      <c r="K4" s="1759" t="s">
        <v>1573</v>
      </c>
      <c r="L4" s="1589" t="s">
        <v>1445</v>
      </c>
      <c r="M4" s="2517"/>
      <c r="N4" s="2517"/>
      <c r="O4" s="2518"/>
      <c r="P4" s="2524"/>
      <c r="Q4" s="2518"/>
      <c r="R4" s="2518"/>
      <c r="S4" s="2518"/>
    </row>
    <row r="5" spans="1:19" ht="17.25" customHeight="1">
      <c r="A5" s="2516"/>
      <c r="B5" s="708">
        <v>1</v>
      </c>
      <c r="C5" s="708">
        <v>2</v>
      </c>
      <c r="D5" s="708">
        <v>3</v>
      </c>
      <c r="E5" s="708">
        <v>4</v>
      </c>
      <c r="F5" s="708">
        <v>5</v>
      </c>
      <c r="G5" s="708">
        <v>6</v>
      </c>
      <c r="H5" s="708">
        <v>7</v>
      </c>
      <c r="I5" s="708">
        <v>8</v>
      </c>
      <c r="J5" s="708">
        <v>9</v>
      </c>
      <c r="K5" s="708">
        <v>10</v>
      </c>
      <c r="L5" s="708">
        <v>11</v>
      </c>
      <c r="M5" s="708">
        <v>12</v>
      </c>
      <c r="N5" s="708">
        <v>13</v>
      </c>
      <c r="O5" s="708">
        <v>14</v>
      </c>
      <c r="P5" s="708">
        <v>15</v>
      </c>
      <c r="Q5" s="708">
        <v>16</v>
      </c>
      <c r="R5" s="708">
        <v>17</v>
      </c>
      <c r="S5" s="708">
        <v>18</v>
      </c>
    </row>
    <row r="6" spans="1:19" ht="11.25" customHeight="1">
      <c r="A6" s="1207" t="s">
        <v>1350</v>
      </c>
      <c r="B6" s="1206">
        <v>253510</v>
      </c>
      <c r="C6" s="1206">
        <v>7347.2</v>
      </c>
      <c r="D6" s="1206">
        <v>22375.9</v>
      </c>
      <c r="E6" s="1206">
        <v>9706.7000000000007</v>
      </c>
      <c r="F6" s="1206">
        <v>12669.2</v>
      </c>
      <c r="G6" s="1206">
        <v>5756.5</v>
      </c>
      <c r="H6" s="1206">
        <v>153411.20000000001</v>
      </c>
      <c r="I6" s="1206">
        <v>78799.199999999997</v>
      </c>
      <c r="J6" s="1206">
        <v>3.3</v>
      </c>
      <c r="K6" s="1206">
        <v>0</v>
      </c>
      <c r="L6" s="1206">
        <v>232213.7</v>
      </c>
      <c r="M6" s="1206">
        <v>345.5</v>
      </c>
      <c r="N6" s="1206">
        <v>0</v>
      </c>
      <c r="O6" s="1206">
        <v>0</v>
      </c>
      <c r="P6" s="1206">
        <v>0</v>
      </c>
      <c r="Q6" s="1206">
        <v>0</v>
      </c>
      <c r="R6" s="1206">
        <v>30308.5</v>
      </c>
      <c r="S6" s="1206">
        <v>16415.2</v>
      </c>
    </row>
    <row r="7" spans="1:19" ht="11.25" customHeight="1">
      <c r="A7" s="1274" t="s">
        <v>1466</v>
      </c>
      <c r="B7" s="1275">
        <v>257195.6</v>
      </c>
      <c r="C7" s="1275">
        <v>7031.1</v>
      </c>
      <c r="D7" s="1275">
        <v>32153.4</v>
      </c>
      <c r="E7" s="1275">
        <v>10645.9</v>
      </c>
      <c r="F7" s="1275">
        <v>21507.5</v>
      </c>
      <c r="G7" s="1275">
        <v>5537.7</v>
      </c>
      <c r="H7" s="1275">
        <v>168858.3</v>
      </c>
      <c r="I7" s="1275">
        <v>75787.5</v>
      </c>
      <c r="J7" s="1275">
        <v>13.1</v>
      </c>
      <c r="K7" s="1275">
        <v>0</v>
      </c>
      <c r="L7" s="1275">
        <v>244658.9</v>
      </c>
      <c r="M7" s="1275">
        <v>411.8</v>
      </c>
      <c r="N7" s="1275">
        <v>0</v>
      </c>
      <c r="O7" s="1275">
        <v>0</v>
      </c>
      <c r="P7" s="1275">
        <v>0</v>
      </c>
      <c r="Q7" s="1275">
        <v>0</v>
      </c>
      <c r="R7" s="1275">
        <v>33548.6</v>
      </c>
      <c r="S7" s="1275">
        <v>12652.6</v>
      </c>
    </row>
    <row r="8" spans="1:19" s="863" customFormat="1" ht="11.25" customHeight="1">
      <c r="A8" s="1207" t="s">
        <v>1550</v>
      </c>
      <c r="B8" s="1062">
        <v>286040.90000000002</v>
      </c>
      <c r="C8" s="1062">
        <v>15922.6</v>
      </c>
      <c r="D8" s="1062">
        <v>47201.9</v>
      </c>
      <c r="E8" s="1062">
        <v>14955.8</v>
      </c>
      <c r="F8" s="1062">
        <v>32246.100000000002</v>
      </c>
      <c r="G8" s="1062">
        <v>5752</v>
      </c>
      <c r="H8" s="1062">
        <v>206552.2</v>
      </c>
      <c r="I8" s="1062">
        <v>76360.399999999994</v>
      </c>
      <c r="J8" s="1062">
        <v>28.9</v>
      </c>
      <c r="K8" s="1062">
        <v>0</v>
      </c>
      <c r="L8" s="1062">
        <v>282941.5</v>
      </c>
      <c r="M8" s="1062">
        <v>1272.5</v>
      </c>
      <c r="N8" s="1062">
        <v>0</v>
      </c>
      <c r="O8" s="1062">
        <v>0</v>
      </c>
      <c r="P8" s="1062">
        <v>0</v>
      </c>
      <c r="Q8" s="1062">
        <v>0</v>
      </c>
      <c r="R8" s="1062">
        <v>36493.599999999999</v>
      </c>
      <c r="S8" s="1062">
        <v>19254</v>
      </c>
    </row>
    <row r="9" spans="1:19" s="863" customFormat="1" ht="11.25" customHeight="1">
      <c r="A9" s="861" t="s">
        <v>1606</v>
      </c>
      <c r="B9" s="1061">
        <v>366917.3</v>
      </c>
      <c r="C9" s="1061">
        <v>22091.200000000001</v>
      </c>
      <c r="D9" s="1061">
        <v>33870.800000000003</v>
      </c>
      <c r="E9" s="1061">
        <v>25244.5</v>
      </c>
      <c r="F9" s="1061">
        <v>8626.3000000000029</v>
      </c>
      <c r="G9" s="1061">
        <v>5935.6</v>
      </c>
      <c r="H9" s="1061">
        <v>225322.2</v>
      </c>
      <c r="I9" s="1061">
        <v>121126</v>
      </c>
      <c r="J9" s="1061">
        <v>57.5</v>
      </c>
      <c r="K9" s="1061">
        <v>0</v>
      </c>
      <c r="L9" s="1061">
        <v>346505.7</v>
      </c>
      <c r="M9" s="1061">
        <v>1529.9</v>
      </c>
      <c r="N9" s="1061">
        <v>0</v>
      </c>
      <c r="O9" s="1061">
        <v>0</v>
      </c>
      <c r="P9" s="1061">
        <v>0</v>
      </c>
      <c r="Q9" s="1061">
        <v>0</v>
      </c>
      <c r="R9" s="1061">
        <v>43524.7</v>
      </c>
      <c r="S9" s="1061">
        <v>12010.1</v>
      </c>
    </row>
    <row r="10" spans="1:19" s="863" customFormat="1" ht="11.25" customHeight="1">
      <c r="A10" s="1209" t="s">
        <v>1927</v>
      </c>
      <c r="B10" s="1060">
        <v>347746.8</v>
      </c>
      <c r="C10" s="1060">
        <v>19369.2</v>
      </c>
      <c r="D10" s="1060">
        <v>58719.3</v>
      </c>
      <c r="E10" s="1060">
        <v>13785.7</v>
      </c>
      <c r="F10" s="1060">
        <v>44933.600000000006</v>
      </c>
      <c r="G10" s="1060">
        <v>6093.7</v>
      </c>
      <c r="H10" s="1060">
        <v>254519.5</v>
      </c>
      <c r="I10" s="1060">
        <v>90931.1</v>
      </c>
      <c r="J10" s="1060">
        <v>48.2</v>
      </c>
      <c r="K10" s="1060">
        <v>0</v>
      </c>
      <c r="L10" s="1060">
        <v>345498.8</v>
      </c>
      <c r="M10" s="1060">
        <v>1321.7</v>
      </c>
      <c r="N10" s="1060">
        <v>0</v>
      </c>
      <c r="O10" s="1060">
        <v>0</v>
      </c>
      <c r="P10" s="1060">
        <v>0</v>
      </c>
      <c r="Q10" s="1060">
        <v>0</v>
      </c>
      <c r="R10" s="1060">
        <v>62830.400000000001</v>
      </c>
      <c r="S10" s="1060">
        <v>8492.4</v>
      </c>
    </row>
    <row r="11" spans="1:19" s="863" customFormat="1" ht="11.25" customHeight="1">
      <c r="A11" s="1433" t="s">
        <v>2183</v>
      </c>
      <c r="B11" s="1063">
        <f>B23</f>
        <v>287497.5</v>
      </c>
      <c r="C11" s="1063">
        <f t="shared" ref="C11:S11" si="0">C23</f>
        <v>66711.3</v>
      </c>
      <c r="D11" s="1063">
        <f t="shared" si="0"/>
        <v>156819.70000000001</v>
      </c>
      <c r="E11" s="1063">
        <f t="shared" si="0"/>
        <v>12866.8</v>
      </c>
      <c r="F11" s="1063">
        <f t="shared" si="0"/>
        <v>143952.90000000002</v>
      </c>
      <c r="G11" s="1063">
        <f t="shared" si="0"/>
        <v>6413.1</v>
      </c>
      <c r="H11" s="1063">
        <f t="shared" si="0"/>
        <v>310153.40000000002</v>
      </c>
      <c r="I11" s="1063">
        <f t="shared" si="0"/>
        <v>71488.899999999994</v>
      </c>
      <c r="J11" s="1063">
        <f t="shared" si="0"/>
        <v>148.5</v>
      </c>
      <c r="K11" s="1063">
        <f t="shared" si="0"/>
        <v>0</v>
      </c>
      <c r="L11" s="1063">
        <f t="shared" si="0"/>
        <v>381790.80000000005</v>
      </c>
      <c r="M11" s="1063">
        <f t="shared" si="0"/>
        <v>2173.5</v>
      </c>
      <c r="N11" s="1063">
        <f t="shared" si="0"/>
        <v>0</v>
      </c>
      <c r="O11" s="1063">
        <f t="shared" si="0"/>
        <v>0</v>
      </c>
      <c r="P11" s="1063">
        <f t="shared" si="0"/>
        <v>0</v>
      </c>
      <c r="Q11" s="1063">
        <f t="shared" si="0"/>
        <v>0</v>
      </c>
      <c r="R11" s="1063">
        <f t="shared" si="0"/>
        <v>102034.3</v>
      </c>
      <c r="S11" s="1063">
        <f t="shared" si="0"/>
        <v>18557.599999999999</v>
      </c>
    </row>
    <row r="12" spans="1:19" s="863" customFormat="1" ht="11.25" customHeight="1">
      <c r="A12" s="862" t="s">
        <v>565</v>
      </c>
      <c r="B12" s="1062">
        <v>341807.6</v>
      </c>
      <c r="C12" s="1062">
        <v>29619.200000000001</v>
      </c>
      <c r="D12" s="1062">
        <v>67405.899999999994</v>
      </c>
      <c r="E12" s="1062">
        <v>23212.3</v>
      </c>
      <c r="F12" s="1062">
        <f t="shared" ref="F12:F45" si="1">D12-E12</f>
        <v>44193.599999999991</v>
      </c>
      <c r="G12" s="1062">
        <v>6067.6</v>
      </c>
      <c r="H12" s="1062">
        <v>262931.09999999998</v>
      </c>
      <c r="I12" s="1062">
        <v>80205.899999999994</v>
      </c>
      <c r="J12" s="1062">
        <v>121.6</v>
      </c>
      <c r="K12" s="1062">
        <v>0</v>
      </c>
      <c r="L12" s="1062">
        <f t="shared" ref="L12:L21" si="2">H12+I12+J12+K12</f>
        <v>343258.6</v>
      </c>
      <c r="M12" s="1062">
        <v>1946.2</v>
      </c>
      <c r="N12" s="1062">
        <v>0</v>
      </c>
      <c r="O12" s="1062">
        <v>0</v>
      </c>
      <c r="P12" s="1062">
        <v>0</v>
      </c>
      <c r="Q12" s="1062">
        <v>0</v>
      </c>
      <c r="R12" s="1062">
        <v>67892.5</v>
      </c>
      <c r="S12" s="1062">
        <v>8590.7000000000007</v>
      </c>
    </row>
    <row r="13" spans="1:19" s="863" customFormat="1" ht="11.25" customHeight="1">
      <c r="A13" s="861" t="s">
        <v>566</v>
      </c>
      <c r="B13" s="1061">
        <v>323766.59999999998</v>
      </c>
      <c r="C13" s="1061">
        <v>33219</v>
      </c>
      <c r="D13" s="1061">
        <v>69696.600000000006</v>
      </c>
      <c r="E13" s="1061">
        <v>16551.900000000001</v>
      </c>
      <c r="F13" s="1061">
        <f t="shared" si="1"/>
        <v>53144.700000000004</v>
      </c>
      <c r="G13" s="1061">
        <v>6082.3</v>
      </c>
      <c r="H13" s="1061">
        <v>261231</v>
      </c>
      <c r="I13" s="1061">
        <v>78318.7</v>
      </c>
      <c r="J13" s="1061">
        <v>104.8</v>
      </c>
      <c r="K13" s="1061">
        <v>0</v>
      </c>
      <c r="L13" s="1061">
        <f t="shared" si="2"/>
        <v>339654.5</v>
      </c>
      <c r="M13" s="1061">
        <v>1597.2</v>
      </c>
      <c r="N13" s="1061">
        <v>0</v>
      </c>
      <c r="O13" s="1061">
        <v>0</v>
      </c>
      <c r="P13" s="1061">
        <v>0</v>
      </c>
      <c r="Q13" s="1061">
        <v>0</v>
      </c>
      <c r="R13" s="1061">
        <v>67820.600000000006</v>
      </c>
      <c r="S13" s="1061">
        <v>7140.3</v>
      </c>
    </row>
    <row r="14" spans="1:19" s="863" customFormat="1" ht="11.25" customHeight="1">
      <c r="A14" s="862" t="s">
        <v>560</v>
      </c>
      <c r="B14" s="1062">
        <v>319038.2</v>
      </c>
      <c r="C14" s="1062">
        <v>30920.1</v>
      </c>
      <c r="D14" s="1062">
        <v>75773.600000000006</v>
      </c>
      <c r="E14" s="1062">
        <v>12718.9</v>
      </c>
      <c r="F14" s="1062">
        <f t="shared" si="1"/>
        <v>63054.700000000004</v>
      </c>
      <c r="G14" s="1062">
        <v>6098.4</v>
      </c>
      <c r="H14" s="1062">
        <v>259946.1</v>
      </c>
      <c r="I14" s="1062">
        <v>78316.100000000006</v>
      </c>
      <c r="J14" s="1062">
        <v>127.6</v>
      </c>
      <c r="K14" s="1062">
        <v>0</v>
      </c>
      <c r="L14" s="1062">
        <f t="shared" si="2"/>
        <v>338389.8</v>
      </c>
      <c r="M14" s="1062">
        <v>1770.2</v>
      </c>
      <c r="N14" s="1062">
        <v>0</v>
      </c>
      <c r="O14" s="1062">
        <v>0</v>
      </c>
      <c r="P14" s="1062">
        <v>0</v>
      </c>
      <c r="Q14" s="1062">
        <v>0</v>
      </c>
      <c r="R14" s="1062">
        <v>68004.800000000003</v>
      </c>
      <c r="S14" s="1062">
        <v>10946.6</v>
      </c>
    </row>
    <row r="15" spans="1:19" s="863" customFormat="1" ht="11.25" customHeight="1">
      <c r="A15" s="861" t="s">
        <v>567</v>
      </c>
      <c r="B15" s="1061">
        <v>309741.7</v>
      </c>
      <c r="C15" s="1061">
        <v>27583.599999999999</v>
      </c>
      <c r="D15" s="1061">
        <v>86383</v>
      </c>
      <c r="E15" s="1061">
        <v>11896.1</v>
      </c>
      <c r="F15" s="1061">
        <f t="shared" si="1"/>
        <v>74486.899999999994</v>
      </c>
      <c r="G15" s="1061">
        <v>6128.4</v>
      </c>
      <c r="H15" s="1061">
        <v>256374.7</v>
      </c>
      <c r="I15" s="1061">
        <v>77266.899999999994</v>
      </c>
      <c r="J15" s="1061">
        <v>136.5</v>
      </c>
      <c r="K15" s="1061">
        <v>0</v>
      </c>
      <c r="L15" s="1061">
        <f t="shared" si="2"/>
        <v>333778.09999999998</v>
      </c>
      <c r="M15" s="1061">
        <v>1872.7</v>
      </c>
      <c r="N15" s="1061">
        <v>0</v>
      </c>
      <c r="O15" s="1061">
        <v>0</v>
      </c>
      <c r="P15" s="1061">
        <v>0</v>
      </c>
      <c r="Q15" s="1061">
        <v>0</v>
      </c>
      <c r="R15" s="1061">
        <v>72132.5</v>
      </c>
      <c r="S15" s="1061">
        <v>10157.299999999999</v>
      </c>
    </row>
    <row r="16" spans="1:19" s="863" customFormat="1" ht="11.25" customHeight="1">
      <c r="A16" s="862" t="s">
        <v>568</v>
      </c>
      <c r="B16" s="1062">
        <v>300467.3</v>
      </c>
      <c r="C16" s="1062">
        <v>40434.300000000003</v>
      </c>
      <c r="D16" s="1062">
        <v>91010</v>
      </c>
      <c r="E16" s="1062">
        <v>8362</v>
      </c>
      <c r="F16" s="1062">
        <f t="shared" si="1"/>
        <v>82648</v>
      </c>
      <c r="G16" s="1062">
        <v>6152.1</v>
      </c>
      <c r="H16" s="1062">
        <v>272891.59999999998</v>
      </c>
      <c r="I16" s="1062">
        <v>71651.600000000006</v>
      </c>
      <c r="J16" s="1062">
        <v>114.7</v>
      </c>
      <c r="K16" s="1062">
        <v>0</v>
      </c>
      <c r="L16" s="1062">
        <f t="shared" si="2"/>
        <v>344657.89999999997</v>
      </c>
      <c r="M16" s="1062">
        <v>1517.4</v>
      </c>
      <c r="N16" s="1062">
        <v>0</v>
      </c>
      <c r="O16" s="1062">
        <v>0</v>
      </c>
      <c r="P16" s="1062">
        <v>0</v>
      </c>
      <c r="Q16" s="1062">
        <v>0</v>
      </c>
      <c r="R16" s="1062">
        <v>77967.5</v>
      </c>
      <c r="S16" s="1062">
        <v>5558.9</v>
      </c>
    </row>
    <row r="17" spans="1:19" s="863" customFormat="1" ht="11.25" customHeight="1">
      <c r="A17" s="861" t="s">
        <v>561</v>
      </c>
      <c r="B17" s="1061">
        <v>297498.09999999998</v>
      </c>
      <c r="C17" s="1061">
        <v>70326.399999999994</v>
      </c>
      <c r="D17" s="1061">
        <v>104438.3</v>
      </c>
      <c r="E17" s="1061">
        <v>8240.7999999999993</v>
      </c>
      <c r="F17" s="1061">
        <f t="shared" si="1"/>
        <v>96197.5</v>
      </c>
      <c r="G17" s="1061">
        <v>6203</v>
      </c>
      <c r="H17" s="1061">
        <v>290646.3</v>
      </c>
      <c r="I17" s="1061">
        <v>87532.9</v>
      </c>
      <c r="J17" s="1061">
        <v>115.3</v>
      </c>
      <c r="K17" s="1061">
        <v>0</v>
      </c>
      <c r="L17" s="1061">
        <f t="shared" si="2"/>
        <v>378294.49999999994</v>
      </c>
      <c r="M17" s="1061">
        <v>1640.2</v>
      </c>
      <c r="N17" s="1061">
        <v>0</v>
      </c>
      <c r="O17" s="1061">
        <v>0</v>
      </c>
      <c r="P17" s="1061">
        <v>0</v>
      </c>
      <c r="Q17" s="1061">
        <v>0</v>
      </c>
      <c r="R17" s="1061">
        <v>84157.9</v>
      </c>
      <c r="S17" s="1061">
        <v>6132.4</v>
      </c>
    </row>
    <row r="18" spans="1:19" s="863" customFormat="1" ht="11.25" customHeight="1">
      <c r="A18" s="862" t="s">
        <v>569</v>
      </c>
      <c r="B18" s="1062">
        <v>290993.2</v>
      </c>
      <c r="C18" s="1062">
        <v>53575</v>
      </c>
      <c r="D18" s="1062">
        <v>107240.6</v>
      </c>
      <c r="E18" s="1062">
        <v>9000.4</v>
      </c>
      <c r="F18" s="1062">
        <f t="shared" si="1"/>
        <v>98240.200000000012</v>
      </c>
      <c r="G18" s="1062">
        <v>6210.4</v>
      </c>
      <c r="H18" s="1062">
        <v>285416.2</v>
      </c>
      <c r="I18" s="1062">
        <v>65463.4</v>
      </c>
      <c r="J18" s="1062">
        <v>183.6</v>
      </c>
      <c r="K18" s="1062">
        <v>0</v>
      </c>
      <c r="L18" s="1062">
        <f t="shared" si="2"/>
        <v>351063.2</v>
      </c>
      <c r="M18" s="1062">
        <v>1311.3</v>
      </c>
      <c r="N18" s="1062">
        <v>0</v>
      </c>
      <c r="O18" s="1062">
        <v>0</v>
      </c>
      <c r="P18" s="1062">
        <v>0</v>
      </c>
      <c r="Q18" s="1062">
        <v>0</v>
      </c>
      <c r="R18" s="1062">
        <v>90665.1</v>
      </c>
      <c r="S18" s="1062">
        <v>5979.2</v>
      </c>
    </row>
    <row r="19" spans="1:19" s="863" customFormat="1" ht="11.25" customHeight="1">
      <c r="A19" s="861" t="s">
        <v>570</v>
      </c>
      <c r="B19" s="1061">
        <v>285064.40000000002</v>
      </c>
      <c r="C19" s="1061">
        <v>60596.3</v>
      </c>
      <c r="D19" s="1061">
        <v>114387.9</v>
      </c>
      <c r="E19" s="1061">
        <v>15179.8</v>
      </c>
      <c r="F19" s="1061">
        <f t="shared" si="1"/>
        <v>99208.099999999991</v>
      </c>
      <c r="G19" s="1061">
        <v>6240.5</v>
      </c>
      <c r="H19" s="1061">
        <v>280759.2</v>
      </c>
      <c r="I19" s="1061">
        <v>67766.100000000006</v>
      </c>
      <c r="J19" s="1061">
        <v>86</v>
      </c>
      <c r="K19" s="1061">
        <v>0</v>
      </c>
      <c r="L19" s="1061">
        <f t="shared" si="2"/>
        <v>348611.30000000005</v>
      </c>
      <c r="M19" s="1061">
        <v>1988.4</v>
      </c>
      <c r="N19" s="1061">
        <v>0</v>
      </c>
      <c r="O19" s="1061">
        <v>0</v>
      </c>
      <c r="P19" s="1061">
        <v>0</v>
      </c>
      <c r="Q19" s="1061">
        <v>0</v>
      </c>
      <c r="R19" s="1061">
        <v>92048.9</v>
      </c>
      <c r="S19" s="1061">
        <v>8460.7000000000007</v>
      </c>
    </row>
    <row r="20" spans="1:19" s="863" customFormat="1" ht="11.25" customHeight="1">
      <c r="A20" s="862" t="s">
        <v>562</v>
      </c>
      <c r="B20" s="1062">
        <v>280533</v>
      </c>
      <c r="C20" s="1062">
        <v>62689.1</v>
      </c>
      <c r="D20" s="1062">
        <v>117157.2</v>
      </c>
      <c r="E20" s="1062">
        <v>14875.5</v>
      </c>
      <c r="F20" s="1062">
        <f t="shared" si="1"/>
        <v>102281.7</v>
      </c>
      <c r="G20" s="1062">
        <v>6268.7</v>
      </c>
      <c r="H20" s="1062">
        <v>277214.3</v>
      </c>
      <c r="I20" s="1062">
        <v>66530.7</v>
      </c>
      <c r="J20" s="1062">
        <v>109.8</v>
      </c>
      <c r="K20" s="1062">
        <v>0</v>
      </c>
      <c r="L20" s="1062">
        <f t="shared" si="2"/>
        <v>343854.8</v>
      </c>
      <c r="M20" s="1062">
        <v>1638.3</v>
      </c>
      <c r="N20" s="1062">
        <v>0</v>
      </c>
      <c r="O20" s="1062">
        <v>0</v>
      </c>
      <c r="P20" s="1062">
        <v>0</v>
      </c>
      <c r="Q20" s="1062">
        <v>0</v>
      </c>
      <c r="R20" s="1062">
        <v>98818.3</v>
      </c>
      <c r="S20" s="1062">
        <v>7461.1</v>
      </c>
    </row>
    <row r="21" spans="1:19" s="863" customFormat="1" ht="11.25" customHeight="1">
      <c r="A21" s="861" t="s">
        <v>571</v>
      </c>
      <c r="B21" s="1061">
        <v>275846</v>
      </c>
      <c r="C21" s="1061">
        <v>60203</v>
      </c>
      <c r="D21" s="1061">
        <v>135283.20000000001</v>
      </c>
      <c r="E21" s="1061">
        <v>9256.9</v>
      </c>
      <c r="F21" s="1061">
        <f t="shared" si="1"/>
        <v>126026.30000000002</v>
      </c>
      <c r="G21" s="1061">
        <v>6303.3</v>
      </c>
      <c r="H21" s="1061">
        <v>289874.7</v>
      </c>
      <c r="I21" s="1061">
        <v>65838.600000000006</v>
      </c>
      <c r="J21" s="1061">
        <v>125.4</v>
      </c>
      <c r="K21" s="1061">
        <v>0</v>
      </c>
      <c r="L21" s="1061">
        <f t="shared" si="2"/>
        <v>355838.70000000007</v>
      </c>
      <c r="M21" s="1061">
        <v>2741.5</v>
      </c>
      <c r="N21" s="1061">
        <v>0</v>
      </c>
      <c r="O21" s="1061">
        <v>0</v>
      </c>
      <c r="P21" s="1061">
        <v>0</v>
      </c>
      <c r="Q21" s="1061">
        <v>0</v>
      </c>
      <c r="R21" s="1061">
        <v>103317.8</v>
      </c>
      <c r="S21" s="1061">
        <v>6480.6</v>
      </c>
    </row>
    <row r="22" spans="1:19" s="863" customFormat="1" ht="11.25" customHeight="1">
      <c r="A22" s="862" t="s">
        <v>572</v>
      </c>
      <c r="B22" s="1062">
        <v>275078.7</v>
      </c>
      <c r="C22" s="1062">
        <v>60715.5</v>
      </c>
      <c r="D22" s="1062">
        <v>132652.20000000001</v>
      </c>
      <c r="E22" s="1062">
        <v>13179.2</v>
      </c>
      <c r="F22" s="1062">
        <f t="shared" si="1"/>
        <v>119473.00000000001</v>
      </c>
      <c r="G22" s="1062">
        <v>6324.8</v>
      </c>
      <c r="H22" s="1062">
        <v>278217.09999999998</v>
      </c>
      <c r="I22" s="1062">
        <v>68169.2</v>
      </c>
      <c r="J22" s="1062">
        <v>98</v>
      </c>
      <c r="K22" s="1062">
        <v>0</v>
      </c>
      <c r="L22" s="1062">
        <f>H22+I22+J22+K22</f>
        <v>346484.3</v>
      </c>
      <c r="M22" s="1062">
        <v>2466.5</v>
      </c>
      <c r="N22" s="1062">
        <v>0</v>
      </c>
      <c r="O22" s="1062">
        <v>0</v>
      </c>
      <c r="P22" s="1062">
        <v>0</v>
      </c>
      <c r="Q22" s="1062">
        <v>0</v>
      </c>
      <c r="R22" s="1062">
        <v>106997.7</v>
      </c>
      <c r="S22" s="1062">
        <v>5643.5</v>
      </c>
    </row>
    <row r="23" spans="1:19" s="863" customFormat="1" ht="11.25" customHeight="1">
      <c r="A23" s="861" t="s">
        <v>563</v>
      </c>
      <c r="B23" s="1061">
        <v>287497.5</v>
      </c>
      <c r="C23" s="1061">
        <v>66711.3</v>
      </c>
      <c r="D23" s="1061">
        <v>156819.70000000001</v>
      </c>
      <c r="E23" s="1061">
        <v>12866.8</v>
      </c>
      <c r="F23" s="1061">
        <f t="shared" si="1"/>
        <v>143952.90000000002</v>
      </c>
      <c r="G23" s="1061">
        <v>6413.1</v>
      </c>
      <c r="H23" s="1061">
        <v>310153.40000000002</v>
      </c>
      <c r="I23" s="1061">
        <v>71488.899999999994</v>
      </c>
      <c r="J23" s="1061">
        <v>148.5</v>
      </c>
      <c r="K23" s="1061">
        <v>0</v>
      </c>
      <c r="L23" s="1061">
        <f>H23+I23+J23+K23</f>
        <v>381790.80000000005</v>
      </c>
      <c r="M23" s="1061">
        <v>2173.5</v>
      </c>
      <c r="N23" s="1061">
        <v>0</v>
      </c>
      <c r="O23" s="1061">
        <v>0</v>
      </c>
      <c r="P23" s="1061">
        <v>0</v>
      </c>
      <c r="Q23" s="1061">
        <v>0</v>
      </c>
      <c r="R23" s="1061">
        <v>102034.3</v>
      </c>
      <c r="S23" s="1061">
        <v>18557.599999999999</v>
      </c>
    </row>
    <row r="24" spans="1:19" s="863" customFormat="1" ht="15" customHeight="1">
      <c r="A24" s="1758" t="s">
        <v>2353</v>
      </c>
      <c r="B24" s="1060">
        <f>B36</f>
        <v>245780.7</v>
      </c>
      <c r="C24" s="1060">
        <f t="shared" ref="C24:S24" si="3">C36</f>
        <v>176941.7</v>
      </c>
      <c r="D24" s="1060">
        <f t="shared" si="3"/>
        <v>144599.29999999999</v>
      </c>
      <c r="E24" s="1060">
        <f t="shared" si="3"/>
        <v>10034.1</v>
      </c>
      <c r="F24" s="1060">
        <f t="shared" si="3"/>
        <v>134565.19999999998</v>
      </c>
      <c r="G24" s="1060">
        <f t="shared" si="3"/>
        <v>6717.3</v>
      </c>
      <c r="H24" s="1060">
        <f t="shared" si="3"/>
        <v>318403</v>
      </c>
      <c r="I24" s="1060">
        <f t="shared" si="3"/>
        <v>93283.3</v>
      </c>
      <c r="J24" s="1060">
        <f t="shared" si="3"/>
        <v>54.8</v>
      </c>
      <c r="K24" s="1060">
        <f t="shared" si="3"/>
        <v>0</v>
      </c>
      <c r="L24" s="1060">
        <f t="shared" si="3"/>
        <v>411741.1</v>
      </c>
      <c r="M24" s="1060">
        <f t="shared" si="3"/>
        <v>2090.1999999999998</v>
      </c>
      <c r="N24" s="1060">
        <f t="shared" si="3"/>
        <v>0</v>
      </c>
      <c r="O24" s="1060">
        <f t="shared" si="3"/>
        <v>0</v>
      </c>
      <c r="P24" s="1060">
        <f t="shared" si="3"/>
        <v>0</v>
      </c>
      <c r="Q24" s="1060">
        <f t="shared" si="3"/>
        <v>0</v>
      </c>
      <c r="R24" s="1060">
        <f t="shared" si="3"/>
        <v>122311.9</v>
      </c>
      <c r="S24" s="1060">
        <f t="shared" si="3"/>
        <v>27861.599999999999</v>
      </c>
    </row>
    <row r="25" spans="1:19" s="863" customFormat="1" ht="11.25" customHeight="1">
      <c r="A25" s="861" t="s">
        <v>565</v>
      </c>
      <c r="B25" s="1061">
        <v>284092.3</v>
      </c>
      <c r="C25" s="1061">
        <v>68543.199999999997</v>
      </c>
      <c r="D25" s="1061">
        <v>147168.79999999999</v>
      </c>
      <c r="E25" s="1061">
        <v>13015.6</v>
      </c>
      <c r="F25" s="1061">
        <f t="shared" si="1"/>
        <v>134153.19999999998</v>
      </c>
      <c r="G25" s="1061">
        <v>6371.7</v>
      </c>
      <c r="H25" s="1061">
        <v>290730.8</v>
      </c>
      <c r="I25" s="1061">
        <v>72729.8</v>
      </c>
      <c r="J25" s="1061">
        <v>395.8</v>
      </c>
      <c r="K25" s="1061">
        <v>0</v>
      </c>
      <c r="L25" s="1061">
        <f t="shared" ref="L25:L45" si="4">H25+I25+J25+K25</f>
        <v>363856.39999999997</v>
      </c>
      <c r="M25" s="1061">
        <v>1995.5</v>
      </c>
      <c r="N25" s="1061">
        <v>0</v>
      </c>
      <c r="O25" s="1061">
        <v>0</v>
      </c>
      <c r="P25" s="1061">
        <v>0</v>
      </c>
      <c r="Q25" s="1061">
        <v>0</v>
      </c>
      <c r="R25" s="1061">
        <v>112124.2</v>
      </c>
      <c r="S25" s="1061">
        <v>15184.3</v>
      </c>
    </row>
    <row r="26" spans="1:19" s="863" customFormat="1" ht="11.25" customHeight="1">
      <c r="A26" s="862" t="s">
        <v>566</v>
      </c>
      <c r="B26" s="1062">
        <v>272944.3</v>
      </c>
      <c r="C26" s="1062">
        <v>67766.7</v>
      </c>
      <c r="D26" s="1062">
        <v>145873.4</v>
      </c>
      <c r="E26" s="1062">
        <v>23547.7</v>
      </c>
      <c r="F26" s="1062">
        <f t="shared" si="1"/>
        <v>122325.7</v>
      </c>
      <c r="G26" s="1062">
        <v>6371.6</v>
      </c>
      <c r="H26" s="1062">
        <v>280673.90000000002</v>
      </c>
      <c r="I26" s="1062">
        <v>68362.7</v>
      </c>
      <c r="J26" s="1062">
        <v>358.9</v>
      </c>
      <c r="K26" s="1062">
        <v>0</v>
      </c>
      <c r="L26" s="1062">
        <f t="shared" si="4"/>
        <v>349395.50000000006</v>
      </c>
      <c r="M26" s="1062">
        <v>1387.8</v>
      </c>
      <c r="N26" s="1062">
        <v>0</v>
      </c>
      <c r="O26" s="1062">
        <v>0</v>
      </c>
      <c r="P26" s="1062">
        <v>0</v>
      </c>
      <c r="Q26" s="1062">
        <v>0</v>
      </c>
      <c r="R26" s="1062">
        <v>114177.60000000001</v>
      </c>
      <c r="S26" s="1062">
        <v>4447.3999999999996</v>
      </c>
    </row>
    <row r="27" spans="1:19" s="863" customFormat="1" ht="11.25" customHeight="1">
      <c r="A27" s="861" t="s">
        <v>560</v>
      </c>
      <c r="B27" s="1061">
        <v>258981.4</v>
      </c>
      <c r="C27" s="1061">
        <v>80732.399999999994</v>
      </c>
      <c r="D27" s="1061">
        <v>137889.4</v>
      </c>
      <c r="E27" s="1061">
        <v>22906.1</v>
      </c>
      <c r="F27" s="1061">
        <f t="shared" si="1"/>
        <v>114983.29999999999</v>
      </c>
      <c r="G27" s="1061">
        <v>6370.6</v>
      </c>
      <c r="H27" s="1061">
        <v>275491.90000000002</v>
      </c>
      <c r="I27" s="1061">
        <v>66906</v>
      </c>
      <c r="J27" s="1061">
        <v>15.1</v>
      </c>
      <c r="K27" s="1061">
        <v>0</v>
      </c>
      <c r="L27" s="1061">
        <f t="shared" si="4"/>
        <v>342413</v>
      </c>
      <c r="M27" s="1061">
        <v>2256.3000000000002</v>
      </c>
      <c r="N27" s="1061">
        <v>0</v>
      </c>
      <c r="O27" s="1061">
        <v>0</v>
      </c>
      <c r="P27" s="1061">
        <v>0</v>
      </c>
      <c r="Q27" s="1061">
        <v>0</v>
      </c>
      <c r="R27" s="1061">
        <v>115288.2</v>
      </c>
      <c r="S27" s="1061">
        <v>1110.2</v>
      </c>
    </row>
    <row r="28" spans="1:19" s="863" customFormat="1" ht="11.25" customHeight="1">
      <c r="A28" s="862" t="s">
        <v>567</v>
      </c>
      <c r="B28" s="1062">
        <v>248079.8</v>
      </c>
      <c r="C28" s="1062">
        <v>91983.4</v>
      </c>
      <c r="D28" s="1062">
        <v>126729</v>
      </c>
      <c r="E28" s="1062">
        <v>14717.7</v>
      </c>
      <c r="F28" s="1062">
        <f t="shared" si="1"/>
        <v>112011.3</v>
      </c>
      <c r="G28" s="1062">
        <v>6395</v>
      </c>
      <c r="H28" s="1062">
        <v>271207.09999999998</v>
      </c>
      <c r="I28" s="1062">
        <v>66886.5</v>
      </c>
      <c r="J28" s="1062">
        <v>34.700000000000003</v>
      </c>
      <c r="K28" s="1062">
        <v>0</v>
      </c>
      <c r="L28" s="1062">
        <f t="shared" si="4"/>
        <v>338128.3</v>
      </c>
      <c r="M28" s="1062">
        <v>2202.8000000000002</v>
      </c>
      <c r="N28" s="1062">
        <v>0</v>
      </c>
      <c r="O28" s="1062">
        <v>0</v>
      </c>
      <c r="P28" s="1062">
        <v>0</v>
      </c>
      <c r="Q28" s="1062">
        <v>0</v>
      </c>
      <c r="R28" s="1062">
        <v>118015.5</v>
      </c>
      <c r="S28" s="1062">
        <v>122.9</v>
      </c>
    </row>
    <row r="29" spans="1:19" s="863" customFormat="1" ht="11.25" customHeight="1">
      <c r="A29" s="861" t="s">
        <v>568</v>
      </c>
      <c r="B29" s="1061">
        <v>235600.5</v>
      </c>
      <c r="C29" s="1061">
        <v>101294.1</v>
      </c>
      <c r="D29" s="1061">
        <v>131598.9</v>
      </c>
      <c r="E29" s="1061">
        <v>14762.6</v>
      </c>
      <c r="F29" s="1061">
        <f t="shared" si="1"/>
        <v>116836.29999999999</v>
      </c>
      <c r="G29" s="1061">
        <v>6435.5</v>
      </c>
      <c r="H29" s="1061">
        <v>272673.3</v>
      </c>
      <c r="I29" s="1061">
        <v>65830.3</v>
      </c>
      <c r="J29" s="1061">
        <v>28.7</v>
      </c>
      <c r="K29" s="1061">
        <v>0</v>
      </c>
      <c r="L29" s="1061">
        <f t="shared" si="4"/>
        <v>338532.3</v>
      </c>
      <c r="M29" s="1061">
        <v>1532.6</v>
      </c>
      <c r="N29" s="1061">
        <v>0</v>
      </c>
      <c r="O29" s="1061">
        <v>0</v>
      </c>
      <c r="P29" s="1061">
        <v>0</v>
      </c>
      <c r="Q29" s="1061">
        <v>0</v>
      </c>
      <c r="R29" s="1061">
        <v>121389.2</v>
      </c>
      <c r="S29" s="1061">
        <v>-1287.7</v>
      </c>
    </row>
    <row r="30" spans="1:19" s="863" customFormat="1" ht="11.25" customHeight="1">
      <c r="A30" s="862" t="s">
        <v>561</v>
      </c>
      <c r="B30" s="1062">
        <v>248198.9</v>
      </c>
      <c r="C30" s="1062">
        <v>130735.4</v>
      </c>
      <c r="D30" s="1062">
        <v>125678.39999999999</v>
      </c>
      <c r="E30" s="1062">
        <v>15718.1</v>
      </c>
      <c r="F30" s="1062">
        <f t="shared" si="1"/>
        <v>109960.29999999999</v>
      </c>
      <c r="G30" s="1062">
        <v>6525.5</v>
      </c>
      <c r="H30" s="1062">
        <v>277805.09999999998</v>
      </c>
      <c r="I30" s="1062">
        <v>92627.8</v>
      </c>
      <c r="J30" s="1062">
        <v>37.5</v>
      </c>
      <c r="K30" s="1062">
        <v>0</v>
      </c>
      <c r="L30" s="1062">
        <f t="shared" si="4"/>
        <v>370470.39999999997</v>
      </c>
      <c r="M30" s="1062">
        <v>2687</v>
      </c>
      <c r="N30" s="1062">
        <v>0</v>
      </c>
      <c r="O30" s="1062">
        <v>0</v>
      </c>
      <c r="P30" s="1062">
        <v>0</v>
      </c>
      <c r="Q30" s="1062">
        <v>0</v>
      </c>
      <c r="R30" s="1062">
        <v>123799.8</v>
      </c>
      <c r="S30" s="1062">
        <v>-1537.1</v>
      </c>
    </row>
    <row r="31" spans="1:19" s="863" customFormat="1" ht="11.25" customHeight="1">
      <c r="A31" s="861" t="s">
        <v>569</v>
      </c>
      <c r="B31" s="1061">
        <v>232550.2</v>
      </c>
      <c r="C31" s="1061">
        <v>115609.7</v>
      </c>
      <c r="D31" s="1061">
        <v>124560.7</v>
      </c>
      <c r="E31" s="1061">
        <v>14978.4</v>
      </c>
      <c r="F31" s="1061">
        <f t="shared" si="1"/>
        <v>109582.3</v>
      </c>
      <c r="G31" s="1061">
        <v>6512.3</v>
      </c>
      <c r="H31" s="1061">
        <v>280636.5</v>
      </c>
      <c r="I31" s="1061">
        <v>64843.3</v>
      </c>
      <c r="J31" s="1061">
        <v>32.299999999999997</v>
      </c>
      <c r="K31" s="1061">
        <v>0</v>
      </c>
      <c r="L31" s="1061">
        <f t="shared" si="4"/>
        <v>345512.1</v>
      </c>
      <c r="M31" s="1061">
        <v>1917.2</v>
      </c>
      <c r="N31" s="1061">
        <v>0</v>
      </c>
      <c r="O31" s="1061">
        <v>0</v>
      </c>
      <c r="P31" s="1061">
        <v>0</v>
      </c>
      <c r="Q31" s="1061">
        <v>0</v>
      </c>
      <c r="R31" s="1061">
        <v>123916.9</v>
      </c>
      <c r="S31" s="1061">
        <v>-7091.7</v>
      </c>
    </row>
    <row r="32" spans="1:19" s="863" customFormat="1" ht="11.25" customHeight="1">
      <c r="A32" s="862" t="s">
        <v>570</v>
      </c>
      <c r="B32" s="1062">
        <v>229743.6</v>
      </c>
      <c r="C32" s="1062">
        <v>123690.4</v>
      </c>
      <c r="D32" s="1062">
        <v>122255.6</v>
      </c>
      <c r="E32" s="1062">
        <v>10202.700000000001</v>
      </c>
      <c r="F32" s="1062">
        <f t="shared" si="1"/>
        <v>112052.90000000001</v>
      </c>
      <c r="G32" s="1062">
        <v>6531</v>
      </c>
      <c r="H32" s="1062">
        <v>282559.59999999998</v>
      </c>
      <c r="I32" s="1062">
        <v>68393.2</v>
      </c>
      <c r="J32" s="1062">
        <v>44.2</v>
      </c>
      <c r="K32" s="1062">
        <v>0</v>
      </c>
      <c r="L32" s="1062">
        <f t="shared" si="4"/>
        <v>350997</v>
      </c>
      <c r="M32" s="1062">
        <v>1399.8</v>
      </c>
      <c r="N32" s="1062">
        <v>0</v>
      </c>
      <c r="O32" s="1062">
        <v>0</v>
      </c>
      <c r="P32" s="1062">
        <v>0</v>
      </c>
      <c r="Q32" s="1062">
        <v>0</v>
      </c>
      <c r="R32" s="1062">
        <v>125036.3</v>
      </c>
      <c r="S32" s="1062">
        <v>-5415.2</v>
      </c>
    </row>
    <row r="33" spans="1:21" s="863" customFormat="1" ht="11.25" customHeight="1">
      <c r="A33" s="861" t="s">
        <v>562</v>
      </c>
      <c r="B33" s="1061">
        <v>226890.9</v>
      </c>
      <c r="C33" s="1061">
        <v>125740.9</v>
      </c>
      <c r="D33" s="1061">
        <v>126602.8</v>
      </c>
      <c r="E33" s="1061">
        <v>10033</v>
      </c>
      <c r="F33" s="1061">
        <f t="shared" si="1"/>
        <v>116569.8</v>
      </c>
      <c r="G33" s="1061">
        <v>6556.8</v>
      </c>
      <c r="H33" s="1061">
        <v>289310.8</v>
      </c>
      <c r="I33" s="1061">
        <v>65551.399999999994</v>
      </c>
      <c r="J33" s="1061">
        <v>48.5</v>
      </c>
      <c r="K33" s="1061">
        <v>0</v>
      </c>
      <c r="L33" s="1061">
        <f t="shared" si="4"/>
        <v>354910.69999999995</v>
      </c>
      <c r="M33" s="1061">
        <v>1577.3</v>
      </c>
      <c r="N33" s="1061">
        <v>0</v>
      </c>
      <c r="O33" s="1061">
        <v>0</v>
      </c>
      <c r="P33" s="1061">
        <v>0</v>
      </c>
      <c r="Q33" s="1061">
        <v>0</v>
      </c>
      <c r="R33" s="1061">
        <v>127482.7</v>
      </c>
      <c r="S33" s="1061">
        <v>-8212.2999999999993</v>
      </c>
    </row>
    <row r="34" spans="1:21" s="863" customFormat="1" ht="11.25" customHeight="1">
      <c r="A34" s="862" t="s">
        <v>571</v>
      </c>
      <c r="B34" s="1062">
        <v>219734.5</v>
      </c>
      <c r="C34" s="1062">
        <v>123333.5</v>
      </c>
      <c r="D34" s="1062">
        <v>136106.4</v>
      </c>
      <c r="E34" s="1062">
        <v>9534.6</v>
      </c>
      <c r="F34" s="1062">
        <f t="shared" si="1"/>
        <v>126571.79999999999</v>
      </c>
      <c r="G34" s="1062">
        <v>6583.6</v>
      </c>
      <c r="H34" s="1062">
        <v>288919.09999999998</v>
      </c>
      <c r="I34" s="1062">
        <v>65855.199999999997</v>
      </c>
      <c r="J34" s="1062">
        <v>45.6</v>
      </c>
      <c r="K34" s="1062">
        <v>0</v>
      </c>
      <c r="L34" s="1062">
        <f t="shared" si="4"/>
        <v>354819.89999999997</v>
      </c>
      <c r="M34" s="1062">
        <v>1573.7</v>
      </c>
      <c r="N34" s="1062">
        <v>0</v>
      </c>
      <c r="O34" s="1062">
        <v>0</v>
      </c>
      <c r="P34" s="1062">
        <v>0</v>
      </c>
      <c r="Q34" s="1062">
        <v>0</v>
      </c>
      <c r="R34" s="1062">
        <v>129342.6</v>
      </c>
      <c r="S34" s="1062">
        <v>-9512.7999999999993</v>
      </c>
    </row>
    <row r="35" spans="1:21" s="863" customFormat="1" ht="11.25" customHeight="1">
      <c r="A35" s="861" t="s">
        <v>572</v>
      </c>
      <c r="B35" s="1061">
        <v>231124.4</v>
      </c>
      <c r="C35" s="1061">
        <v>124473</v>
      </c>
      <c r="D35" s="1061">
        <v>141441.70000000001</v>
      </c>
      <c r="E35" s="1061">
        <v>10999.9</v>
      </c>
      <c r="F35" s="1061">
        <f t="shared" si="1"/>
        <v>130441.80000000002</v>
      </c>
      <c r="G35" s="1061">
        <v>6633.7</v>
      </c>
      <c r="H35" s="1061">
        <v>292185.59999999998</v>
      </c>
      <c r="I35" s="1061">
        <v>66635.899999999994</v>
      </c>
      <c r="J35" s="1061">
        <v>32.799999999999997</v>
      </c>
      <c r="K35" s="1061">
        <v>0</v>
      </c>
      <c r="L35" s="1061">
        <f t="shared" si="4"/>
        <v>358854.3</v>
      </c>
      <c r="M35" s="1061">
        <v>1572.7</v>
      </c>
      <c r="N35" s="1061">
        <v>0</v>
      </c>
      <c r="O35" s="1061">
        <v>0</v>
      </c>
      <c r="P35" s="1061">
        <v>0</v>
      </c>
      <c r="Q35" s="1061">
        <v>0</v>
      </c>
      <c r="R35" s="1061">
        <v>146392.6</v>
      </c>
      <c r="S35" s="1061">
        <v>-14146.7</v>
      </c>
    </row>
    <row r="36" spans="1:21" s="849" customFormat="1" ht="11.25" customHeight="1">
      <c r="A36" s="862" t="s">
        <v>563</v>
      </c>
      <c r="B36" s="1062">
        <v>245780.7</v>
      </c>
      <c r="C36" s="1062">
        <v>176941.7</v>
      </c>
      <c r="D36" s="1062">
        <v>144599.29999999999</v>
      </c>
      <c r="E36" s="1062">
        <v>10034.1</v>
      </c>
      <c r="F36" s="1062">
        <f t="shared" si="1"/>
        <v>134565.19999999998</v>
      </c>
      <c r="G36" s="1062">
        <v>6717.3</v>
      </c>
      <c r="H36" s="1062">
        <v>318403</v>
      </c>
      <c r="I36" s="1062">
        <v>93283.3</v>
      </c>
      <c r="J36" s="1062">
        <v>54.8</v>
      </c>
      <c r="K36" s="1062">
        <v>0</v>
      </c>
      <c r="L36" s="1062">
        <f t="shared" si="4"/>
        <v>411741.1</v>
      </c>
      <c r="M36" s="1062">
        <v>2090.1999999999998</v>
      </c>
      <c r="N36" s="1062">
        <v>0</v>
      </c>
      <c r="O36" s="1062">
        <v>0</v>
      </c>
      <c r="P36" s="1062">
        <v>0</v>
      </c>
      <c r="Q36" s="1062">
        <v>0</v>
      </c>
      <c r="R36" s="1062">
        <v>122311.9</v>
      </c>
      <c r="S36" s="1062">
        <v>27861.599999999999</v>
      </c>
    </row>
    <row r="37" spans="1:21" s="863" customFormat="1" ht="15" customHeight="1">
      <c r="A37" s="1208" t="s">
        <v>2731</v>
      </c>
      <c r="B37" s="1061"/>
      <c r="C37" s="1061"/>
      <c r="D37" s="1061"/>
      <c r="E37" s="1061"/>
      <c r="F37" s="1061"/>
      <c r="G37" s="1061"/>
      <c r="H37" s="1061"/>
      <c r="I37" s="1061"/>
      <c r="J37" s="1061"/>
      <c r="K37" s="1061"/>
      <c r="L37" s="1061"/>
      <c r="M37" s="1061"/>
      <c r="N37" s="1061"/>
      <c r="O37" s="1061"/>
      <c r="P37" s="1061"/>
      <c r="Q37" s="1061"/>
      <c r="R37" s="1061"/>
      <c r="S37" s="1061"/>
    </row>
    <row r="38" spans="1:21" s="863" customFormat="1" ht="11.25" customHeight="1">
      <c r="A38" s="862" t="s">
        <v>565</v>
      </c>
      <c r="B38" s="1062">
        <v>238927.1</v>
      </c>
      <c r="C38" s="1062">
        <v>145518.70000000001</v>
      </c>
      <c r="D38" s="1062">
        <v>145592.4</v>
      </c>
      <c r="E38" s="1062">
        <v>9985.2999999999993</v>
      </c>
      <c r="F38" s="1062">
        <f t="shared" si="1"/>
        <v>135607.1</v>
      </c>
      <c r="G38" s="1062">
        <v>6679.3</v>
      </c>
      <c r="H38" s="1062">
        <v>313988.3</v>
      </c>
      <c r="I38" s="1062">
        <v>73376.399999999994</v>
      </c>
      <c r="J38" s="1062">
        <v>41.2</v>
      </c>
      <c r="K38" s="1062">
        <v>0</v>
      </c>
      <c r="L38" s="1062">
        <f t="shared" si="4"/>
        <v>387405.89999999997</v>
      </c>
      <c r="M38" s="1062">
        <v>2027.6</v>
      </c>
      <c r="N38" s="1062">
        <v>0</v>
      </c>
      <c r="O38" s="1062">
        <v>0</v>
      </c>
      <c r="P38" s="1062">
        <v>0</v>
      </c>
      <c r="Q38" s="1062">
        <v>0</v>
      </c>
      <c r="R38" s="1062">
        <v>122447.6</v>
      </c>
      <c r="S38" s="1062">
        <v>14851.1</v>
      </c>
    </row>
    <row r="39" spans="1:21" s="863" customFormat="1" ht="11.25" customHeight="1">
      <c r="A39" s="861" t="s">
        <v>566</v>
      </c>
      <c r="B39" s="1061">
        <v>231618.7</v>
      </c>
      <c r="C39" s="1061">
        <v>153507.1</v>
      </c>
      <c r="D39" s="1061">
        <v>126401.60000000001</v>
      </c>
      <c r="E39" s="1061">
        <v>10180.4</v>
      </c>
      <c r="F39" s="1061">
        <f t="shared" si="1"/>
        <v>116221.20000000001</v>
      </c>
      <c r="G39" s="1061">
        <v>6691.2</v>
      </c>
      <c r="H39" s="1061">
        <v>316798.7</v>
      </c>
      <c r="I39" s="1061">
        <v>67070.3</v>
      </c>
      <c r="J39" s="1061">
        <v>13.4</v>
      </c>
      <c r="K39" s="1061">
        <v>0</v>
      </c>
      <c r="L39" s="1061">
        <f t="shared" si="4"/>
        <v>383882.4</v>
      </c>
      <c r="M39" s="1061">
        <v>2231.5</v>
      </c>
      <c r="N39" s="1061">
        <v>0</v>
      </c>
      <c r="O39" s="1061">
        <v>0</v>
      </c>
      <c r="P39" s="1061">
        <v>0</v>
      </c>
      <c r="Q39" s="1061">
        <v>0</v>
      </c>
      <c r="R39" s="1061">
        <v>130035.7</v>
      </c>
      <c r="S39" s="1061">
        <v>-8111.4</v>
      </c>
    </row>
    <row r="40" spans="1:21" s="863" customFormat="1" ht="11.25" customHeight="1">
      <c r="A40" s="862" t="s">
        <v>560</v>
      </c>
      <c r="B40" s="1062">
        <v>231666.3</v>
      </c>
      <c r="C40" s="1062">
        <v>170625.3</v>
      </c>
      <c r="D40" s="1062">
        <v>102740.3</v>
      </c>
      <c r="E40" s="1062">
        <v>10557.3</v>
      </c>
      <c r="F40" s="1062">
        <f t="shared" si="1"/>
        <v>92183</v>
      </c>
      <c r="G40" s="1062">
        <v>6713.2</v>
      </c>
      <c r="H40" s="1062">
        <v>309094.2</v>
      </c>
      <c r="I40" s="1062">
        <v>64247.3</v>
      </c>
      <c r="J40" s="1062">
        <v>12.2</v>
      </c>
      <c r="K40" s="1062">
        <v>0</v>
      </c>
      <c r="L40" s="1062">
        <f t="shared" si="4"/>
        <v>373353.7</v>
      </c>
      <c r="M40" s="1062">
        <v>3252.3</v>
      </c>
      <c r="N40" s="1062">
        <v>0</v>
      </c>
      <c r="O40" s="1062">
        <v>0</v>
      </c>
      <c r="P40" s="1062">
        <v>0</v>
      </c>
      <c r="Q40" s="1062">
        <v>0</v>
      </c>
      <c r="R40" s="1062">
        <v>134426.20000000001</v>
      </c>
      <c r="S40" s="1062">
        <v>-9844.4</v>
      </c>
    </row>
    <row r="41" spans="1:21" s="863" customFormat="1" ht="11.25" customHeight="1">
      <c r="A41" s="861" t="s">
        <v>567</v>
      </c>
      <c r="B41" s="1061">
        <v>228522.6</v>
      </c>
      <c r="C41" s="1061">
        <v>165334.20000000001</v>
      </c>
      <c r="D41" s="1061">
        <v>105438.6</v>
      </c>
      <c r="E41" s="1061">
        <v>11706.3</v>
      </c>
      <c r="F41" s="1061">
        <f t="shared" si="1"/>
        <v>93732.3</v>
      </c>
      <c r="G41" s="1061">
        <v>6745.9</v>
      </c>
      <c r="H41" s="1061">
        <v>301078.3</v>
      </c>
      <c r="I41" s="1061">
        <v>66242.3</v>
      </c>
      <c r="J41" s="1061">
        <v>10.6</v>
      </c>
      <c r="K41" s="1061">
        <v>0</v>
      </c>
      <c r="L41" s="1061">
        <f t="shared" si="4"/>
        <v>367331.19999999995</v>
      </c>
      <c r="M41" s="1061">
        <v>1101.4000000000001</v>
      </c>
      <c r="N41" s="1061">
        <v>0</v>
      </c>
      <c r="O41" s="1061">
        <v>0</v>
      </c>
      <c r="P41" s="1061">
        <v>0</v>
      </c>
      <c r="Q41" s="1061">
        <v>0</v>
      </c>
      <c r="R41" s="1061">
        <v>135190.39999999999</v>
      </c>
      <c r="S41" s="1061">
        <v>-9288</v>
      </c>
    </row>
    <row r="42" spans="1:21" s="863" customFormat="1" ht="11.25" customHeight="1">
      <c r="A42" s="862" t="s">
        <v>568</v>
      </c>
      <c r="B42" s="1062">
        <v>223881.5</v>
      </c>
      <c r="C42" s="1062">
        <v>187209.1</v>
      </c>
      <c r="D42" s="1062">
        <v>108131.3</v>
      </c>
      <c r="E42" s="1062">
        <v>12019.5</v>
      </c>
      <c r="F42" s="1062">
        <f t="shared" si="1"/>
        <v>96111.8</v>
      </c>
      <c r="G42" s="1062">
        <v>6769.9</v>
      </c>
      <c r="H42" s="1062">
        <v>299845.8</v>
      </c>
      <c r="I42" s="1062">
        <v>86662.1</v>
      </c>
      <c r="J42" s="1062">
        <v>19.2</v>
      </c>
      <c r="K42" s="1062">
        <v>0</v>
      </c>
      <c r="L42" s="1062">
        <f t="shared" si="4"/>
        <v>386527.10000000003</v>
      </c>
      <c r="M42" s="1062">
        <v>1657</v>
      </c>
      <c r="N42" s="1062">
        <v>0</v>
      </c>
      <c r="O42" s="1062">
        <v>0</v>
      </c>
      <c r="P42" s="1062">
        <v>0</v>
      </c>
      <c r="Q42" s="1062">
        <v>0</v>
      </c>
      <c r="R42" s="1062">
        <v>135260.9</v>
      </c>
      <c r="S42" s="1062">
        <v>-9472.7000000000007</v>
      </c>
    </row>
    <row r="43" spans="1:21" s="863" customFormat="1" ht="11.25" customHeight="1">
      <c r="A43" s="861" t="s">
        <v>561</v>
      </c>
      <c r="B43" s="1061">
        <v>235750.8</v>
      </c>
      <c r="C43" s="1061">
        <v>207730.4</v>
      </c>
      <c r="D43" s="1061">
        <v>90346.4</v>
      </c>
      <c r="E43" s="1061">
        <v>12988.9</v>
      </c>
      <c r="F43" s="1061">
        <f t="shared" si="1"/>
        <v>77357.5</v>
      </c>
      <c r="G43" s="1061">
        <v>6860.2</v>
      </c>
      <c r="H43" s="1061">
        <v>302994.59999999998</v>
      </c>
      <c r="I43" s="1061">
        <v>94507.9</v>
      </c>
      <c r="J43" s="1061">
        <v>63.1</v>
      </c>
      <c r="K43" s="1061">
        <v>0</v>
      </c>
      <c r="L43" s="1061">
        <f t="shared" si="4"/>
        <v>397565.6</v>
      </c>
      <c r="M43" s="1061">
        <v>1861.6</v>
      </c>
      <c r="N43" s="1061">
        <v>0</v>
      </c>
      <c r="O43" s="1061">
        <v>0</v>
      </c>
      <c r="P43" s="1061">
        <v>0</v>
      </c>
      <c r="Q43" s="1061">
        <v>0</v>
      </c>
      <c r="R43" s="1061">
        <v>136787.1</v>
      </c>
      <c r="S43" s="1061">
        <v>-8515.4</v>
      </c>
    </row>
    <row r="44" spans="1:21" s="863" customFormat="1" ht="11.25" customHeight="1">
      <c r="A44" s="862" t="s">
        <v>569</v>
      </c>
      <c r="B44" s="1062">
        <v>238082.6</v>
      </c>
      <c r="C44" s="1062">
        <v>194805.8</v>
      </c>
      <c r="D44" s="1062">
        <v>89284.3</v>
      </c>
      <c r="E44" s="1062">
        <v>13306.7</v>
      </c>
      <c r="F44" s="1062">
        <f t="shared" si="1"/>
        <v>75977.600000000006</v>
      </c>
      <c r="G44" s="1062">
        <v>6837.6</v>
      </c>
      <c r="H44" s="1062">
        <v>297571.3</v>
      </c>
      <c r="I44" s="1062">
        <v>79180</v>
      </c>
      <c r="J44" s="1062">
        <v>17.399999999999999</v>
      </c>
      <c r="K44" s="1062">
        <v>0</v>
      </c>
      <c r="L44" s="1062">
        <f t="shared" si="4"/>
        <v>376768.7</v>
      </c>
      <c r="M44" s="1062">
        <v>1812.3</v>
      </c>
      <c r="N44" s="1062">
        <v>0</v>
      </c>
      <c r="O44" s="1062">
        <v>0</v>
      </c>
      <c r="P44" s="1062">
        <v>0</v>
      </c>
      <c r="Q44" s="1062">
        <v>0</v>
      </c>
      <c r="R44" s="1062">
        <v>143284.1</v>
      </c>
      <c r="S44" s="1062">
        <v>-6161.5</v>
      </c>
    </row>
    <row r="45" spans="1:21" s="863" customFormat="1" ht="11.25" customHeight="1" thickBot="1">
      <c r="A45" s="1796" t="s">
        <v>570</v>
      </c>
      <c r="B45" s="1797">
        <v>238118.39999999999</v>
      </c>
      <c r="C45" s="1797">
        <v>199668.8</v>
      </c>
      <c r="D45" s="1797">
        <v>84572.5</v>
      </c>
      <c r="E45" s="1797">
        <v>12847.1</v>
      </c>
      <c r="F45" s="1797">
        <f t="shared" si="1"/>
        <v>71725.399999999994</v>
      </c>
      <c r="G45" s="1797">
        <v>6858.3</v>
      </c>
      <c r="H45" s="1797">
        <v>296437.09999999998</v>
      </c>
      <c r="I45" s="1797">
        <v>76210.5</v>
      </c>
      <c r="J45" s="1797">
        <v>10</v>
      </c>
      <c r="K45" s="1797">
        <v>0</v>
      </c>
      <c r="L45" s="1797">
        <f t="shared" si="4"/>
        <v>372657.6</v>
      </c>
      <c r="M45" s="1797">
        <v>1754.2</v>
      </c>
      <c r="N45" s="1797">
        <v>0</v>
      </c>
      <c r="O45" s="1797">
        <v>0</v>
      </c>
      <c r="P45" s="1797">
        <v>0</v>
      </c>
      <c r="Q45" s="1797">
        <v>0</v>
      </c>
      <c r="R45" s="1797">
        <v>147951.6</v>
      </c>
      <c r="S45" s="1797">
        <v>-5992.5</v>
      </c>
    </row>
    <row r="46" spans="1:21" s="863" customFormat="1" ht="13.5" customHeight="1">
      <c r="A46" s="705" t="s">
        <v>16</v>
      </c>
      <c r="B46" s="706" t="s">
        <v>1258</v>
      </c>
      <c r="C46" s="706"/>
      <c r="D46" s="702"/>
      <c r="E46" s="702"/>
      <c r="F46" s="702"/>
      <c r="G46" s="711" t="s">
        <v>1348</v>
      </c>
      <c r="H46" s="849"/>
      <c r="I46" s="449"/>
      <c r="J46" s="849"/>
      <c r="K46" s="849"/>
      <c r="L46" s="849"/>
      <c r="M46" s="849"/>
      <c r="N46" s="849"/>
      <c r="O46" s="849"/>
      <c r="P46" s="849"/>
      <c r="Q46" s="849"/>
      <c r="R46" s="849"/>
      <c r="S46" s="849"/>
    </row>
    <row r="47" spans="1:21">
      <c r="B47" s="1293"/>
      <c r="C47" s="1129"/>
      <c r="D47" s="1129"/>
      <c r="E47" s="1129"/>
      <c r="F47" s="1165"/>
      <c r="G47" s="1165"/>
      <c r="H47" s="1165"/>
      <c r="I47" s="1165"/>
      <c r="J47" s="1165"/>
      <c r="K47" s="1065"/>
      <c r="M47" s="1129"/>
      <c r="N47" s="711"/>
      <c r="O47" s="1129"/>
      <c r="P47" s="711"/>
      <c r="Q47" s="711"/>
      <c r="R47" s="1129"/>
      <c r="S47" s="1129"/>
      <c r="U47" s="1065"/>
    </row>
    <row r="48" spans="1:21">
      <c r="B48" s="1065"/>
      <c r="C48" s="1065"/>
      <c r="D48" s="1065"/>
      <c r="E48" s="1065"/>
      <c r="F48" s="1065"/>
      <c r="G48" s="1065"/>
      <c r="H48" s="1065"/>
      <c r="I48" s="1065"/>
      <c r="J48" s="1065"/>
      <c r="K48" s="1065"/>
      <c r="L48" s="1065"/>
      <c r="M48" s="1065"/>
      <c r="N48" s="1065"/>
      <c r="O48" s="1065"/>
      <c r="P48" s="1065"/>
      <c r="Q48" s="1065"/>
      <c r="R48" s="1065"/>
      <c r="S48" s="1129"/>
    </row>
    <row r="49" spans="1:19">
      <c r="B49" s="1065"/>
      <c r="C49" s="1065"/>
      <c r="D49" s="1065"/>
      <c r="E49" s="1065"/>
      <c r="F49" s="1065"/>
      <c r="G49" s="1065"/>
      <c r="H49" s="1065"/>
      <c r="I49" s="1065"/>
      <c r="J49" s="1065"/>
      <c r="K49" s="1065"/>
      <c r="L49" s="1065"/>
      <c r="M49" s="1065"/>
      <c r="N49" s="1065"/>
      <c r="O49" s="1065"/>
      <c r="P49" s="1065"/>
      <c r="Q49" s="1065"/>
      <c r="R49" s="1065"/>
      <c r="S49" s="1129"/>
    </row>
    <row r="50" spans="1:19">
      <c r="B50" s="1065"/>
      <c r="C50" s="1065"/>
      <c r="D50" s="1065"/>
      <c r="E50" s="1065"/>
      <c r="F50" s="1065"/>
      <c r="G50" s="1065"/>
      <c r="H50" s="1065"/>
      <c r="I50" s="1065"/>
      <c r="J50" s="1065"/>
      <c r="K50" s="1065"/>
      <c r="L50" s="1065"/>
      <c r="M50" s="1065"/>
      <c r="N50" s="1065"/>
      <c r="O50" s="1065"/>
      <c r="P50" s="1065"/>
      <c r="Q50" s="1065"/>
      <c r="R50" s="1065"/>
      <c r="S50" s="1129"/>
    </row>
    <row r="51" spans="1:19">
      <c r="B51" s="1065"/>
      <c r="C51" s="1065"/>
      <c r="D51" s="1165"/>
      <c r="E51" s="1065"/>
      <c r="F51" s="1165"/>
      <c r="G51" s="1165"/>
      <c r="H51" s="1165"/>
      <c r="I51" s="1165"/>
      <c r="J51" s="1165"/>
      <c r="K51" s="1065"/>
      <c r="L51" s="1065"/>
      <c r="M51" s="1129"/>
      <c r="N51" s="1129"/>
      <c r="O51" s="1129"/>
      <c r="P51" s="1129"/>
      <c r="Q51" s="1065"/>
      <c r="R51" s="1065"/>
    </row>
    <row r="52" spans="1:19">
      <c r="A52" s="1065"/>
      <c r="B52" s="1065"/>
      <c r="D52" s="1165"/>
      <c r="E52" s="1165"/>
      <c r="F52" s="1165"/>
      <c r="G52" s="1165"/>
      <c r="H52" s="1165"/>
      <c r="I52" s="1165"/>
      <c r="J52" s="1165"/>
      <c r="K52" s="1065"/>
      <c r="M52" s="711"/>
      <c r="N52" s="711"/>
      <c r="O52" s="711"/>
      <c r="P52" s="711"/>
    </row>
    <row r="53" spans="1:19">
      <c r="A53" s="1065"/>
      <c r="B53" s="1065"/>
      <c r="C53" s="1065"/>
      <c r="D53" s="1065"/>
      <c r="E53" s="1065"/>
      <c r="F53" s="1065"/>
      <c r="G53" s="1065"/>
      <c r="H53" s="1065"/>
      <c r="I53" s="1065"/>
      <c r="J53" s="1065"/>
      <c r="K53" s="1065"/>
      <c r="L53" s="1065"/>
      <c r="M53" s="1065"/>
      <c r="N53" s="1065"/>
      <c r="O53" s="1065"/>
      <c r="P53" s="1065"/>
      <c r="Q53" s="1065"/>
      <c r="R53" s="1065"/>
      <c r="S53" s="1065"/>
    </row>
    <row r="54" spans="1:19">
      <c r="A54" s="1065"/>
      <c r="B54" s="1065"/>
      <c r="C54" s="1065"/>
      <c r="D54" s="1065"/>
      <c r="E54" s="1065"/>
      <c r="F54" s="1065"/>
      <c r="G54" s="1065"/>
      <c r="H54" s="1065"/>
      <c r="I54" s="1065"/>
      <c r="J54" s="1065"/>
      <c r="K54" s="1065"/>
      <c r="L54" s="1065"/>
      <c r="M54" s="1065"/>
      <c r="N54" s="1065"/>
      <c r="O54" s="1065"/>
      <c r="P54" s="1065"/>
      <c r="Q54" s="1065"/>
      <c r="R54" s="1065"/>
      <c r="S54" s="1065"/>
    </row>
    <row r="55" spans="1:19">
      <c r="A55" s="1065"/>
      <c r="B55" s="1065"/>
      <c r="C55" s="1065"/>
      <c r="D55" s="1065"/>
      <c r="E55" s="1065"/>
      <c r="F55" s="1065"/>
      <c r="G55" s="1065"/>
      <c r="H55" s="1065"/>
      <c r="I55" s="1065"/>
      <c r="J55" s="1065"/>
      <c r="K55" s="1065"/>
      <c r="L55" s="1065"/>
      <c r="M55" s="1065"/>
      <c r="N55" s="1065"/>
      <c r="O55" s="1065"/>
      <c r="P55" s="1065"/>
      <c r="Q55" s="1065"/>
      <c r="R55" s="1065"/>
      <c r="S55" s="1065"/>
    </row>
    <row r="56" spans="1:19">
      <c r="A56" s="1065"/>
      <c r="B56" s="1065"/>
      <c r="C56" s="1065"/>
      <c r="D56" s="1065"/>
      <c r="E56" s="1065"/>
      <c r="F56" s="1065"/>
      <c r="G56" s="1065"/>
      <c r="H56" s="1065"/>
      <c r="I56" s="1065"/>
      <c r="J56" s="1065"/>
      <c r="K56" s="1065"/>
      <c r="L56" s="1065"/>
      <c r="M56" s="1065"/>
      <c r="N56" s="1065"/>
      <c r="O56" s="1065"/>
      <c r="P56" s="1065"/>
      <c r="Q56" s="1065"/>
      <c r="R56" s="1065"/>
    </row>
    <row r="57" spans="1:19">
      <c r="D57" s="1165"/>
      <c r="E57" s="1065"/>
      <c r="F57" s="1165"/>
      <c r="G57" s="1165"/>
      <c r="H57" s="1165"/>
      <c r="I57" s="1165"/>
      <c r="J57" s="1165"/>
      <c r="K57" s="1065"/>
      <c r="M57" s="711"/>
      <c r="N57" s="711"/>
      <c r="O57" s="711"/>
      <c r="P57" s="711"/>
    </row>
    <row r="58" spans="1:19">
      <c r="D58" s="1165"/>
      <c r="E58" s="1065"/>
      <c r="F58" s="1165"/>
      <c r="G58" s="1165"/>
      <c r="H58" s="1165"/>
      <c r="I58" s="1165"/>
      <c r="J58" s="1165"/>
      <c r="K58" s="1065"/>
      <c r="M58" s="711"/>
      <c r="N58" s="711"/>
      <c r="O58" s="711"/>
      <c r="P58" s="711"/>
    </row>
    <row r="59" spans="1:19">
      <c r="D59" s="1165"/>
      <c r="E59" s="1065"/>
      <c r="F59" s="1165"/>
      <c r="G59" s="1165"/>
      <c r="H59" s="1165"/>
      <c r="I59" s="1165"/>
      <c r="J59" s="1165"/>
      <c r="K59" s="1065"/>
      <c r="M59" s="711"/>
      <c r="N59" s="711"/>
      <c r="O59" s="711"/>
      <c r="P59" s="711"/>
    </row>
    <row r="60" spans="1:19">
      <c r="D60" s="1165"/>
      <c r="E60" s="1065"/>
      <c r="F60" s="1165"/>
      <c r="G60" s="1165"/>
      <c r="H60" s="1165"/>
      <c r="I60" s="1165"/>
      <c r="J60" s="1165"/>
      <c r="K60" s="1065"/>
      <c r="M60" s="711"/>
      <c r="N60" s="711"/>
      <c r="O60" s="711"/>
      <c r="P60" s="711"/>
    </row>
    <row r="61" spans="1:19">
      <c r="D61" s="1165"/>
      <c r="E61" s="1065"/>
      <c r="F61" s="1165"/>
      <c r="G61" s="1165"/>
      <c r="H61" s="1165"/>
      <c r="I61" s="1165"/>
      <c r="J61" s="1165"/>
      <c r="K61" s="1065"/>
      <c r="M61" s="711"/>
      <c r="N61" s="711"/>
      <c r="O61" s="711"/>
      <c r="P61" s="711"/>
    </row>
    <row r="62" spans="1:19">
      <c r="D62" s="1165"/>
      <c r="E62" s="1065"/>
      <c r="F62" s="1165"/>
      <c r="G62" s="1165"/>
      <c r="H62" s="1165"/>
      <c r="I62" s="1165"/>
      <c r="J62" s="1165"/>
      <c r="K62" s="1065"/>
      <c r="M62" s="711"/>
      <c r="N62" s="711"/>
      <c r="O62" s="711"/>
      <c r="P62" s="711"/>
    </row>
    <row r="63" spans="1:19">
      <c r="D63" s="1165"/>
      <c r="E63" s="1065"/>
      <c r="F63" s="1165"/>
      <c r="G63" s="1165"/>
      <c r="H63" s="1165"/>
      <c r="I63" s="1165"/>
      <c r="J63" s="1165"/>
      <c r="K63" s="1065"/>
      <c r="M63" s="711"/>
      <c r="N63" s="711"/>
      <c r="O63" s="711"/>
      <c r="P63" s="711"/>
    </row>
    <row r="64" spans="1:19">
      <c r="D64" s="1165"/>
      <c r="E64" s="1065"/>
      <c r="F64" s="1165"/>
      <c r="G64" s="1165"/>
      <c r="H64" s="1165"/>
      <c r="I64" s="1165"/>
      <c r="J64" s="1165"/>
      <c r="K64" s="1065"/>
      <c r="M64" s="711"/>
      <c r="N64" s="711"/>
      <c r="O64" s="711"/>
      <c r="P64" s="711"/>
    </row>
    <row r="65" spans="4:16">
      <c r="D65" s="1165"/>
      <c r="E65" s="1065"/>
      <c r="F65" s="1165"/>
      <c r="G65" s="1165"/>
      <c r="H65" s="1165"/>
      <c r="I65" s="1165"/>
      <c r="J65" s="1165"/>
      <c r="K65" s="1065"/>
      <c r="M65" s="711"/>
      <c r="N65" s="711"/>
      <c r="O65" s="711"/>
      <c r="P65" s="711"/>
    </row>
    <row r="66" spans="4:16">
      <c r="D66" s="1165"/>
      <c r="E66" s="1065"/>
      <c r="F66" s="1165"/>
      <c r="G66" s="1165"/>
      <c r="H66" s="1165"/>
      <c r="I66" s="1165"/>
      <c r="J66" s="1165"/>
      <c r="K66" s="1065"/>
      <c r="M66" s="711"/>
      <c r="N66" s="711"/>
      <c r="O66" s="711"/>
      <c r="P66" s="711"/>
    </row>
    <row r="67" spans="4:16">
      <c r="D67" s="1165"/>
      <c r="E67" s="1065"/>
      <c r="F67" s="1165"/>
      <c r="G67" s="1165"/>
      <c r="H67" s="1165"/>
      <c r="I67" s="1165"/>
      <c r="J67" s="1165"/>
      <c r="K67" s="1065"/>
      <c r="M67" s="711"/>
      <c r="N67" s="711"/>
      <c r="O67" s="711"/>
      <c r="P67" s="711"/>
    </row>
    <row r="68" spans="4:16">
      <c r="D68" s="1165"/>
      <c r="E68" s="1065"/>
      <c r="F68" s="1165"/>
      <c r="G68" s="1165"/>
      <c r="H68" s="1165"/>
      <c r="I68" s="1165"/>
      <c r="J68" s="1165"/>
      <c r="K68" s="1065"/>
      <c r="M68" s="711"/>
      <c r="N68" s="711"/>
      <c r="O68" s="711"/>
      <c r="P68" s="711"/>
    </row>
    <row r="69" spans="4:16">
      <c r="D69" s="1165"/>
      <c r="E69" s="1065"/>
      <c r="F69" s="1165"/>
      <c r="G69" s="1165"/>
      <c r="H69" s="1165"/>
      <c r="I69" s="1165"/>
      <c r="J69" s="1165"/>
      <c r="K69" s="1065"/>
      <c r="M69" s="711"/>
      <c r="N69" s="711"/>
      <c r="O69" s="711"/>
      <c r="P69" s="711"/>
    </row>
    <row r="70" spans="4:16">
      <c r="D70" s="1165"/>
      <c r="E70" s="1065"/>
      <c r="F70" s="1165"/>
      <c r="G70" s="1165"/>
      <c r="H70" s="1165"/>
      <c r="I70" s="1165"/>
      <c r="J70" s="1165"/>
      <c r="K70" s="1065"/>
      <c r="M70" s="711"/>
      <c r="N70" s="711"/>
      <c r="O70" s="711"/>
      <c r="P70" s="711"/>
    </row>
    <row r="71" spans="4:16">
      <c r="D71" s="1165"/>
      <c r="E71" s="1065"/>
      <c r="F71" s="1165"/>
      <c r="G71" s="1165"/>
      <c r="H71" s="1165"/>
      <c r="I71" s="1165"/>
      <c r="J71" s="1165"/>
      <c r="K71" s="1065"/>
      <c r="M71" s="711"/>
      <c r="N71" s="711"/>
      <c r="O71" s="711"/>
      <c r="P71" s="711"/>
    </row>
    <row r="72" spans="4:16">
      <c r="D72" s="1165"/>
      <c r="E72" s="1065"/>
      <c r="F72" s="1165"/>
      <c r="G72" s="1165"/>
      <c r="H72" s="1165"/>
      <c r="I72" s="1165"/>
      <c r="J72" s="1165"/>
      <c r="K72" s="1065"/>
      <c r="M72" s="711"/>
      <c r="N72" s="711"/>
      <c r="O72" s="711"/>
      <c r="P72" s="711"/>
    </row>
    <row r="73" spans="4:16">
      <c r="D73" s="1165"/>
      <c r="E73" s="1065"/>
      <c r="F73" s="1165"/>
      <c r="G73" s="1165"/>
      <c r="H73" s="1165"/>
      <c r="I73" s="1165"/>
      <c r="J73" s="1165"/>
      <c r="K73" s="1065"/>
      <c r="M73" s="711"/>
      <c r="N73" s="711"/>
      <c r="O73" s="711"/>
      <c r="P73" s="711"/>
    </row>
    <row r="74" spans="4:16">
      <c r="D74" s="1165"/>
      <c r="E74" s="1065"/>
      <c r="F74" s="1165"/>
      <c r="G74" s="1165"/>
      <c r="H74" s="1165"/>
      <c r="I74" s="1165"/>
      <c r="J74" s="1165"/>
      <c r="K74" s="1065"/>
      <c r="M74" s="711"/>
      <c r="N74" s="711"/>
      <c r="O74" s="711"/>
      <c r="P74" s="711"/>
    </row>
  </sheetData>
  <customSheetViews>
    <customSheetView guid="{A374FC54-96E3-45F0-9C12-8450400C12DF}" scale="120">
      <pane xSplit="1" ySplit="5" topLeftCell="E33" activePane="bottomRight" state="frozen"/>
      <selection pane="bottomRight" activeCell="H40" sqref="H40"/>
      <pageMargins left="0.45" right="0.45" top="0.75" bottom="0.75" header="0.3" footer="0.3"/>
      <pageSetup paperSize="132" firstPageNumber="104" orientation="portrait" useFirstPageNumber="1" r:id="rId1"/>
      <headerFooter>
        <oddFooter>&amp;C&amp;"Times New Roman,Regular"&amp;8&amp;P</oddFooter>
      </headerFooter>
    </customSheetView>
  </customSheetViews>
  <mergeCells count="16">
    <mergeCell ref="R1:S1"/>
    <mergeCell ref="R2:S2"/>
    <mergeCell ref="B3:B4"/>
    <mergeCell ref="C3:C4"/>
    <mergeCell ref="D3:F3"/>
    <mergeCell ref="P3:P4"/>
    <mergeCell ref="Q3:Q4"/>
    <mergeCell ref="R3:R4"/>
    <mergeCell ref="H3:L3"/>
    <mergeCell ref="G3:G4"/>
    <mergeCell ref="G1:I1"/>
    <mergeCell ref="A3:A5"/>
    <mergeCell ref="M3:M4"/>
    <mergeCell ref="N3:N4"/>
    <mergeCell ref="O3:O4"/>
    <mergeCell ref="S3:S4"/>
  </mergeCells>
  <pageMargins left="0.45" right="0.45" top="0.75" bottom="0.75" header="0.3" footer="0.3"/>
  <pageSetup paperSize="448" firstPageNumber="108" orientation="portrait" useFirstPageNumber="1" r:id="rId2"/>
  <headerFooter>
    <oddFooter>&amp;C&amp;"Times New Roman,Regular"&amp;8&amp;P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P68"/>
  <sheetViews>
    <sheetView zoomScale="160" zoomScaleNormal="160" workbookViewId="0">
      <pane xSplit="1" ySplit="7" topLeftCell="B45" activePane="bottomRight" state="frozen"/>
      <selection activeCell="F85" sqref="F85"/>
      <selection pane="topRight" activeCell="F85" sqref="F85"/>
      <selection pane="bottomLeft" activeCell="F85" sqref="F85"/>
      <selection pane="bottomRight" activeCell="B59" sqref="B59:B60"/>
    </sheetView>
  </sheetViews>
  <sheetFormatPr defaultRowHeight="12.75"/>
  <cols>
    <col min="1" max="8" width="9.140625" style="1781"/>
    <col min="9" max="9" width="11.85546875" style="1781" customWidth="1"/>
    <col min="10" max="10" width="12" style="1781" customWidth="1"/>
    <col min="11" max="11" width="16.7109375" style="1781" customWidth="1"/>
    <col min="12" max="12" width="10.7109375" style="1781" customWidth="1"/>
    <col min="13" max="13" width="14.28515625" style="1781" customWidth="1"/>
    <col min="14" max="14" width="9.140625" style="1781"/>
    <col min="15" max="15" width="10.85546875" style="1781" bestFit="1" customWidth="1"/>
    <col min="16" max="16384" width="9.140625" style="1781"/>
  </cols>
  <sheetData>
    <row r="1" spans="1:16" ht="15.75">
      <c r="A1" s="1957"/>
      <c r="B1" s="1957"/>
      <c r="C1" s="1957"/>
      <c r="D1" s="1957"/>
      <c r="E1" s="1957"/>
      <c r="F1" s="1957"/>
      <c r="G1" s="1958" t="s">
        <v>125</v>
      </c>
      <c r="H1" s="1958"/>
      <c r="I1" s="1958"/>
      <c r="J1" s="1378" t="s">
        <v>301</v>
      </c>
      <c r="K1" s="1379"/>
      <c r="L1" s="1379"/>
      <c r="M1" s="1379"/>
      <c r="N1" s="1379"/>
      <c r="O1" s="1963" t="s">
        <v>193</v>
      </c>
      <c r="P1" s="1963"/>
    </row>
    <row r="2" spans="1:16">
      <c r="A2" s="1380"/>
      <c r="B2" s="1380"/>
      <c r="C2" s="1380"/>
      <c r="D2" s="1380"/>
      <c r="E2" s="1380"/>
      <c r="F2" s="1959" t="s">
        <v>814</v>
      </c>
      <c r="G2" s="1959"/>
      <c r="H2" s="1959"/>
      <c r="I2" s="1959"/>
      <c r="J2" s="1381" t="s">
        <v>1280</v>
      </c>
      <c r="K2" s="1381"/>
      <c r="L2" s="1382"/>
      <c r="M2" s="1382"/>
      <c r="N2" s="1382"/>
      <c r="O2" s="1969"/>
      <c r="P2" s="1969"/>
    </row>
    <row r="3" spans="1:16" ht="25.5" customHeight="1">
      <c r="A3" s="1964" t="s">
        <v>487</v>
      </c>
      <c r="B3" s="1981" t="s">
        <v>844</v>
      </c>
      <c r="C3" s="1981"/>
      <c r="D3" s="1981"/>
      <c r="E3" s="1982"/>
      <c r="F3" s="1960" t="s">
        <v>2382</v>
      </c>
      <c r="G3" s="1961"/>
      <c r="H3" s="1961"/>
      <c r="I3" s="1962"/>
      <c r="J3" s="1970" t="s">
        <v>2334</v>
      </c>
      <c r="K3" s="1971"/>
      <c r="L3" s="1972" t="s">
        <v>2335</v>
      </c>
      <c r="M3" s="1971"/>
      <c r="N3" s="1970" t="s">
        <v>285</v>
      </c>
      <c r="O3" s="1971"/>
      <c r="P3" s="1973" t="s">
        <v>487</v>
      </c>
    </row>
    <row r="4" spans="1:16" ht="12.75" customHeight="1">
      <c r="A4" s="1964"/>
      <c r="B4" s="1983"/>
      <c r="C4" s="1983"/>
      <c r="D4" s="1983"/>
      <c r="E4" s="1984"/>
      <c r="F4" s="1991" t="s">
        <v>2383</v>
      </c>
      <c r="G4" s="1992"/>
      <c r="H4" s="1992"/>
      <c r="I4" s="1993"/>
      <c r="J4" s="1967" t="s">
        <v>189</v>
      </c>
      <c r="K4" s="1968"/>
      <c r="L4" s="1970" t="s">
        <v>2336</v>
      </c>
      <c r="M4" s="1971"/>
      <c r="N4" s="1976" t="s">
        <v>1147</v>
      </c>
      <c r="O4" s="1977"/>
      <c r="P4" s="1974"/>
    </row>
    <row r="5" spans="1:16" ht="12.75" customHeight="1">
      <c r="A5" s="1964"/>
      <c r="B5" s="1985" t="s">
        <v>2295</v>
      </c>
      <c r="C5" s="1979" t="s">
        <v>842</v>
      </c>
      <c r="D5" s="1979" t="s">
        <v>2296</v>
      </c>
      <c r="E5" s="1979" t="s">
        <v>843</v>
      </c>
      <c r="F5" s="1965" t="s">
        <v>2002</v>
      </c>
      <c r="G5" s="1989" t="s">
        <v>2003</v>
      </c>
      <c r="H5" s="1989" t="s">
        <v>2004</v>
      </c>
      <c r="I5" s="1989" t="s">
        <v>2297</v>
      </c>
      <c r="J5" s="1965" t="s">
        <v>2830</v>
      </c>
      <c r="K5" s="1965" t="s">
        <v>1252</v>
      </c>
      <c r="L5" s="1965" t="s">
        <v>2948</v>
      </c>
      <c r="M5" s="1965" t="s">
        <v>2337</v>
      </c>
      <c r="N5" s="1965" t="s">
        <v>1032</v>
      </c>
      <c r="O5" s="1965" t="s">
        <v>1031</v>
      </c>
      <c r="P5" s="1974"/>
    </row>
    <row r="6" spans="1:16" ht="24" customHeight="1">
      <c r="A6" s="1964"/>
      <c r="B6" s="1986"/>
      <c r="C6" s="1980"/>
      <c r="D6" s="1980"/>
      <c r="E6" s="1980"/>
      <c r="F6" s="1966"/>
      <c r="G6" s="1990"/>
      <c r="H6" s="1990"/>
      <c r="I6" s="1990"/>
      <c r="J6" s="1966"/>
      <c r="K6" s="1966"/>
      <c r="L6" s="1966"/>
      <c r="M6" s="1966"/>
      <c r="N6" s="1966"/>
      <c r="O6" s="1966"/>
      <c r="P6" s="1974"/>
    </row>
    <row r="7" spans="1:16">
      <c r="A7" s="1964"/>
      <c r="B7" s="1788">
        <v>1</v>
      </c>
      <c r="C7" s="1383">
        <v>2</v>
      </c>
      <c r="D7" s="1383">
        <v>3</v>
      </c>
      <c r="E7" s="1383">
        <v>4</v>
      </c>
      <c r="F7" s="1383">
        <v>5</v>
      </c>
      <c r="G7" s="1383">
        <v>6</v>
      </c>
      <c r="H7" s="1383">
        <v>7</v>
      </c>
      <c r="I7" s="1383">
        <v>8</v>
      </c>
      <c r="J7" s="1383">
        <v>9</v>
      </c>
      <c r="K7" s="1383">
        <v>10</v>
      </c>
      <c r="L7" s="1383">
        <v>11</v>
      </c>
      <c r="M7" s="1383">
        <v>12</v>
      </c>
      <c r="N7" s="1383">
        <v>13</v>
      </c>
      <c r="O7" s="1383">
        <v>14</v>
      </c>
      <c r="P7" s="1975"/>
    </row>
    <row r="8" spans="1:16" ht="9.9499999999999993" customHeight="1">
      <c r="A8" s="1386" t="s">
        <v>840</v>
      </c>
      <c r="B8" s="1387" t="s">
        <v>295</v>
      </c>
      <c r="C8" s="1387">
        <v>8.0500000000000007</v>
      </c>
      <c r="D8" s="1387" t="s">
        <v>295</v>
      </c>
      <c r="E8" s="1387">
        <v>6.78</v>
      </c>
      <c r="F8" s="1388">
        <v>195.19</v>
      </c>
      <c r="G8" s="1388">
        <v>153.15</v>
      </c>
      <c r="H8" s="1388">
        <v>160.43</v>
      </c>
      <c r="I8" s="1388">
        <v>190.53</v>
      </c>
      <c r="J8" s="1389">
        <v>27027.45</v>
      </c>
      <c r="K8" s="1389">
        <v>34083.599999999999</v>
      </c>
      <c r="L8" s="1389">
        <v>15318.34</v>
      </c>
      <c r="M8" s="1387" t="s">
        <v>295</v>
      </c>
      <c r="N8" s="1390">
        <v>79.935900000000004</v>
      </c>
      <c r="O8" s="1390">
        <v>77.759299999999996</v>
      </c>
      <c r="P8" s="1391" t="s">
        <v>840</v>
      </c>
    </row>
    <row r="9" spans="1:16" ht="9.9499999999999993" customHeight="1">
      <c r="A9" s="1392" t="s">
        <v>1019</v>
      </c>
      <c r="B9" s="1384" t="s">
        <v>295</v>
      </c>
      <c r="C9" s="1393">
        <v>6.97</v>
      </c>
      <c r="D9" s="1384" t="s">
        <v>295</v>
      </c>
      <c r="E9" s="1393">
        <v>7.35</v>
      </c>
      <c r="F9" s="1394">
        <v>213.22</v>
      </c>
      <c r="G9" s="1394">
        <v>157.18</v>
      </c>
      <c r="H9" s="1394">
        <v>177.2</v>
      </c>
      <c r="I9" s="1394">
        <v>207.83</v>
      </c>
      <c r="J9" s="1395">
        <v>30186.62</v>
      </c>
      <c r="K9" s="1395">
        <v>40731.9</v>
      </c>
      <c r="L9" s="1395">
        <v>21508.89</v>
      </c>
      <c r="M9" s="1384" t="s">
        <v>295</v>
      </c>
      <c r="N9" s="1396">
        <v>77.72</v>
      </c>
      <c r="O9" s="1396">
        <v>77.63</v>
      </c>
      <c r="P9" s="1397" t="s">
        <v>1019</v>
      </c>
    </row>
    <row r="10" spans="1:16" ht="9.9499999999999993" customHeight="1">
      <c r="A10" s="1386" t="s">
        <v>1070</v>
      </c>
      <c r="B10" s="1387" t="s">
        <v>295</v>
      </c>
      <c r="C10" s="1388">
        <v>6.25</v>
      </c>
      <c r="D10" s="1387" t="s">
        <v>295</v>
      </c>
      <c r="E10" s="1388">
        <v>6.4</v>
      </c>
      <c r="F10" s="1388">
        <v>236.11</v>
      </c>
      <c r="G10" s="1388">
        <v>172.97</v>
      </c>
      <c r="H10" s="1388">
        <v>191.06</v>
      </c>
      <c r="I10" s="1388">
        <v>229.68</v>
      </c>
      <c r="J10" s="1389">
        <v>31208.949999999997</v>
      </c>
      <c r="K10" s="1389">
        <v>40579.300000000003</v>
      </c>
      <c r="L10" s="1389">
        <v>25026.06</v>
      </c>
      <c r="M10" s="1387" t="s">
        <v>295</v>
      </c>
      <c r="N10" s="1390">
        <v>77.674999999999997</v>
      </c>
      <c r="O10" s="1390">
        <v>77.800399999999996</v>
      </c>
      <c r="P10" s="1391" t="s">
        <v>1070</v>
      </c>
    </row>
    <row r="11" spans="1:16" ht="9.9499999999999993" customHeight="1">
      <c r="A11" s="1392" t="s">
        <v>1193</v>
      </c>
      <c r="B11" s="1384" t="s">
        <v>295</v>
      </c>
      <c r="C11" s="1394">
        <v>5.53</v>
      </c>
      <c r="D11" s="1384" t="s">
        <v>295</v>
      </c>
      <c r="E11" s="1394">
        <v>5.92</v>
      </c>
      <c r="F11" s="1394">
        <v>100</v>
      </c>
      <c r="G11" s="1394">
        <v>100</v>
      </c>
      <c r="H11" s="1394">
        <v>100</v>
      </c>
      <c r="I11" s="1394">
        <v>100</v>
      </c>
      <c r="J11" s="1395">
        <v>34257.18</v>
      </c>
      <c r="K11" s="1395">
        <v>40097.5</v>
      </c>
      <c r="L11" s="1395">
        <v>30355.56</v>
      </c>
      <c r="M11" s="1384" t="s">
        <v>295</v>
      </c>
      <c r="N11" s="1396">
        <v>78.268600000000006</v>
      </c>
      <c r="O11" s="1396">
        <v>78.400000000000006</v>
      </c>
      <c r="P11" s="1397" t="s">
        <v>1193</v>
      </c>
    </row>
    <row r="12" spans="1:16" ht="9.9499999999999993" customHeight="1">
      <c r="A12" s="1386" t="s">
        <v>1225</v>
      </c>
      <c r="B12" s="1387" t="s">
        <v>295</v>
      </c>
      <c r="C12" s="1388">
        <v>5.94</v>
      </c>
      <c r="D12" s="1387" t="s">
        <v>295</v>
      </c>
      <c r="E12" s="1388">
        <v>5.44</v>
      </c>
      <c r="F12" s="1388">
        <v>110.81</v>
      </c>
      <c r="G12" s="1388">
        <v>100.36</v>
      </c>
      <c r="H12" s="1388">
        <v>55.04</v>
      </c>
      <c r="I12" s="1388">
        <v>108.28</v>
      </c>
      <c r="J12" s="1389">
        <v>34655.899999999994</v>
      </c>
      <c r="K12" s="1389">
        <v>43540.800000000003</v>
      </c>
      <c r="L12" s="1389">
        <v>33679.379999999997</v>
      </c>
      <c r="M12" s="1387" t="s">
        <v>295</v>
      </c>
      <c r="N12" s="1390">
        <v>79.132999999999996</v>
      </c>
      <c r="O12" s="1390">
        <v>80.598799999999997</v>
      </c>
      <c r="P12" s="1391" t="s">
        <v>1225</v>
      </c>
    </row>
    <row r="13" spans="1:16" ht="9.9499999999999993" customHeight="1">
      <c r="A13" s="1392" t="s">
        <v>1350</v>
      </c>
      <c r="B13" s="1384" t="s">
        <v>295</v>
      </c>
      <c r="C13" s="1394">
        <v>5.54</v>
      </c>
      <c r="D13" s="1384" t="s">
        <v>295</v>
      </c>
      <c r="E13" s="1394">
        <v>5.78</v>
      </c>
      <c r="F13" s="1394">
        <v>126.75</v>
      </c>
      <c r="G13" s="1394">
        <v>99.92</v>
      </c>
      <c r="H13" s="1394">
        <v>123.56</v>
      </c>
      <c r="I13" s="1394">
        <v>125.9</v>
      </c>
      <c r="J13" s="1395">
        <v>36668.170000000006</v>
      </c>
      <c r="K13" s="1395">
        <v>52939.6</v>
      </c>
      <c r="L13" s="1395">
        <v>32943.46</v>
      </c>
      <c r="M13" s="1384" t="s">
        <v>295</v>
      </c>
      <c r="N13" s="1396">
        <v>82.107699999999994</v>
      </c>
      <c r="O13" s="1396">
        <v>83.702200000000005</v>
      </c>
      <c r="P13" s="1397" t="s">
        <v>1350</v>
      </c>
    </row>
    <row r="14" spans="1:16" ht="9.9499999999999993" customHeight="1">
      <c r="A14" s="1386" t="s">
        <v>1466</v>
      </c>
      <c r="B14" s="1387" t="s">
        <v>295</v>
      </c>
      <c r="C14" s="1388">
        <v>5.52</v>
      </c>
      <c r="D14" s="1387" t="s">
        <v>295</v>
      </c>
      <c r="E14" s="1388">
        <v>5.48</v>
      </c>
      <c r="F14" s="1388">
        <v>145.43</v>
      </c>
      <c r="G14" s="1388">
        <v>97.27</v>
      </c>
      <c r="H14" s="1388">
        <v>135.87</v>
      </c>
      <c r="I14" s="1388">
        <v>143.75</v>
      </c>
      <c r="J14" s="1389">
        <v>40535.040000000008</v>
      </c>
      <c r="K14" s="1389">
        <v>56060.799999999988</v>
      </c>
      <c r="L14" s="1389">
        <v>32716.51</v>
      </c>
      <c r="M14" s="1387" t="s">
        <v>295</v>
      </c>
      <c r="N14" s="1390">
        <v>84.020799999999994</v>
      </c>
      <c r="O14" s="1390">
        <v>84.5</v>
      </c>
      <c r="P14" s="1391" t="s">
        <v>1466</v>
      </c>
    </row>
    <row r="15" spans="1:16" ht="9.9499999999999993" customHeight="1">
      <c r="A15" s="1392" t="s">
        <v>1550</v>
      </c>
      <c r="B15" s="1384" t="s">
        <v>295</v>
      </c>
      <c r="C15" s="1394">
        <v>6.02</v>
      </c>
      <c r="D15" s="1384" t="s">
        <v>295</v>
      </c>
      <c r="E15" s="1394">
        <v>5.6476114685594103</v>
      </c>
      <c r="F15" s="1394">
        <v>147.1</v>
      </c>
      <c r="G15" s="1394">
        <v>90.62</v>
      </c>
      <c r="H15" s="1394">
        <v>139.63999999999999</v>
      </c>
      <c r="I15" s="1394">
        <v>145.28</v>
      </c>
      <c r="J15" s="1395">
        <v>33674.120000000003</v>
      </c>
      <c r="K15" s="1395">
        <v>48699.9</v>
      </c>
      <c r="L15" s="1395">
        <v>36037.03</v>
      </c>
      <c r="M15" s="1384" t="s">
        <v>295</v>
      </c>
      <c r="N15" s="1396">
        <v>84.781146000000007</v>
      </c>
      <c r="O15" s="1396">
        <v>84.9</v>
      </c>
      <c r="P15" s="1397" t="s">
        <v>1550</v>
      </c>
    </row>
    <row r="16" spans="1:16" ht="9.9499999999999993" customHeight="1">
      <c r="A16" s="1386" t="s">
        <v>1606</v>
      </c>
      <c r="B16" s="1387" t="s">
        <v>295</v>
      </c>
      <c r="C16" s="1387">
        <v>5.64</v>
      </c>
      <c r="D16" s="1387" t="s">
        <v>295</v>
      </c>
      <c r="E16" s="1388">
        <v>5.56</v>
      </c>
      <c r="F16" s="1388">
        <v>166.07</v>
      </c>
      <c r="G16" s="1388">
        <v>90.57</v>
      </c>
      <c r="H16" s="1388">
        <v>157.72999999999999</v>
      </c>
      <c r="I16" s="1388">
        <v>163.71</v>
      </c>
      <c r="J16" s="1389">
        <v>38758.32</v>
      </c>
      <c r="K16" s="1389">
        <v>54402.6</v>
      </c>
      <c r="L16" s="1389">
        <v>46391.44</v>
      </c>
      <c r="M16" s="1387" t="s">
        <v>295</v>
      </c>
      <c r="N16" s="1390">
        <v>84.806299999999993</v>
      </c>
      <c r="O16" s="1390">
        <v>84.814599999999999</v>
      </c>
      <c r="P16" s="1391" t="s">
        <v>1606</v>
      </c>
    </row>
    <row r="17" spans="1:16" ht="9.9499999999999993" customHeight="1">
      <c r="A17" s="1406" t="s">
        <v>1927</v>
      </c>
      <c r="B17" s="1725" t="s">
        <v>295</v>
      </c>
      <c r="C17" s="1404">
        <v>7.56</v>
      </c>
      <c r="D17" s="1725" t="s">
        <v>295</v>
      </c>
      <c r="E17" s="1404">
        <v>6.15</v>
      </c>
      <c r="F17" s="1404">
        <v>185.83</v>
      </c>
      <c r="G17" s="1404">
        <v>84.49</v>
      </c>
      <c r="H17" s="1404">
        <v>162.66999999999999</v>
      </c>
      <c r="I17" s="1404">
        <v>182.18</v>
      </c>
      <c r="J17" s="1405">
        <v>52082.659999999996</v>
      </c>
      <c r="K17" s="1405">
        <v>78949.7</v>
      </c>
      <c r="L17" s="1405">
        <v>41826.729767739998</v>
      </c>
      <c r="M17" s="1725" t="s">
        <v>295</v>
      </c>
      <c r="N17" s="1726">
        <v>86.392700000000005</v>
      </c>
      <c r="O17" s="1726">
        <v>93.45</v>
      </c>
      <c r="P17" s="1407" t="s">
        <v>1927</v>
      </c>
    </row>
    <row r="18" spans="1:16" ht="9.9499999999999993" customHeight="1">
      <c r="A18" s="1398" t="s">
        <v>2183</v>
      </c>
      <c r="B18" s="1399">
        <f>B30</f>
        <v>9.74</v>
      </c>
      <c r="C18" s="1400" t="s">
        <v>295</v>
      </c>
      <c r="D18" s="1399">
        <f>D30</f>
        <v>9.02</v>
      </c>
      <c r="E18" s="1400" t="s">
        <v>295</v>
      </c>
      <c r="F18" s="1400">
        <v>201.69</v>
      </c>
      <c r="G18" s="1400">
        <v>89.63</v>
      </c>
      <c r="H18" s="1400">
        <v>169.9</v>
      </c>
      <c r="I18" s="1400">
        <v>197.39</v>
      </c>
      <c r="J18" s="1401">
        <f>SUM(J19:J30)</f>
        <v>46494.6</v>
      </c>
      <c r="K18" s="1401">
        <v>68600.800000000003</v>
      </c>
      <c r="L18" s="1401">
        <f>L30</f>
        <v>31203</v>
      </c>
      <c r="M18" s="1399">
        <f>M30</f>
        <v>24753.9</v>
      </c>
      <c r="N18" s="1402">
        <v>99.422600000000003</v>
      </c>
      <c r="O18" s="1402">
        <f>O30</f>
        <v>106</v>
      </c>
      <c r="P18" s="1403" t="s">
        <v>2183</v>
      </c>
    </row>
    <row r="19" spans="1:16" ht="9.9499999999999993" customHeight="1">
      <c r="A19" s="1392" t="s">
        <v>565</v>
      </c>
      <c r="B19" s="1384" t="s">
        <v>295</v>
      </c>
      <c r="C19" s="1394">
        <v>7.48</v>
      </c>
      <c r="D19" s="1384" t="s">
        <v>295</v>
      </c>
      <c r="E19" s="1394">
        <v>6.325224955699249</v>
      </c>
      <c r="F19" s="1394">
        <v>178.13</v>
      </c>
      <c r="G19" s="1394">
        <v>80.430000000000007</v>
      </c>
      <c r="H19" s="1394">
        <v>198.4</v>
      </c>
      <c r="I19" s="1394">
        <v>176.33</v>
      </c>
      <c r="J19" s="1395">
        <v>3834.7</v>
      </c>
      <c r="K19" s="1395">
        <v>7116.8</v>
      </c>
      <c r="L19" s="1395">
        <v>39599.907246380004</v>
      </c>
      <c r="M19" s="1384" t="s">
        <v>295</v>
      </c>
      <c r="N19" s="1396">
        <v>93.956800000000001</v>
      </c>
      <c r="O19" s="1396">
        <v>94.7</v>
      </c>
      <c r="P19" s="1397" t="s">
        <v>565</v>
      </c>
    </row>
    <row r="20" spans="1:16" ht="9.9499999999999993" customHeight="1">
      <c r="A20" s="1386" t="s">
        <v>566</v>
      </c>
      <c r="B20" s="1387" t="s">
        <v>295</v>
      </c>
      <c r="C20" s="1387">
        <v>9.52</v>
      </c>
      <c r="D20" s="1387" t="s">
        <v>295</v>
      </c>
      <c r="E20" s="1388">
        <v>6.6609199681544995</v>
      </c>
      <c r="F20" s="1388">
        <v>187.77</v>
      </c>
      <c r="G20" s="1388">
        <v>87.37</v>
      </c>
      <c r="H20" s="1388">
        <v>202.37</v>
      </c>
      <c r="I20" s="1388">
        <v>185.67</v>
      </c>
      <c r="J20" s="1389">
        <v>4409.2</v>
      </c>
      <c r="K20" s="1389">
        <v>7251.4</v>
      </c>
      <c r="L20" s="1389">
        <v>39065.793945680001</v>
      </c>
      <c r="M20" s="1387" t="s">
        <v>295</v>
      </c>
      <c r="N20" s="1390">
        <v>94.9</v>
      </c>
      <c r="O20" s="1390">
        <v>95</v>
      </c>
      <c r="P20" s="1391" t="s">
        <v>566</v>
      </c>
    </row>
    <row r="21" spans="1:16" ht="9.9499999999999993" customHeight="1">
      <c r="A21" s="1392" t="s">
        <v>560</v>
      </c>
      <c r="B21" s="1384" t="s">
        <v>295</v>
      </c>
      <c r="C21" s="1394">
        <v>9.1</v>
      </c>
      <c r="D21" s="1384" t="s">
        <v>295</v>
      </c>
      <c r="E21" s="1394">
        <v>6.9598855175087682</v>
      </c>
      <c r="F21" s="1394">
        <v>179.73</v>
      </c>
      <c r="G21" s="1394">
        <v>85.98</v>
      </c>
      <c r="H21" s="1394">
        <v>197.24</v>
      </c>
      <c r="I21" s="1394">
        <v>177.92</v>
      </c>
      <c r="J21" s="1395">
        <v>3650.8</v>
      </c>
      <c r="K21" s="1395">
        <v>6554.3</v>
      </c>
      <c r="L21" s="1395">
        <v>36476.406830829997</v>
      </c>
      <c r="M21" s="1384" t="s">
        <v>295</v>
      </c>
      <c r="N21" s="1396">
        <v>95.619</v>
      </c>
      <c r="O21" s="1396">
        <v>96</v>
      </c>
      <c r="P21" s="1397" t="s">
        <v>560</v>
      </c>
    </row>
    <row r="22" spans="1:16" ht="9.9499999999999993" customHeight="1">
      <c r="A22" s="1386" t="s">
        <v>567</v>
      </c>
      <c r="B22" s="1387" t="s">
        <v>295</v>
      </c>
      <c r="C22" s="1388">
        <v>8.91</v>
      </c>
      <c r="D22" s="1387" t="s">
        <v>295</v>
      </c>
      <c r="E22" s="1388">
        <v>7.2341355183939138</v>
      </c>
      <c r="F22" s="1388">
        <v>190.53</v>
      </c>
      <c r="G22" s="1388">
        <v>86.08</v>
      </c>
      <c r="H22" s="1388">
        <v>173.34</v>
      </c>
      <c r="I22" s="1388">
        <v>187.03</v>
      </c>
      <c r="J22" s="1389">
        <v>3667.5</v>
      </c>
      <c r="K22" s="1389">
        <v>6431.8</v>
      </c>
      <c r="L22" s="1389">
        <v>35808.734135990002</v>
      </c>
      <c r="M22" s="1387" t="s">
        <v>295</v>
      </c>
      <c r="N22" s="1390">
        <v>96.65</v>
      </c>
      <c r="O22" s="1390">
        <v>97</v>
      </c>
      <c r="P22" s="1391" t="s">
        <v>567</v>
      </c>
    </row>
    <row r="23" spans="1:16" ht="9.9499999999999993" customHeight="1">
      <c r="A23" s="1392" t="s">
        <v>568</v>
      </c>
      <c r="B23" s="1384" t="s">
        <v>295</v>
      </c>
      <c r="C23" s="1394">
        <v>8.85</v>
      </c>
      <c r="D23" s="1384" t="s">
        <v>295</v>
      </c>
      <c r="E23" s="1394">
        <v>7.4767067592749425</v>
      </c>
      <c r="F23" s="1394">
        <v>210.96</v>
      </c>
      <c r="G23" s="1394">
        <v>84.75</v>
      </c>
      <c r="H23" s="1394">
        <v>147.69999999999999</v>
      </c>
      <c r="I23" s="1394">
        <v>205.02</v>
      </c>
      <c r="J23" s="1395">
        <v>4118.6000000000004</v>
      </c>
      <c r="K23" s="1395">
        <v>5904.2</v>
      </c>
      <c r="L23" s="1395">
        <v>33786.26328449</v>
      </c>
      <c r="M23" s="1384" t="s">
        <v>295</v>
      </c>
      <c r="N23" s="1396">
        <v>97.636399999999995</v>
      </c>
      <c r="O23" s="1396">
        <v>98</v>
      </c>
      <c r="P23" s="1397" t="s">
        <v>568</v>
      </c>
    </row>
    <row r="24" spans="1:16" ht="9.9499999999999993" customHeight="1">
      <c r="A24" s="1386" t="s">
        <v>561</v>
      </c>
      <c r="B24" s="1387" t="s">
        <v>295</v>
      </c>
      <c r="C24" s="1387">
        <v>8.7100000000000009</v>
      </c>
      <c r="D24" s="1387" t="s">
        <v>295</v>
      </c>
      <c r="E24" s="1388">
        <v>7.6969543717689382</v>
      </c>
      <c r="F24" s="1388">
        <v>226.02</v>
      </c>
      <c r="G24" s="1388">
        <v>85.98</v>
      </c>
      <c r="H24" s="1388">
        <v>137.56</v>
      </c>
      <c r="I24" s="1388">
        <v>218.7</v>
      </c>
      <c r="J24" s="1389">
        <v>4340.1000000000004</v>
      </c>
      <c r="K24" s="1389">
        <v>5294.3</v>
      </c>
      <c r="L24" s="1389">
        <v>33747.739202849996</v>
      </c>
      <c r="M24" s="1387" t="s">
        <v>295</v>
      </c>
      <c r="N24" s="1390">
        <v>98.857100000000003</v>
      </c>
      <c r="O24" s="1390">
        <v>99</v>
      </c>
      <c r="P24" s="1391" t="s">
        <v>561</v>
      </c>
    </row>
    <row r="25" spans="1:16" ht="9.9499999999999993" customHeight="1">
      <c r="A25" s="1392" t="s">
        <v>569</v>
      </c>
      <c r="B25" s="1384" t="s">
        <v>295</v>
      </c>
      <c r="C25" s="1394">
        <v>8.57</v>
      </c>
      <c r="D25" s="1384" t="s">
        <v>295</v>
      </c>
      <c r="E25" s="1394">
        <v>7.9212793503700807</v>
      </c>
      <c r="F25" s="1394">
        <v>222.56</v>
      </c>
      <c r="G25" s="1394">
        <v>100.99</v>
      </c>
      <c r="H25" s="1394">
        <v>140.91</v>
      </c>
      <c r="I25" s="1394">
        <v>216.01</v>
      </c>
      <c r="J25" s="1395">
        <v>4123.1000000000004</v>
      </c>
      <c r="K25" s="1395">
        <v>5455.5</v>
      </c>
      <c r="L25" s="1395">
        <v>32222.554245490002</v>
      </c>
      <c r="M25" s="1384" t="s">
        <v>295</v>
      </c>
      <c r="N25" s="1396">
        <v>99.869600000000005</v>
      </c>
      <c r="O25" s="1396">
        <v>100</v>
      </c>
      <c r="P25" s="1397" t="s">
        <v>569</v>
      </c>
    </row>
    <row r="26" spans="1:16" ht="9.9499999999999993" customHeight="1">
      <c r="A26" s="1386" t="s">
        <v>570</v>
      </c>
      <c r="B26" s="1387" t="s">
        <v>295</v>
      </c>
      <c r="C26" s="1388">
        <v>9.33</v>
      </c>
      <c r="D26" s="1387" t="s">
        <v>295</v>
      </c>
      <c r="E26" s="1388">
        <v>8.14</v>
      </c>
      <c r="F26" s="1388">
        <v>202.54</v>
      </c>
      <c r="G26" s="1388">
        <v>101</v>
      </c>
      <c r="H26" s="1388">
        <v>139.63</v>
      </c>
      <c r="I26" s="1388">
        <v>197.28</v>
      </c>
      <c r="J26" s="1389">
        <v>3704</v>
      </c>
      <c r="K26" s="1389">
        <v>4428.1000000000004</v>
      </c>
      <c r="L26" s="1389">
        <v>32266.974350679997</v>
      </c>
      <c r="M26" s="1387" t="s">
        <v>295</v>
      </c>
      <c r="N26" s="1390">
        <v>100.9474</v>
      </c>
      <c r="O26" s="1390">
        <v>101</v>
      </c>
      <c r="P26" s="1391" t="s">
        <v>570</v>
      </c>
    </row>
    <row r="27" spans="1:16" ht="9.9499999999999993" customHeight="1">
      <c r="A27" s="1392" t="s">
        <v>562</v>
      </c>
      <c r="B27" s="1384" t="s">
        <v>295</v>
      </c>
      <c r="C27" s="1394">
        <v>8.7799999999999994</v>
      </c>
      <c r="D27" s="1384" t="s">
        <v>295</v>
      </c>
      <c r="E27" s="1394">
        <v>8.39</v>
      </c>
      <c r="F27" s="1394">
        <v>204.56</v>
      </c>
      <c r="G27" s="1394">
        <v>101</v>
      </c>
      <c r="H27" s="1394">
        <v>174.57</v>
      </c>
      <c r="I27" s="1394">
        <v>200.58</v>
      </c>
      <c r="J27" s="1395">
        <v>3700.5</v>
      </c>
      <c r="K27" s="1395">
        <v>5317</v>
      </c>
      <c r="L27" s="1395">
        <v>31142.722167050004</v>
      </c>
      <c r="M27" s="1384" t="s">
        <v>295</v>
      </c>
      <c r="N27" s="1396">
        <v>101.95</v>
      </c>
      <c r="O27" s="1396">
        <v>102</v>
      </c>
      <c r="P27" s="1397" t="s">
        <v>562</v>
      </c>
    </row>
    <row r="28" spans="1:16" ht="9.9499999999999993" customHeight="1">
      <c r="A28" s="1386" t="s">
        <v>571</v>
      </c>
      <c r="B28" s="1387">
        <v>9.24</v>
      </c>
      <c r="C28" s="1387" t="s">
        <v>295</v>
      </c>
      <c r="D28" s="1387">
        <v>8.64</v>
      </c>
      <c r="E28" s="1388" t="s">
        <v>295</v>
      </c>
      <c r="F28" s="1388">
        <v>195.32</v>
      </c>
      <c r="G28" s="1388">
        <v>101.12</v>
      </c>
      <c r="H28" s="1388">
        <v>192.47</v>
      </c>
      <c r="I28" s="1388">
        <v>192.68</v>
      </c>
      <c r="J28" s="1389">
        <v>3193.7</v>
      </c>
      <c r="K28" s="1389">
        <v>4701.3999999999996</v>
      </c>
      <c r="L28" s="1389">
        <v>30965.253730140001</v>
      </c>
      <c r="M28" s="1387" t="s">
        <v>295</v>
      </c>
      <c r="N28" s="1390">
        <v>102.88890000000001</v>
      </c>
      <c r="O28" s="1390">
        <v>103</v>
      </c>
      <c r="P28" s="1391" t="s">
        <v>571</v>
      </c>
    </row>
    <row r="29" spans="1:16" ht="9.9499999999999993" customHeight="1">
      <c r="A29" s="1392" t="s">
        <v>572</v>
      </c>
      <c r="B29" s="1384">
        <v>9.94</v>
      </c>
      <c r="C29" s="1394" t="s">
        <v>295</v>
      </c>
      <c r="D29" s="1384">
        <v>8.84</v>
      </c>
      <c r="E29" s="1394" t="s">
        <v>295</v>
      </c>
      <c r="F29" s="1394">
        <v>195.17</v>
      </c>
      <c r="G29" s="1394">
        <v>79.02</v>
      </c>
      <c r="H29" s="1394">
        <v>193.65</v>
      </c>
      <c r="I29" s="1394">
        <v>191.99</v>
      </c>
      <c r="J29" s="1395">
        <v>3809.9</v>
      </c>
      <c r="K29" s="1395">
        <v>5628.8</v>
      </c>
      <c r="L29" s="1395">
        <v>29873.9</v>
      </c>
      <c r="M29" s="1384" t="s">
        <v>295</v>
      </c>
      <c r="N29" s="1396">
        <v>104.4286</v>
      </c>
      <c r="O29" s="1396">
        <v>104.5</v>
      </c>
      <c r="P29" s="1397" t="s">
        <v>572</v>
      </c>
    </row>
    <row r="30" spans="1:16">
      <c r="A30" s="1386" t="s">
        <v>563</v>
      </c>
      <c r="B30" s="1387">
        <v>9.74</v>
      </c>
      <c r="C30" s="1388" t="s">
        <v>295</v>
      </c>
      <c r="D30" s="1387">
        <v>9.02</v>
      </c>
      <c r="E30" s="1388" t="s">
        <v>295</v>
      </c>
      <c r="F30" s="1388">
        <v>217.57</v>
      </c>
      <c r="G30" s="1388">
        <v>81.96</v>
      </c>
      <c r="H30" s="1388">
        <v>140.91</v>
      </c>
      <c r="I30" s="1388">
        <v>210.84</v>
      </c>
      <c r="J30" s="1389">
        <v>3942.5</v>
      </c>
      <c r="K30" s="1389">
        <v>4517.2</v>
      </c>
      <c r="L30" s="1389">
        <v>31203</v>
      </c>
      <c r="M30" s="1387">
        <v>24753.9</v>
      </c>
      <c r="N30" s="1390">
        <v>105.91670000000001</v>
      </c>
      <c r="O30" s="1390">
        <v>106</v>
      </c>
      <c r="P30" s="1391" t="s">
        <v>563</v>
      </c>
    </row>
    <row r="31" spans="1:16" s="1638" customFormat="1" ht="12" customHeight="1">
      <c r="A31" s="1406" t="s">
        <v>2344</v>
      </c>
      <c r="B31" s="1725">
        <f>B43</f>
        <v>9.7200000000000006</v>
      </c>
      <c r="C31" s="1404" t="s">
        <v>295</v>
      </c>
      <c r="D31" s="1725">
        <f>D43</f>
        <v>9.73</v>
      </c>
      <c r="E31" s="1404" t="s">
        <v>295</v>
      </c>
      <c r="F31" s="1404">
        <f>AVERAGE(F32:F43)</f>
        <v>206.33</v>
      </c>
      <c r="G31" s="1404">
        <f t="shared" ref="G31:H31" si="0">AVERAGE(G32:G43)</f>
        <v>77.583333333333329</v>
      </c>
      <c r="H31" s="1404">
        <f t="shared" si="0"/>
        <v>178.36333333333332</v>
      </c>
      <c r="I31" s="1404">
        <f>AVERAGE(I32:I43)</f>
        <v>202.921097</v>
      </c>
      <c r="J31" s="1405">
        <f>SUM(J32:J43)</f>
        <v>44474.799999999996</v>
      </c>
      <c r="K31" s="1405">
        <v>63226.165119333848</v>
      </c>
      <c r="L31" s="1405">
        <f>L43</f>
        <v>26714.236448445154</v>
      </c>
      <c r="M31" s="1405">
        <f>M43</f>
        <v>21686.335606135173</v>
      </c>
      <c r="N31" s="1726">
        <v>111.00239999999999</v>
      </c>
      <c r="O31" s="1726">
        <v>118</v>
      </c>
      <c r="P31" s="1407" t="s">
        <v>2344</v>
      </c>
    </row>
    <row r="32" spans="1:16" ht="9.9499999999999993" customHeight="1">
      <c r="A32" s="1386" t="s">
        <v>565</v>
      </c>
      <c r="B32" s="1387">
        <v>9.69</v>
      </c>
      <c r="C32" s="1387" t="s">
        <v>295</v>
      </c>
      <c r="D32" s="1387">
        <v>9.1999999999999993</v>
      </c>
      <c r="E32" s="1388" t="s">
        <v>295</v>
      </c>
      <c r="F32" s="1388">
        <v>202.27</v>
      </c>
      <c r="G32" s="1388">
        <v>82.09</v>
      </c>
      <c r="H32" s="1388">
        <v>215.84</v>
      </c>
      <c r="I32" s="1388">
        <v>199.89</v>
      </c>
      <c r="J32" s="1389">
        <v>3715.6</v>
      </c>
      <c r="K32" s="1389">
        <v>5980.2902498484509</v>
      </c>
      <c r="L32" s="1389">
        <v>29732.070291949902</v>
      </c>
      <c r="M32" s="1389">
        <v>23374.252690129997</v>
      </c>
      <c r="N32" s="1390">
        <v>108.74</v>
      </c>
      <c r="O32" s="1390">
        <v>109</v>
      </c>
      <c r="P32" s="1391" t="s">
        <v>565</v>
      </c>
    </row>
    <row r="33" spans="1:16" ht="9.9499999999999993" customHeight="1">
      <c r="A33" s="1392" t="s">
        <v>566</v>
      </c>
      <c r="B33" s="1384">
        <v>9.92</v>
      </c>
      <c r="C33" s="1394" t="s">
        <v>295</v>
      </c>
      <c r="D33" s="1384">
        <v>9.24</v>
      </c>
      <c r="E33" s="1394" t="s">
        <v>295</v>
      </c>
      <c r="F33" s="1394">
        <v>198.19</v>
      </c>
      <c r="G33" s="1394">
        <v>81.430000000000007</v>
      </c>
      <c r="H33" s="1394">
        <v>191.34</v>
      </c>
      <c r="I33" s="1394">
        <v>202.87</v>
      </c>
      <c r="J33" s="1395">
        <v>3820.1</v>
      </c>
      <c r="K33" s="1395">
        <v>5393.9570641445653</v>
      </c>
      <c r="L33" s="1395">
        <v>29260.653703449811</v>
      </c>
      <c r="M33" s="1395">
        <v>23255.073009029999</v>
      </c>
      <c r="N33" s="1396">
        <v>109.434</v>
      </c>
      <c r="O33" s="1396">
        <v>109.5</v>
      </c>
      <c r="P33" s="1397" t="s">
        <v>566</v>
      </c>
    </row>
    <row r="34" spans="1:16" ht="9.9499999999999993" customHeight="1">
      <c r="A34" s="1386" t="s">
        <v>560</v>
      </c>
      <c r="B34" s="1387">
        <v>9.6300000000000008</v>
      </c>
      <c r="C34" s="1388" t="s">
        <v>295</v>
      </c>
      <c r="D34" s="1387">
        <v>9.2899999999999991</v>
      </c>
      <c r="E34" s="1388" t="s">
        <v>295</v>
      </c>
      <c r="F34" s="1388">
        <v>194.87</v>
      </c>
      <c r="G34" s="1388">
        <v>74.19</v>
      </c>
      <c r="H34" s="1388">
        <v>186.86</v>
      </c>
      <c r="I34" s="1388">
        <v>196.99</v>
      </c>
      <c r="J34" s="1389">
        <v>3296.9</v>
      </c>
      <c r="K34" s="1389">
        <v>4508.0529458067276</v>
      </c>
      <c r="L34" s="1389">
        <v>26911.02355403981</v>
      </c>
      <c r="M34" s="1389">
        <v>21059.777311500002</v>
      </c>
      <c r="N34" s="1390">
        <v>109.98139999999999</v>
      </c>
      <c r="O34" s="1390">
        <v>110.18089999999999</v>
      </c>
      <c r="P34" s="1391" t="s">
        <v>560</v>
      </c>
    </row>
    <row r="35" spans="1:16" ht="9.9499999999999993" customHeight="1">
      <c r="A35" s="1392" t="s">
        <v>567</v>
      </c>
      <c r="B35" s="1384">
        <v>9.93</v>
      </c>
      <c r="C35" s="1394" t="s">
        <v>295</v>
      </c>
      <c r="D35" s="1384">
        <v>9.3699999999999992</v>
      </c>
      <c r="E35" s="1394" t="s">
        <v>295</v>
      </c>
      <c r="F35" s="1394">
        <v>184.4</v>
      </c>
      <c r="G35" s="1394">
        <v>79.48</v>
      </c>
      <c r="H35" s="1394">
        <v>183.36</v>
      </c>
      <c r="I35" s="1394">
        <f>(F35*93.28+G35*2.68+4.04*H35)/100</f>
        <v>181.54612799999998</v>
      </c>
      <c r="J35" s="1395">
        <v>3430.2</v>
      </c>
      <c r="K35" s="1395">
        <v>5370.1965859321726</v>
      </c>
      <c r="L35" s="1395">
        <v>26481.029370339998</v>
      </c>
      <c r="M35" s="1395">
        <v>20710.222864769999</v>
      </c>
      <c r="N35" s="1396">
        <v>110.4798</v>
      </c>
      <c r="O35" s="1396">
        <v>110.5</v>
      </c>
      <c r="P35" s="1397" t="s">
        <v>567</v>
      </c>
    </row>
    <row r="36" spans="1:16" ht="9.9499999999999993" customHeight="1">
      <c r="A36" s="1386" t="s">
        <v>568</v>
      </c>
      <c r="B36" s="1387">
        <v>9.49</v>
      </c>
      <c r="C36" s="1387" t="s">
        <v>295</v>
      </c>
      <c r="D36" s="1387">
        <v>9.42</v>
      </c>
      <c r="E36" s="1388" t="s">
        <v>295</v>
      </c>
      <c r="F36" s="1388">
        <v>205.67</v>
      </c>
      <c r="G36" s="1388">
        <v>83.98</v>
      </c>
      <c r="H36" s="1388">
        <v>141.88999999999999</v>
      </c>
      <c r="I36" s="1388">
        <f t="shared" ref="I36:I43" si="1">(F36*93.28+G36*2.68+4.04*H36)/100</f>
        <v>199.831996</v>
      </c>
      <c r="J36" s="1389">
        <v>3566.1</v>
      </c>
      <c r="K36" s="1389">
        <v>5708.1093756783675</v>
      </c>
      <c r="L36" s="1389">
        <v>24894.58181</v>
      </c>
      <c r="M36" s="1389">
        <v>19300.61138178</v>
      </c>
      <c r="N36" s="1390">
        <v>110.8623</v>
      </c>
      <c r="O36" s="1390">
        <v>110.5</v>
      </c>
      <c r="P36" s="1391" t="s">
        <v>568</v>
      </c>
    </row>
    <row r="37" spans="1:16" ht="9.9499999999999993" customHeight="1">
      <c r="A37" s="1392" t="s">
        <v>561</v>
      </c>
      <c r="B37" s="1384">
        <v>9.41</v>
      </c>
      <c r="C37" s="1394" t="s">
        <v>295</v>
      </c>
      <c r="D37" s="1384">
        <v>9.48</v>
      </c>
      <c r="E37" s="1394" t="s">
        <v>295</v>
      </c>
      <c r="F37" s="1394">
        <v>220.66</v>
      </c>
      <c r="G37" s="1394">
        <v>76.92</v>
      </c>
      <c r="H37" s="1394">
        <v>135.25</v>
      </c>
      <c r="I37" s="1394">
        <f t="shared" si="1"/>
        <v>213.357204</v>
      </c>
      <c r="J37" s="1395">
        <v>3934.4</v>
      </c>
      <c r="K37" s="1395">
        <v>5008.2647232650033</v>
      </c>
      <c r="L37" s="1395">
        <v>27130.037090907601</v>
      </c>
      <c r="M37" s="1395">
        <v>21867.560341549299</v>
      </c>
      <c r="N37" s="1396">
        <v>110.15</v>
      </c>
      <c r="O37" s="1396">
        <v>110</v>
      </c>
      <c r="P37" s="1397" t="s">
        <v>561</v>
      </c>
    </row>
    <row r="38" spans="1:16" ht="9.9499999999999993" customHeight="1">
      <c r="A38" s="1386" t="s">
        <v>569</v>
      </c>
      <c r="B38" s="1387">
        <v>9.86</v>
      </c>
      <c r="C38" s="1388" t="s">
        <v>295</v>
      </c>
      <c r="D38" s="1387">
        <v>9.59</v>
      </c>
      <c r="E38" s="1388" t="s">
        <v>295</v>
      </c>
      <c r="F38" s="1388">
        <v>230.78</v>
      </c>
      <c r="G38" s="1388">
        <v>74.14</v>
      </c>
      <c r="H38" s="1388">
        <v>133.37</v>
      </c>
      <c r="I38" s="1388">
        <f t="shared" si="1"/>
        <v>222.64668399999999</v>
      </c>
      <c r="J38" s="1389">
        <v>4197.3</v>
      </c>
      <c r="K38" s="1389">
        <v>5664.6858932111027</v>
      </c>
      <c r="L38" s="1389">
        <v>25111.91803434</v>
      </c>
      <c r="M38" s="1389">
        <v>19963.455985557106</v>
      </c>
      <c r="N38" s="1390">
        <v>110</v>
      </c>
      <c r="O38" s="1390">
        <v>110</v>
      </c>
      <c r="P38" s="1391" t="s">
        <v>569</v>
      </c>
    </row>
    <row r="39" spans="1:16" ht="9.9499999999999993" customHeight="1">
      <c r="A39" s="1392" t="s">
        <v>570</v>
      </c>
      <c r="B39" s="1384">
        <v>9.67</v>
      </c>
      <c r="C39" s="1394" t="s">
        <v>295</v>
      </c>
      <c r="D39" s="1384">
        <v>9.66</v>
      </c>
      <c r="E39" s="1394" t="s">
        <v>295</v>
      </c>
      <c r="F39" s="1394">
        <v>215.41</v>
      </c>
      <c r="G39" s="1394">
        <v>71.03</v>
      </c>
      <c r="H39" s="1394">
        <v>132.54</v>
      </c>
      <c r="I39" s="1394">
        <f t="shared" si="1"/>
        <v>208.19266800000003</v>
      </c>
      <c r="J39" s="1395">
        <v>3871.5</v>
      </c>
      <c r="K39" s="1395">
        <v>4487.3898371496516</v>
      </c>
      <c r="L39" s="1395">
        <v>25966.569562549997</v>
      </c>
      <c r="M39" s="1395">
        <v>20780.033041955525</v>
      </c>
      <c r="N39" s="1396">
        <v>110</v>
      </c>
      <c r="O39" s="1396">
        <v>110</v>
      </c>
      <c r="P39" s="1397" t="s">
        <v>570</v>
      </c>
    </row>
    <row r="40" spans="1:16" ht="9.9499999999999993" customHeight="1">
      <c r="A40" s="1386" t="s">
        <v>562</v>
      </c>
      <c r="B40" s="1387">
        <v>9.81</v>
      </c>
      <c r="C40" s="1387" t="s">
        <v>295</v>
      </c>
      <c r="D40" s="1387">
        <v>9.69</v>
      </c>
      <c r="E40" s="1388" t="s">
        <v>295</v>
      </c>
      <c r="F40" s="1388">
        <v>219.23</v>
      </c>
      <c r="G40" s="1388">
        <v>80.73</v>
      </c>
      <c r="H40" s="1388">
        <v>169.1</v>
      </c>
      <c r="I40" s="1388">
        <f t="shared" si="1"/>
        <v>213.49294799999998</v>
      </c>
      <c r="J40" s="1389">
        <v>3813.6</v>
      </c>
      <c r="K40" s="1389">
        <v>5164.2883106180943</v>
      </c>
      <c r="L40" s="1389">
        <v>25231.672381873188</v>
      </c>
      <c r="M40" s="1389">
        <v>19912.983762143409</v>
      </c>
      <c r="N40" s="1390">
        <v>110</v>
      </c>
      <c r="O40" s="1390">
        <v>110</v>
      </c>
      <c r="P40" s="1391" t="s">
        <v>562</v>
      </c>
    </row>
    <row r="41" spans="1:16" ht="9.9499999999999993" customHeight="1">
      <c r="A41" s="1392" t="s">
        <v>571</v>
      </c>
      <c r="B41" s="1384">
        <v>9.74</v>
      </c>
      <c r="C41" s="1394" t="s">
        <v>295</v>
      </c>
      <c r="D41" s="1384">
        <v>9.73</v>
      </c>
      <c r="E41" s="1394" t="s">
        <v>2565</v>
      </c>
      <c r="F41" s="1394">
        <v>197.38</v>
      </c>
      <c r="G41" s="1394">
        <v>72.34</v>
      </c>
      <c r="H41" s="1394">
        <v>209.56</v>
      </c>
      <c r="I41" s="1394">
        <f t="shared" si="1"/>
        <v>194.52100000000002</v>
      </c>
      <c r="J41" s="1395">
        <v>2991.6</v>
      </c>
      <c r="K41" s="1395">
        <v>5453.572325857137</v>
      </c>
      <c r="L41" s="1395">
        <v>25365.19975008352</v>
      </c>
      <c r="M41" s="1395">
        <v>19975.804236285614</v>
      </c>
      <c r="N41" s="1396">
        <v>110</v>
      </c>
      <c r="O41" s="1396">
        <v>110</v>
      </c>
      <c r="P41" s="1397" t="s">
        <v>571</v>
      </c>
    </row>
    <row r="42" spans="1:16" ht="9.9499999999999993" customHeight="1">
      <c r="A42" s="1386" t="s">
        <v>572</v>
      </c>
      <c r="B42" s="1387">
        <v>9.89</v>
      </c>
      <c r="C42" s="1388" t="s">
        <v>295</v>
      </c>
      <c r="D42" s="1387">
        <v>9.73</v>
      </c>
      <c r="E42" s="1388" t="s">
        <v>295</v>
      </c>
      <c r="F42" s="1388">
        <v>195.37</v>
      </c>
      <c r="G42" s="1388">
        <v>80.94</v>
      </c>
      <c r="H42" s="1388">
        <v>222.29</v>
      </c>
      <c r="I42" s="1388">
        <f t="shared" si="1"/>
        <v>193.39084399999999</v>
      </c>
      <c r="J42" s="1389">
        <v>4091.6</v>
      </c>
      <c r="K42" s="1389">
        <v>5365.2809837411914</v>
      </c>
      <c r="L42" s="1389">
        <v>24197.191641732054</v>
      </c>
      <c r="M42" s="1389">
        <v>18646.219141744496</v>
      </c>
      <c r="N42" s="1390">
        <v>115.3476</v>
      </c>
      <c r="O42" s="1390">
        <v>117.8733</v>
      </c>
      <c r="P42" s="1391" t="s">
        <v>572</v>
      </c>
    </row>
    <row r="43" spans="1:16" s="196" customFormat="1" ht="9.9499999999999993" customHeight="1">
      <c r="A43" s="1392" t="s">
        <v>563</v>
      </c>
      <c r="B43" s="1384">
        <v>9.7200000000000006</v>
      </c>
      <c r="C43" s="1394" t="s">
        <v>295</v>
      </c>
      <c r="D43" s="1384">
        <v>9.73</v>
      </c>
      <c r="E43" s="1394" t="s">
        <v>295</v>
      </c>
      <c r="F43" s="1394">
        <v>211.73</v>
      </c>
      <c r="G43" s="1394">
        <v>73.73</v>
      </c>
      <c r="H43" s="1394">
        <v>218.96</v>
      </c>
      <c r="I43" s="1394">
        <f t="shared" si="1"/>
        <v>208.32369199999997</v>
      </c>
      <c r="J43" s="1395">
        <v>3745.9</v>
      </c>
      <c r="K43" s="1395">
        <v>5122.0768240813859</v>
      </c>
      <c r="L43" s="1395">
        <v>26714.236448445154</v>
      </c>
      <c r="M43" s="1395">
        <v>21686.335606135173</v>
      </c>
      <c r="N43" s="1396">
        <v>117.9787</v>
      </c>
      <c r="O43" s="1396">
        <v>118</v>
      </c>
      <c r="P43" s="1397" t="s">
        <v>563</v>
      </c>
    </row>
    <row r="44" spans="1:16" s="184" customFormat="1" ht="12" customHeight="1">
      <c r="A44" s="1398" t="s">
        <v>2680</v>
      </c>
      <c r="B44" s="1399"/>
      <c r="C44" s="1399"/>
      <c r="D44" s="1399"/>
      <c r="E44" s="1400"/>
      <c r="F44" s="1400"/>
      <c r="G44" s="1400"/>
      <c r="H44" s="1400"/>
      <c r="I44" s="1400"/>
      <c r="J44" s="1401"/>
      <c r="K44" s="1401"/>
      <c r="L44" s="1401"/>
      <c r="M44" s="1401"/>
      <c r="N44" s="1402"/>
      <c r="O44" s="1402"/>
      <c r="P44" s="1403" t="s">
        <v>2680</v>
      </c>
    </row>
    <row r="45" spans="1:16" ht="9.9499999999999993" customHeight="1">
      <c r="A45" s="1392" t="s">
        <v>565</v>
      </c>
      <c r="B45" s="1384">
        <v>11.66</v>
      </c>
      <c r="C45" s="1394" t="s">
        <v>295</v>
      </c>
      <c r="D45" s="1385">
        <v>9.9</v>
      </c>
      <c r="E45" s="1394" t="s">
        <v>295</v>
      </c>
      <c r="F45" s="1394">
        <v>200.48</v>
      </c>
      <c r="G45" s="1394">
        <v>77.02</v>
      </c>
      <c r="H45" s="1394">
        <v>208.98</v>
      </c>
      <c r="I45" s="1394">
        <f>(F45*93.28+G45*2.68+4.04*H45)/100</f>
        <v>197.51467199999999</v>
      </c>
      <c r="J45" s="1395">
        <v>3823.7</v>
      </c>
      <c r="K45" s="1395">
        <v>4737.1840309999998</v>
      </c>
      <c r="L45" s="1395">
        <v>25823.587691788161</v>
      </c>
      <c r="M45" s="1395">
        <v>20393.664815119857</v>
      </c>
      <c r="N45" s="1396">
        <v>117.9789</v>
      </c>
      <c r="O45" s="1396">
        <v>118</v>
      </c>
      <c r="P45" s="1397" t="s">
        <v>565</v>
      </c>
    </row>
    <row r="46" spans="1:16" ht="9.9499999999999993" customHeight="1">
      <c r="A46" s="1386" t="s">
        <v>566</v>
      </c>
      <c r="B46" s="1387">
        <v>10.49</v>
      </c>
      <c r="C46" s="1388" t="s">
        <v>295</v>
      </c>
      <c r="D46" s="1387">
        <v>9.9499999999999993</v>
      </c>
      <c r="E46" s="1388" t="s">
        <v>295</v>
      </c>
      <c r="F46" s="1388">
        <v>196.21</v>
      </c>
      <c r="G46" s="1388">
        <v>80.430000000000007</v>
      </c>
      <c r="H46" s="1388">
        <v>208.82</v>
      </c>
      <c r="I46" s="1388">
        <f t="shared" ref="I46:I48" si="2">(F46*93.28+G46*2.68+4.04*H46)/100</f>
        <v>193.61654000000001</v>
      </c>
      <c r="J46" s="1389">
        <v>4033.6</v>
      </c>
      <c r="K46" s="1389">
        <v>5035.065216</v>
      </c>
      <c r="L46" s="1389">
        <v>25580.779565510002</v>
      </c>
      <c r="M46" s="1389">
        <v>20475.410147840001</v>
      </c>
      <c r="N46" s="1390">
        <v>118.73009999999999</v>
      </c>
      <c r="O46" s="1390">
        <v>120</v>
      </c>
      <c r="P46" s="1391" t="s">
        <v>566</v>
      </c>
    </row>
    <row r="47" spans="1:16" ht="9.9499999999999993" customHeight="1">
      <c r="A47" s="1392" t="s">
        <v>560</v>
      </c>
      <c r="B47" s="1384">
        <v>9.92</v>
      </c>
      <c r="C47" s="1394" t="s">
        <v>295</v>
      </c>
      <c r="D47" s="1384">
        <v>9.9700000000000006</v>
      </c>
      <c r="E47" s="1394" t="s">
        <v>295</v>
      </c>
      <c r="F47" s="1394">
        <v>202.8</v>
      </c>
      <c r="G47" s="1394">
        <v>71.19</v>
      </c>
      <c r="H47" s="1394">
        <v>211.08</v>
      </c>
      <c r="I47" s="1394">
        <f t="shared" si="2"/>
        <v>199.60736400000002</v>
      </c>
      <c r="J47" s="1395">
        <v>3800.5</v>
      </c>
      <c r="K47" s="1395">
        <v>5419.3774569999996</v>
      </c>
      <c r="L47" s="1395">
        <v>24862.966229161495</v>
      </c>
      <c r="M47" s="1395">
        <v>19861.451091429168</v>
      </c>
      <c r="N47" s="1396">
        <v>120</v>
      </c>
      <c r="O47" s="1396">
        <v>120</v>
      </c>
      <c r="P47" s="1397" t="s">
        <v>560</v>
      </c>
    </row>
    <row r="48" spans="1:16" ht="9.9499999999999993" customHeight="1">
      <c r="A48" s="1386" t="s">
        <v>567</v>
      </c>
      <c r="B48" s="1387">
        <v>10.87</v>
      </c>
      <c r="C48" s="1387" t="s">
        <v>295</v>
      </c>
      <c r="D48" s="1387">
        <v>10.050000000000001</v>
      </c>
      <c r="E48" s="1388" t="s">
        <v>295</v>
      </c>
      <c r="F48" s="1388">
        <v>200.97</v>
      </c>
      <c r="G48" s="1388">
        <v>72.3</v>
      </c>
      <c r="H48" s="1388">
        <v>194.98</v>
      </c>
      <c r="I48" s="1388">
        <f t="shared" si="2"/>
        <v>197.27964799999998</v>
      </c>
      <c r="J48" s="1389">
        <v>4130.9446654306312</v>
      </c>
      <c r="K48" s="1389">
        <v>5870.7443130000011</v>
      </c>
      <c r="L48" s="1389">
        <v>25486.715071439998</v>
      </c>
      <c r="M48" s="1389">
        <v>19829.949591539997</v>
      </c>
      <c r="N48" s="1390">
        <v>119.99939999999999</v>
      </c>
      <c r="O48" s="1390">
        <v>120</v>
      </c>
      <c r="P48" s="1391" t="s">
        <v>567</v>
      </c>
    </row>
    <row r="49" spans="1:16" ht="9.9499999999999993" customHeight="1">
      <c r="A49" s="1392" t="s">
        <v>568</v>
      </c>
      <c r="B49" s="1393">
        <v>11.38</v>
      </c>
      <c r="C49" s="1393" t="s">
        <v>295</v>
      </c>
      <c r="D49" s="1393">
        <v>10.220000000000001</v>
      </c>
      <c r="E49" s="1394" t="s">
        <v>295</v>
      </c>
      <c r="F49" s="1394">
        <v>221.24</v>
      </c>
      <c r="G49" s="1394">
        <v>72.22</v>
      </c>
      <c r="H49" s="1394">
        <v>155.69</v>
      </c>
      <c r="I49" s="1394">
        <f>(F49*93.28+G49*2.68+4.04*H49)/100</f>
        <v>214.59804400000002</v>
      </c>
      <c r="J49" s="1395">
        <v>4118.7</v>
      </c>
      <c r="K49" s="1395">
        <v>4930.2745880000002</v>
      </c>
      <c r="L49" s="1395">
        <v>24350.21855053</v>
      </c>
      <c r="M49" s="1395">
        <v>18611.38046271</v>
      </c>
      <c r="N49" s="1396">
        <v>120</v>
      </c>
      <c r="O49" s="1396">
        <v>120</v>
      </c>
      <c r="P49" s="1397" t="s">
        <v>568</v>
      </c>
    </row>
    <row r="50" spans="1:16" ht="9.9499999999999993" customHeight="1">
      <c r="A50" s="1386" t="s">
        <v>561</v>
      </c>
      <c r="B50" s="1387">
        <v>10.89</v>
      </c>
      <c r="C50" s="1387" t="s">
        <v>295</v>
      </c>
      <c r="D50" s="1387">
        <v>10.34</v>
      </c>
      <c r="E50" s="1388" t="s">
        <v>295</v>
      </c>
      <c r="F50" s="1388">
        <v>240.37</v>
      </c>
      <c r="G50" s="1388">
        <v>69.83</v>
      </c>
      <c r="H50" s="1388">
        <v>145.37</v>
      </c>
      <c r="I50" s="1388">
        <f>(F50*93.28+G50*2.68+4.04*H50)/100</f>
        <v>231.96152799999999</v>
      </c>
      <c r="J50" s="1389">
        <v>4626.38</v>
      </c>
      <c r="K50" s="1389">
        <v>5669.1051780000007</v>
      </c>
      <c r="L50" s="1389">
        <v>26214.802105800001</v>
      </c>
      <c r="M50" s="1389">
        <v>21394.726960620003</v>
      </c>
      <c r="N50" s="1390">
        <v>120</v>
      </c>
      <c r="O50" s="1390">
        <v>120</v>
      </c>
      <c r="P50" s="1391" t="s">
        <v>561</v>
      </c>
    </row>
    <row r="51" spans="1:16" ht="9.9499999999999993" customHeight="1">
      <c r="A51" s="1392" t="s">
        <v>569</v>
      </c>
      <c r="B51" s="1393">
        <v>9.94</v>
      </c>
      <c r="C51" s="1393" t="s">
        <v>295</v>
      </c>
      <c r="D51" s="1393">
        <v>10.34</v>
      </c>
      <c r="E51" s="1394"/>
      <c r="F51" s="1394" t="s">
        <v>295</v>
      </c>
      <c r="G51" s="1394" t="s">
        <v>295</v>
      </c>
      <c r="H51" s="1394" t="s">
        <v>295</v>
      </c>
      <c r="I51" s="1394" t="s">
        <v>295</v>
      </c>
      <c r="J51" s="1395">
        <v>4432.0399999999991</v>
      </c>
      <c r="K51" s="1395">
        <v>5845</v>
      </c>
      <c r="L51" s="1395">
        <v>25305.643511310001</v>
      </c>
      <c r="M51" s="1395">
        <v>19962.356530950001</v>
      </c>
      <c r="N51" s="1396">
        <v>121.9091</v>
      </c>
      <c r="O51" s="1396">
        <v>122</v>
      </c>
      <c r="P51" s="1397" t="s">
        <v>569</v>
      </c>
    </row>
    <row r="52" spans="1:16" s="1804" customFormat="1" ht="9.9499999999999993" customHeight="1" thickBot="1">
      <c r="A52" s="1832" t="s">
        <v>570</v>
      </c>
      <c r="B52" s="1833">
        <v>9.32</v>
      </c>
      <c r="C52" s="1833" t="s">
        <v>295</v>
      </c>
      <c r="D52" s="1833">
        <v>10.31</v>
      </c>
      <c r="E52" s="1834" t="s">
        <v>295</v>
      </c>
      <c r="F52" s="1834" t="s">
        <v>295</v>
      </c>
      <c r="G52" s="1834" t="s">
        <v>295</v>
      </c>
      <c r="H52" s="1834" t="s">
        <v>295</v>
      </c>
      <c r="I52" s="1834" t="s">
        <v>295</v>
      </c>
      <c r="J52" s="1835">
        <v>3973.2</v>
      </c>
      <c r="K52" s="1835" t="s">
        <v>295</v>
      </c>
      <c r="L52" s="1835">
        <v>26175.717991943791</v>
      </c>
      <c r="M52" s="1835">
        <v>20945.863226653793</v>
      </c>
      <c r="N52" s="1836">
        <v>122</v>
      </c>
      <c r="O52" s="1836">
        <v>122</v>
      </c>
      <c r="P52" s="1837" t="s">
        <v>570</v>
      </c>
    </row>
    <row r="53" spans="1:16" ht="8.25" customHeight="1">
      <c r="A53" s="1408" t="s">
        <v>1392</v>
      </c>
      <c r="B53" s="1987" t="s">
        <v>1331</v>
      </c>
      <c r="C53" s="1987"/>
      <c r="D53" s="1987"/>
      <c r="E53" s="1987"/>
      <c r="F53" s="1987"/>
      <c r="G53" s="1409"/>
      <c r="H53" s="1409"/>
      <c r="I53" s="1409"/>
      <c r="J53" s="1410" t="s">
        <v>1394</v>
      </c>
      <c r="K53" s="1994" t="s">
        <v>2831</v>
      </c>
      <c r="L53" s="1994"/>
      <c r="M53" s="1994"/>
      <c r="N53" s="1994"/>
      <c r="O53" s="1994"/>
      <c r="P53" s="1994"/>
    </row>
    <row r="54" spans="1:16" ht="9.9499999999999993" customHeight="1">
      <c r="A54" s="1411"/>
      <c r="B54" s="1988" t="s">
        <v>1330</v>
      </c>
      <c r="C54" s="1988"/>
      <c r="D54" s="1988"/>
      <c r="E54" s="1988"/>
      <c r="F54" s="1988"/>
      <c r="G54" s="1988"/>
      <c r="H54" s="1988"/>
      <c r="I54" s="1988"/>
      <c r="J54" s="1412"/>
      <c r="K54" s="1978" t="s">
        <v>2832</v>
      </c>
      <c r="L54" s="1978"/>
      <c r="M54" s="1978"/>
      <c r="N54" s="1978"/>
      <c r="O54" s="1978"/>
      <c r="P54" s="1978"/>
    </row>
    <row r="55" spans="1:16" ht="9.75" customHeight="1">
      <c r="A55" s="1411"/>
      <c r="B55" s="1413" t="s">
        <v>2298</v>
      </c>
      <c r="C55" s="1413"/>
      <c r="D55" s="1413"/>
      <c r="E55" s="1413"/>
      <c r="F55" s="1413"/>
      <c r="G55" s="1413"/>
      <c r="H55" s="1782"/>
      <c r="I55" s="1414"/>
      <c r="J55" s="1415"/>
      <c r="K55" s="1978" t="s">
        <v>2833</v>
      </c>
      <c r="L55" s="1978"/>
      <c r="M55" s="1978"/>
      <c r="N55" s="1978"/>
      <c r="O55" s="1978"/>
      <c r="P55" s="1978"/>
    </row>
    <row r="56" spans="1:16" ht="9.9499999999999993" customHeight="1">
      <c r="A56" s="1411" t="s">
        <v>635</v>
      </c>
      <c r="B56" s="1411"/>
      <c r="C56" s="1411"/>
      <c r="D56" s="1411"/>
      <c r="E56" s="1411"/>
      <c r="F56" s="1411"/>
      <c r="G56" s="1411"/>
      <c r="H56" s="1416"/>
      <c r="I56" s="1417"/>
      <c r="J56" s="1412"/>
      <c r="K56" s="1978" t="s">
        <v>2834</v>
      </c>
      <c r="L56" s="1978"/>
      <c r="M56" s="1978"/>
      <c r="N56" s="1978"/>
      <c r="O56" s="1978"/>
      <c r="P56" s="1978"/>
    </row>
    <row r="57" spans="1:16" ht="9.9499999999999993" customHeight="1">
      <c r="A57" s="1411"/>
      <c r="B57" s="1418" t="s">
        <v>1389</v>
      </c>
      <c r="C57" s="1413"/>
      <c r="D57" s="1413"/>
      <c r="E57" s="1413"/>
      <c r="F57" s="1413"/>
      <c r="G57" s="1413"/>
      <c r="H57" s="1413"/>
      <c r="I57" s="1419"/>
      <c r="J57" s="1423"/>
      <c r="K57" s="1987" t="s">
        <v>2835</v>
      </c>
      <c r="L57" s="1987"/>
      <c r="M57" s="1987"/>
      <c r="N57" s="1987"/>
      <c r="O57" s="1987"/>
      <c r="P57" s="1411"/>
    </row>
    <row r="58" spans="1:16" ht="9.9499999999999993" customHeight="1">
      <c r="A58" s="1420" t="s">
        <v>1393</v>
      </c>
      <c r="B58" s="1978" t="s">
        <v>191</v>
      </c>
      <c r="C58" s="1978"/>
      <c r="D58" s="1418"/>
      <c r="E58" s="1421" t="s">
        <v>1348</v>
      </c>
      <c r="F58" s="1418"/>
      <c r="G58" s="1411"/>
      <c r="H58" s="1422"/>
      <c r="I58" s="1417"/>
      <c r="J58" s="1423" t="s">
        <v>1395</v>
      </c>
      <c r="K58" s="1995" t="s">
        <v>2827</v>
      </c>
      <c r="L58" s="1995"/>
      <c r="M58" s="1995"/>
      <c r="N58" s="1995"/>
      <c r="O58" s="1995"/>
      <c r="P58" s="1995"/>
    </row>
    <row r="59" spans="1:16" ht="9" customHeight="1">
      <c r="A59" s="1411"/>
      <c r="B59" s="1411"/>
      <c r="C59" s="1411"/>
      <c r="D59" s="1418"/>
      <c r="E59" s="1411"/>
      <c r="F59" s="1418"/>
      <c r="G59" s="1411"/>
      <c r="H59" s="1411" t="s">
        <v>635</v>
      </c>
      <c r="I59" s="1417"/>
      <c r="J59" s="1423"/>
      <c r="K59" s="1424" t="s">
        <v>2826</v>
      </c>
      <c r="L59" s="1424"/>
      <c r="M59" s="1424" t="s">
        <v>2829</v>
      </c>
      <c r="N59" s="1424"/>
      <c r="O59" s="1424"/>
      <c r="P59" s="1424"/>
    </row>
    <row r="60" spans="1:16" ht="10.5" customHeight="1">
      <c r="A60" s="1411"/>
      <c r="B60" s="1260"/>
      <c r="C60" s="1411"/>
      <c r="D60" s="1411"/>
      <c r="E60" s="1411"/>
      <c r="F60" s="1411"/>
      <c r="G60" s="1411"/>
      <c r="H60" s="1426"/>
      <c r="I60" s="1417"/>
      <c r="J60" s="1782" t="s">
        <v>192</v>
      </c>
      <c r="K60" s="1724" t="s">
        <v>2828</v>
      </c>
      <c r="L60" s="1724"/>
      <c r="M60" s="1724"/>
      <c r="N60" s="1724"/>
      <c r="O60" s="1724"/>
      <c r="P60" s="1724"/>
    </row>
    <row r="61" spans="1:16">
      <c r="A61" s="1411"/>
      <c r="B61" s="969"/>
      <c r="C61" s="1411"/>
      <c r="D61" s="1411"/>
      <c r="E61" s="1411"/>
      <c r="F61" s="1411"/>
      <c r="G61" s="1411"/>
      <c r="H61" s="1426"/>
      <c r="I61" s="1417"/>
      <c r="J61" s="1417"/>
      <c r="K61" s="1428"/>
      <c r="L61" s="1425"/>
      <c r="M61" s="1426"/>
      <c r="N61" s="1426"/>
      <c r="O61" s="1411"/>
      <c r="P61" s="1411"/>
    </row>
    <row r="62" spans="1:16">
      <c r="C62" s="1429"/>
      <c r="D62" s="1430"/>
      <c r="E62" s="1429"/>
      <c r="F62" s="1430"/>
      <c r="G62" s="1430"/>
      <c r="H62" s="1426"/>
      <c r="I62" s="1417"/>
      <c r="J62" s="1427"/>
      <c r="K62" s="1428"/>
      <c r="L62" s="1425"/>
      <c r="M62" s="1426"/>
      <c r="N62" s="1429"/>
      <c r="O62" s="1431"/>
      <c r="P62" s="1430"/>
    </row>
    <row r="63" spans="1:16">
      <c r="C63" s="1429"/>
      <c r="D63" s="1430"/>
      <c r="E63" s="1429"/>
      <c r="F63" s="1430"/>
      <c r="G63" s="1430"/>
      <c r="H63" s="1426"/>
      <c r="I63" s="1417"/>
      <c r="J63" s="1427"/>
      <c r="K63" s="1428"/>
      <c r="L63" s="1425"/>
      <c r="M63" s="1425"/>
      <c r="N63" s="1431"/>
      <c r="O63" s="1431"/>
      <c r="P63" s="1430"/>
    </row>
    <row r="64" spans="1:16">
      <c r="C64" s="1429"/>
      <c r="D64" s="1430"/>
      <c r="E64" s="1429"/>
      <c r="F64" s="1430"/>
      <c r="G64" s="1430"/>
      <c r="H64" s="1426"/>
      <c r="I64" s="1430"/>
      <c r="J64" s="1427"/>
      <c r="K64" s="1428"/>
      <c r="L64" s="1425"/>
      <c r="M64" s="1425"/>
      <c r="N64" s="1431"/>
      <c r="O64" s="1431"/>
      <c r="P64" s="1430"/>
    </row>
    <row r="65" spans="3:16">
      <c r="C65" s="1429"/>
      <c r="D65" s="1430"/>
      <c r="E65" s="1429"/>
      <c r="F65" s="1430"/>
      <c r="G65" s="1431"/>
      <c r="H65" s="1426"/>
      <c r="I65" s="1431"/>
      <c r="J65" s="1427"/>
      <c r="K65" s="1428"/>
      <c r="L65" s="1431"/>
      <c r="M65" s="1431"/>
      <c r="N65" s="1431"/>
      <c r="O65" s="1431"/>
      <c r="P65" s="1430"/>
    </row>
    <row r="66" spans="3:16">
      <c r="C66" s="1429"/>
      <c r="D66" s="1430"/>
      <c r="E66" s="1429"/>
      <c r="F66" s="1430"/>
      <c r="G66" s="1430"/>
      <c r="H66" s="1426"/>
      <c r="I66" s="1430"/>
      <c r="J66" s="1427"/>
      <c r="K66" s="1428"/>
      <c r="L66" s="1431"/>
      <c r="M66" s="1431"/>
      <c r="N66" s="1431"/>
      <c r="O66" s="1431"/>
      <c r="P66" s="1430"/>
    </row>
    <row r="67" spans="3:16">
      <c r="C67" s="1429"/>
      <c r="D67" s="1430"/>
      <c r="E67" s="1429"/>
      <c r="F67" s="1430"/>
      <c r="G67" s="1430"/>
      <c r="H67" s="1426"/>
      <c r="I67" s="1430"/>
      <c r="J67" s="1427"/>
      <c r="K67" s="1428"/>
      <c r="L67" s="1431"/>
      <c r="M67" s="1431"/>
      <c r="N67" s="1431"/>
      <c r="O67" s="1431"/>
      <c r="P67" s="1430"/>
    </row>
    <row r="68" spans="3:16">
      <c r="C68" s="1429"/>
      <c r="D68" s="1430"/>
      <c r="E68" s="1429"/>
      <c r="F68" s="1430"/>
      <c r="G68" s="1430"/>
      <c r="H68" s="1430"/>
      <c r="I68" s="1430"/>
      <c r="J68" s="1427"/>
      <c r="K68" s="1428"/>
      <c r="L68" s="1431"/>
      <c r="M68" s="1431"/>
      <c r="N68" s="1431"/>
      <c r="O68" s="1431"/>
      <c r="P68" s="1430"/>
    </row>
  </sheetData>
  <customSheetViews>
    <customSheetView guid="{A374FC54-96E3-45F0-9C12-8450400C12DF}" scale="130">
      <pane xSplit="1" ySplit="7" topLeftCell="G43" activePane="bottomRight" state="frozen"/>
      <selection pane="bottomRight" activeCell="P53" sqref="P53"/>
      <pageMargins left="0.43307086614173201" right="0.23622047244094499" top="0.511811023622047" bottom="0.511811023622047" header="0" footer="0.183070866"/>
      <pageSetup paperSize="132" firstPageNumber="10" orientation="portrait" useFirstPageNumber="1" r:id="rId1"/>
      <headerFooter alignWithMargins="0">
        <oddFooter>&amp;C&amp;"Times New Roman,Regular"&amp;8&amp;P</oddFooter>
      </headerFooter>
    </customSheetView>
  </customSheetViews>
  <mergeCells count="39">
    <mergeCell ref="O5:O6"/>
    <mergeCell ref="N5:N6"/>
    <mergeCell ref="K53:P53"/>
    <mergeCell ref="K54:P54"/>
    <mergeCell ref="K58:P58"/>
    <mergeCell ref="K56:P56"/>
    <mergeCell ref="K57:O57"/>
    <mergeCell ref="B58:C58"/>
    <mergeCell ref="K55:P55"/>
    <mergeCell ref="E5:E6"/>
    <mergeCell ref="B3:E4"/>
    <mergeCell ref="C5:C6"/>
    <mergeCell ref="B5:B6"/>
    <mergeCell ref="D5:D6"/>
    <mergeCell ref="B53:F53"/>
    <mergeCell ref="B54:I54"/>
    <mergeCell ref="J5:J6"/>
    <mergeCell ref="G5:G6"/>
    <mergeCell ref="F4:I4"/>
    <mergeCell ref="K5:K6"/>
    <mergeCell ref="I5:I6"/>
    <mergeCell ref="H5:H6"/>
    <mergeCell ref="M5:M6"/>
    <mergeCell ref="A1:F1"/>
    <mergeCell ref="G1:I1"/>
    <mergeCell ref="F2:I2"/>
    <mergeCell ref="F3:I3"/>
    <mergeCell ref="O1:P1"/>
    <mergeCell ref="A3:A7"/>
    <mergeCell ref="F5:F6"/>
    <mergeCell ref="J4:K4"/>
    <mergeCell ref="O2:P2"/>
    <mergeCell ref="J3:K3"/>
    <mergeCell ref="L3:M3"/>
    <mergeCell ref="N3:O3"/>
    <mergeCell ref="P3:P7"/>
    <mergeCell ref="L4:M4"/>
    <mergeCell ref="N4:O4"/>
    <mergeCell ref="L5:L6"/>
  </mergeCells>
  <phoneticPr fontId="0" type="noConversion"/>
  <pageMargins left="0.43307086614173201" right="0.23622047244094499" top="0.511811023622047" bottom="0.511811023622047" header="0" footer="0.183070866"/>
  <pageSetup paperSize="448" scale="98" firstPageNumber="10" orientation="portrait" useFirstPageNumber="1" r:id="rId2"/>
  <headerFooter alignWithMargins="0">
    <oddFooter>&amp;C&amp;"Times New Roman,Regular"&amp;8&amp;P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8"/>
  <dimension ref="A1:AL84"/>
  <sheetViews>
    <sheetView topLeftCell="A28" zoomScale="170" zoomScaleNormal="170" workbookViewId="0">
      <selection activeCell="D48" sqref="D48"/>
    </sheetView>
  </sheetViews>
  <sheetFormatPr defaultRowHeight="15"/>
  <cols>
    <col min="1" max="1" width="6.85546875" style="702" customWidth="1"/>
    <col min="2" max="2" width="8.7109375" style="702" customWidth="1"/>
    <col min="3" max="3" width="10.28515625" style="702" customWidth="1"/>
    <col min="4" max="4" width="8.42578125" style="702" customWidth="1"/>
    <col min="5" max="5" width="7.42578125" style="702" customWidth="1"/>
    <col min="6" max="6" width="10" style="702" customWidth="1"/>
    <col min="7" max="7" width="7.85546875" style="702" customWidth="1"/>
    <col min="8" max="8" width="8.7109375" style="702" customWidth="1"/>
    <col min="9" max="9" width="10.42578125" style="702" customWidth="1"/>
    <col min="10" max="10" width="10.85546875" style="702" customWidth="1"/>
    <col min="11" max="11" width="11.7109375" style="702" customWidth="1"/>
    <col min="12" max="12" width="11.42578125" style="702" customWidth="1"/>
    <col min="13" max="13" width="8.7109375" style="702" customWidth="1"/>
    <col min="14" max="14" width="8.140625" style="702" customWidth="1"/>
    <col min="15" max="15" width="8" style="702" customWidth="1"/>
    <col min="16" max="16" width="9" style="702" customWidth="1"/>
    <col min="17" max="17" width="9.140625" style="702" customWidth="1"/>
    <col min="18" max="16384" width="9.140625" style="702"/>
  </cols>
  <sheetData>
    <row r="1" spans="1:17" ht="8.25" customHeight="1"/>
    <row r="2" spans="1:17" ht="19.5" customHeight="1">
      <c r="A2" s="699"/>
      <c r="B2" s="700"/>
      <c r="C2" s="700"/>
      <c r="D2" s="707"/>
      <c r="E2" s="707"/>
      <c r="F2" s="707"/>
      <c r="G2" s="2529" t="s">
        <v>2117</v>
      </c>
      <c r="H2" s="2529"/>
      <c r="I2" s="2529"/>
      <c r="J2" s="1136" t="s">
        <v>2116</v>
      </c>
      <c r="K2" s="1136"/>
      <c r="L2" s="1136"/>
      <c r="M2" s="1131"/>
      <c r="N2" s="700"/>
      <c r="O2" s="700"/>
      <c r="P2" s="2519" t="s">
        <v>1962</v>
      </c>
      <c r="Q2" s="2519"/>
    </row>
    <row r="3" spans="1:17" ht="13.5" customHeight="1">
      <c r="P3" s="2530" t="s">
        <v>24</v>
      </c>
      <c r="Q3" s="2530"/>
    </row>
    <row r="4" spans="1:17" s="1006" customFormat="1" ht="15" customHeight="1">
      <c r="A4" s="2531" t="s">
        <v>481</v>
      </c>
      <c r="B4" s="2521" t="s">
        <v>488</v>
      </c>
      <c r="C4" s="2534" t="s">
        <v>1433</v>
      </c>
      <c r="D4" s="2534"/>
      <c r="E4" s="2534"/>
      <c r="F4" s="2534" t="s">
        <v>2115</v>
      </c>
      <c r="G4" s="2534"/>
      <c r="H4" s="2534"/>
      <c r="I4" s="2534"/>
      <c r="J4" s="2534"/>
      <c r="K4" s="2521" t="s">
        <v>1461</v>
      </c>
      <c r="L4" s="2518" t="s">
        <v>1462</v>
      </c>
      <c r="M4" s="2518" t="s">
        <v>1428</v>
      </c>
      <c r="N4" s="2524" t="s">
        <v>1429</v>
      </c>
      <c r="O4" s="2518" t="s">
        <v>1449</v>
      </c>
      <c r="P4" s="2518" t="s">
        <v>1431</v>
      </c>
      <c r="Q4" s="2518" t="s">
        <v>1438</v>
      </c>
    </row>
    <row r="5" spans="1:17" s="1006" customFormat="1" ht="58.5" customHeight="1">
      <c r="A5" s="2532"/>
      <c r="B5" s="2522"/>
      <c r="C5" s="1555" t="s">
        <v>1434</v>
      </c>
      <c r="D5" s="1829" t="s">
        <v>1435</v>
      </c>
      <c r="E5" s="1829" t="s">
        <v>1443</v>
      </c>
      <c r="F5" s="1829" t="s">
        <v>1436</v>
      </c>
      <c r="G5" s="1829" t="s">
        <v>1459</v>
      </c>
      <c r="H5" s="1829" t="s">
        <v>1437</v>
      </c>
      <c r="I5" s="1829" t="s">
        <v>1460</v>
      </c>
      <c r="J5" s="1829" t="s">
        <v>1442</v>
      </c>
      <c r="K5" s="2522"/>
      <c r="L5" s="2518"/>
      <c r="M5" s="2518"/>
      <c r="N5" s="2524"/>
      <c r="O5" s="2518"/>
      <c r="P5" s="2518"/>
      <c r="Q5" s="2518"/>
    </row>
    <row r="6" spans="1:17" s="1006" customFormat="1">
      <c r="A6" s="2533"/>
      <c r="B6" s="1555">
        <v>1</v>
      </c>
      <c r="C6" s="1829">
        <v>2</v>
      </c>
      <c r="D6" s="1829">
        <v>3</v>
      </c>
      <c r="E6" s="1829">
        <v>4</v>
      </c>
      <c r="F6" s="1829">
        <v>5</v>
      </c>
      <c r="G6" s="1829">
        <v>6</v>
      </c>
      <c r="H6" s="1829">
        <v>7</v>
      </c>
      <c r="I6" s="1829">
        <v>8</v>
      </c>
      <c r="J6" s="1829">
        <v>9</v>
      </c>
      <c r="K6" s="1829">
        <v>10</v>
      </c>
      <c r="L6" s="1829">
        <v>11</v>
      </c>
      <c r="M6" s="1829">
        <v>12</v>
      </c>
      <c r="N6" s="1829">
        <v>13</v>
      </c>
      <c r="O6" s="1829">
        <v>14</v>
      </c>
      <c r="P6" s="1829">
        <v>15</v>
      </c>
      <c r="Q6" s="1829">
        <v>16</v>
      </c>
    </row>
    <row r="7" spans="1:17" s="1006" customFormat="1" ht="12" customHeight="1">
      <c r="A7" s="1618" t="s">
        <v>1350</v>
      </c>
      <c r="B7" s="1240">
        <v>219839.3</v>
      </c>
      <c r="C7" s="1240">
        <v>317375.09999999998</v>
      </c>
      <c r="D7" s="1240">
        <v>1038405.3</v>
      </c>
      <c r="E7" s="1240">
        <v>1355780.4</v>
      </c>
      <c r="F7" s="1240">
        <v>139383</v>
      </c>
      <c r="G7" s="1240">
        <v>113589.4</v>
      </c>
      <c r="H7" s="1240">
        <v>894292.2</v>
      </c>
      <c r="I7" s="1240">
        <v>226328.5</v>
      </c>
      <c r="J7" s="1240">
        <v>1373593.1</v>
      </c>
      <c r="K7" s="1240">
        <v>466.8</v>
      </c>
      <c r="L7" s="1240">
        <v>1708</v>
      </c>
      <c r="M7" s="1240">
        <v>162.19999999999999</v>
      </c>
      <c r="N7" s="1240">
        <v>0</v>
      </c>
      <c r="O7" s="1240">
        <v>0</v>
      </c>
      <c r="P7" s="1240">
        <v>149063.6</v>
      </c>
      <c r="Q7" s="1240">
        <v>50626</v>
      </c>
    </row>
    <row r="8" spans="1:17" s="1006" customFormat="1" ht="12" customHeight="1">
      <c r="A8" s="1619" t="s">
        <v>1466</v>
      </c>
      <c r="B8" s="466">
        <v>220491</v>
      </c>
      <c r="C8" s="466">
        <v>386582.8</v>
      </c>
      <c r="D8" s="466">
        <v>1153197</v>
      </c>
      <c r="E8" s="466">
        <v>1539779.8</v>
      </c>
      <c r="F8" s="466">
        <v>152754.4</v>
      </c>
      <c r="G8" s="466">
        <v>118282.1</v>
      </c>
      <c r="H8" s="466">
        <v>988445.9</v>
      </c>
      <c r="I8" s="466">
        <v>275041.7</v>
      </c>
      <c r="J8" s="466">
        <v>1534524.1</v>
      </c>
      <c r="K8" s="466">
        <v>559.29999999999995</v>
      </c>
      <c r="L8" s="466">
        <v>2074.1999999999998</v>
      </c>
      <c r="M8" s="466">
        <v>215.9</v>
      </c>
      <c r="N8" s="466">
        <v>0</v>
      </c>
      <c r="O8" s="466">
        <v>0</v>
      </c>
      <c r="P8" s="466">
        <v>153559.5</v>
      </c>
      <c r="Q8" s="466">
        <v>69337.8</v>
      </c>
    </row>
    <row r="9" spans="1:17" s="711" customFormat="1" ht="12" customHeight="1">
      <c r="A9" s="1618" t="s">
        <v>1550</v>
      </c>
      <c r="B9" s="448">
        <v>250287.4</v>
      </c>
      <c r="C9" s="448">
        <v>465640.7</v>
      </c>
      <c r="D9" s="448">
        <v>1247986.8999999999</v>
      </c>
      <c r="E9" s="448">
        <v>1713627.5999999999</v>
      </c>
      <c r="F9" s="448">
        <v>190570.5</v>
      </c>
      <c r="G9" s="448">
        <v>135586.20000000001</v>
      </c>
      <c r="H9" s="448">
        <v>1090287</v>
      </c>
      <c r="I9" s="448">
        <v>288223.59999999998</v>
      </c>
      <c r="J9" s="448">
        <v>1704667.2999999998</v>
      </c>
      <c r="K9" s="448">
        <v>1431.1</v>
      </c>
      <c r="L9" s="448">
        <v>2131</v>
      </c>
      <c r="M9" s="448">
        <v>127.3</v>
      </c>
      <c r="N9" s="448">
        <v>0</v>
      </c>
      <c r="O9" s="448">
        <v>0</v>
      </c>
      <c r="P9" s="448">
        <v>162648.1</v>
      </c>
      <c r="Q9" s="448">
        <v>92910.2</v>
      </c>
    </row>
    <row r="10" spans="1:17" s="711" customFormat="1" ht="12" customHeight="1">
      <c r="A10" s="1622" t="s">
        <v>1606</v>
      </c>
      <c r="B10" s="467">
        <v>334673.7</v>
      </c>
      <c r="C10" s="467">
        <v>548617.69999999995</v>
      </c>
      <c r="D10" s="467">
        <v>1349330.6</v>
      </c>
      <c r="E10" s="467">
        <v>1897948.3</v>
      </c>
      <c r="F10" s="467">
        <v>207949.2</v>
      </c>
      <c r="G10" s="467">
        <v>165171.20000000001</v>
      </c>
      <c r="H10" s="467">
        <v>1226821.1000000001</v>
      </c>
      <c r="I10" s="467">
        <v>329302.40000000002</v>
      </c>
      <c r="J10" s="467">
        <v>1929243.9</v>
      </c>
      <c r="K10" s="467">
        <v>1821.9</v>
      </c>
      <c r="L10" s="467">
        <v>2833.2</v>
      </c>
      <c r="M10" s="467">
        <v>147.80000000000001</v>
      </c>
      <c r="N10" s="467">
        <v>0</v>
      </c>
      <c r="O10" s="467">
        <v>0</v>
      </c>
      <c r="P10" s="467">
        <v>186910.6</v>
      </c>
      <c r="Q10" s="467">
        <v>111664.6</v>
      </c>
    </row>
    <row r="11" spans="1:17" s="711" customFormat="1" ht="12" customHeight="1">
      <c r="A11" s="1621" t="s">
        <v>1927</v>
      </c>
      <c r="B11" s="1232">
        <v>304447.5</v>
      </c>
      <c r="C11" s="1232">
        <v>631729.80000000005</v>
      </c>
      <c r="D11" s="1232">
        <v>1539232.5</v>
      </c>
      <c r="E11" s="1232">
        <v>2170962.2999999998</v>
      </c>
      <c r="F11" s="1232">
        <v>234783</v>
      </c>
      <c r="G11" s="1232">
        <v>189735</v>
      </c>
      <c r="H11" s="1232">
        <v>1324229.7</v>
      </c>
      <c r="I11" s="1232">
        <v>350604.9</v>
      </c>
      <c r="J11" s="1232">
        <v>2099352.6</v>
      </c>
      <c r="K11" s="1232">
        <v>1590.4</v>
      </c>
      <c r="L11" s="1232">
        <v>3021</v>
      </c>
      <c r="M11" s="1232">
        <v>350.8</v>
      </c>
      <c r="N11" s="1232">
        <v>0</v>
      </c>
      <c r="O11" s="1232">
        <v>0</v>
      </c>
      <c r="P11" s="1232">
        <v>206528.8</v>
      </c>
      <c r="Q11" s="1232">
        <v>164566.1</v>
      </c>
    </row>
    <row r="12" spans="1:17" s="711" customFormat="1" ht="12" customHeight="1">
      <c r="A12" s="1620" t="s">
        <v>2183</v>
      </c>
      <c r="B12" s="1233">
        <f>B24</f>
        <v>271444.40000000002</v>
      </c>
      <c r="C12" s="1233">
        <f t="shared" ref="C12:Q12" si="0">C24</f>
        <v>730616.1</v>
      </c>
      <c r="D12" s="1233">
        <f t="shared" si="0"/>
        <v>1682224.7</v>
      </c>
      <c r="E12" s="1233">
        <f t="shared" si="0"/>
        <v>2412840.7999999998</v>
      </c>
      <c r="F12" s="1233">
        <f t="shared" si="0"/>
        <v>290116.90000000002</v>
      </c>
      <c r="G12" s="1233">
        <f t="shared" si="0"/>
        <v>199986.1</v>
      </c>
      <c r="H12" s="1233">
        <f t="shared" si="0"/>
        <v>1436739.1</v>
      </c>
      <c r="I12" s="1233">
        <f t="shared" si="0"/>
        <v>349315.4</v>
      </c>
      <c r="J12" s="1233">
        <f t="shared" si="0"/>
        <v>2276157.5</v>
      </c>
      <c r="K12" s="1233">
        <f t="shared" si="0"/>
        <v>2551</v>
      </c>
      <c r="L12" s="1233">
        <f t="shared" si="0"/>
        <v>3001.4</v>
      </c>
      <c r="M12" s="1233">
        <f t="shared" si="0"/>
        <v>212.8</v>
      </c>
      <c r="N12" s="1233">
        <f t="shared" si="0"/>
        <v>0</v>
      </c>
      <c r="O12" s="1233">
        <f t="shared" si="0"/>
        <v>0</v>
      </c>
      <c r="P12" s="1233">
        <f t="shared" si="0"/>
        <v>236062.3</v>
      </c>
      <c r="Q12" s="1233">
        <f t="shared" si="0"/>
        <v>166300.20000000001</v>
      </c>
    </row>
    <row r="13" spans="1:17" s="711" customFormat="1" ht="12" customHeight="1">
      <c r="A13" s="1623" t="s">
        <v>565</v>
      </c>
      <c r="B13" s="448">
        <v>297631.3</v>
      </c>
      <c r="C13" s="448">
        <v>632451.6</v>
      </c>
      <c r="D13" s="448">
        <v>1543105.5</v>
      </c>
      <c r="E13" s="448">
        <f>C13+D13</f>
        <v>2175557.1</v>
      </c>
      <c r="F13" s="448">
        <v>240348.5</v>
      </c>
      <c r="G13" s="448">
        <v>180626.8</v>
      </c>
      <c r="H13" s="448">
        <v>1328217.7</v>
      </c>
      <c r="I13" s="448">
        <v>351039.4</v>
      </c>
      <c r="J13" s="448">
        <f>F13+G13+H13+I13</f>
        <v>2100232.4</v>
      </c>
      <c r="K13" s="448">
        <v>2255.9</v>
      </c>
      <c r="L13" s="448">
        <v>2982.4</v>
      </c>
      <c r="M13" s="448">
        <v>350</v>
      </c>
      <c r="N13" s="448">
        <v>0</v>
      </c>
      <c r="O13" s="448">
        <v>0</v>
      </c>
      <c r="P13" s="448">
        <v>213112.9</v>
      </c>
      <c r="Q13" s="448">
        <v>154254.79999999999</v>
      </c>
    </row>
    <row r="14" spans="1:17" s="711" customFormat="1" ht="12" customHeight="1">
      <c r="A14" s="1622" t="s">
        <v>566</v>
      </c>
      <c r="B14" s="467">
        <v>282784.59999999998</v>
      </c>
      <c r="C14" s="467">
        <v>639377.1</v>
      </c>
      <c r="D14" s="467">
        <v>1552956.9</v>
      </c>
      <c r="E14" s="467">
        <f t="shared" ref="E14:E23" si="1">C14+D14</f>
        <v>2192334</v>
      </c>
      <c r="F14" s="467">
        <v>240188.1</v>
      </c>
      <c r="G14" s="467">
        <v>177147.4</v>
      </c>
      <c r="H14" s="467">
        <v>1335603.5</v>
      </c>
      <c r="I14" s="467">
        <v>351219.7</v>
      </c>
      <c r="J14" s="467">
        <f t="shared" ref="J14:J40" si="2">F14+G14+H14+I14</f>
        <v>2104158.7000000002</v>
      </c>
      <c r="K14" s="467">
        <v>2231.3000000000002</v>
      </c>
      <c r="L14" s="467">
        <v>2833.3</v>
      </c>
      <c r="M14" s="467">
        <v>349.9</v>
      </c>
      <c r="N14" s="467">
        <v>0</v>
      </c>
      <c r="O14" s="467">
        <v>0</v>
      </c>
      <c r="P14" s="467">
        <v>214757.2</v>
      </c>
      <c r="Q14" s="467">
        <v>150788.20000000001</v>
      </c>
    </row>
    <row r="15" spans="1:17" s="711" customFormat="1" ht="12" customHeight="1">
      <c r="A15" s="1623" t="s">
        <v>560</v>
      </c>
      <c r="B15" s="448">
        <v>279452.09999999998</v>
      </c>
      <c r="C15" s="448">
        <v>643380.1</v>
      </c>
      <c r="D15" s="448">
        <v>1570530.1</v>
      </c>
      <c r="E15" s="448">
        <f t="shared" si="1"/>
        <v>2213910.2000000002</v>
      </c>
      <c r="F15" s="448">
        <v>238302</v>
      </c>
      <c r="G15" s="448">
        <v>179326.6</v>
      </c>
      <c r="H15" s="448">
        <v>1347573.2</v>
      </c>
      <c r="I15" s="448">
        <v>351320.3</v>
      </c>
      <c r="J15" s="448">
        <f t="shared" si="2"/>
        <v>2116522.0999999996</v>
      </c>
      <c r="K15" s="448">
        <v>2164.1</v>
      </c>
      <c r="L15" s="448">
        <v>2790.8</v>
      </c>
      <c r="M15" s="448">
        <v>226.8</v>
      </c>
      <c r="N15" s="448">
        <v>0</v>
      </c>
      <c r="O15" s="448">
        <v>0</v>
      </c>
      <c r="P15" s="448">
        <v>216724.7</v>
      </c>
      <c r="Q15" s="448">
        <v>154933.79999999999</v>
      </c>
    </row>
    <row r="16" spans="1:17" s="711" customFormat="1" ht="12" customHeight="1">
      <c r="A16" s="1622" t="s">
        <v>567</v>
      </c>
      <c r="B16" s="467">
        <v>269847.2</v>
      </c>
      <c r="C16" s="467">
        <v>655002.4</v>
      </c>
      <c r="D16" s="467">
        <v>1582316.2</v>
      </c>
      <c r="E16" s="467">
        <f t="shared" si="1"/>
        <v>2237318.6</v>
      </c>
      <c r="F16" s="467">
        <v>234409.4</v>
      </c>
      <c r="G16" s="467">
        <v>179566.3</v>
      </c>
      <c r="H16" s="467">
        <v>1352534.9</v>
      </c>
      <c r="I16" s="467">
        <v>350456.3</v>
      </c>
      <c r="J16" s="467">
        <f t="shared" si="2"/>
        <v>2116966.9</v>
      </c>
      <c r="K16" s="467">
        <v>2367.3000000000002</v>
      </c>
      <c r="L16" s="467">
        <v>2712.4</v>
      </c>
      <c r="M16" s="467">
        <v>361.5</v>
      </c>
      <c r="N16" s="467">
        <v>0</v>
      </c>
      <c r="O16" s="467">
        <v>0</v>
      </c>
      <c r="P16" s="467">
        <v>224813</v>
      </c>
      <c r="Q16" s="467">
        <v>159944.70000000001</v>
      </c>
    </row>
    <row r="17" spans="1:17" s="711" customFormat="1" ht="12" customHeight="1">
      <c r="A17" s="1623" t="s">
        <v>568</v>
      </c>
      <c r="B17" s="448">
        <v>266772.8</v>
      </c>
      <c r="C17" s="448">
        <v>647965.9</v>
      </c>
      <c r="D17" s="448">
        <v>1594764.1</v>
      </c>
      <c r="E17" s="448">
        <f t="shared" si="1"/>
        <v>2242730</v>
      </c>
      <c r="F17" s="448">
        <v>251267.1</v>
      </c>
      <c r="G17" s="448">
        <v>180759.6</v>
      </c>
      <c r="H17" s="448">
        <v>1349103</v>
      </c>
      <c r="I17" s="448">
        <v>349646.6</v>
      </c>
      <c r="J17" s="448">
        <f t="shared" si="2"/>
        <v>2130776.2999999998</v>
      </c>
      <c r="K17" s="448">
        <v>2152</v>
      </c>
      <c r="L17" s="448">
        <v>2663.9</v>
      </c>
      <c r="M17" s="448">
        <v>413.6</v>
      </c>
      <c r="N17" s="448">
        <v>0</v>
      </c>
      <c r="O17" s="448">
        <v>0</v>
      </c>
      <c r="P17" s="448">
        <v>230456.8</v>
      </c>
      <c r="Q17" s="448">
        <v>143040.20000000001</v>
      </c>
    </row>
    <row r="18" spans="1:17" s="711" customFormat="1" ht="12" customHeight="1">
      <c r="A18" s="1622" t="s">
        <v>561</v>
      </c>
      <c r="B18" s="467">
        <v>269553.5</v>
      </c>
      <c r="C18" s="467">
        <v>641133.5</v>
      </c>
      <c r="D18" s="467">
        <v>1613160.8</v>
      </c>
      <c r="E18" s="467">
        <f t="shared" si="1"/>
        <v>2254294.2999999998</v>
      </c>
      <c r="F18" s="467">
        <v>266460</v>
      </c>
      <c r="G18" s="467">
        <v>184659.8</v>
      </c>
      <c r="H18" s="467">
        <v>1348157.2</v>
      </c>
      <c r="I18" s="467">
        <v>348407.6</v>
      </c>
      <c r="J18" s="467">
        <f t="shared" si="2"/>
        <v>2147684.6</v>
      </c>
      <c r="K18" s="467">
        <v>2251.8000000000002</v>
      </c>
      <c r="L18" s="467">
        <v>2904</v>
      </c>
      <c r="M18" s="467">
        <v>181.4</v>
      </c>
      <c r="N18" s="467">
        <v>0</v>
      </c>
      <c r="O18" s="467">
        <v>0</v>
      </c>
      <c r="P18" s="467">
        <v>242961</v>
      </c>
      <c r="Q18" s="467">
        <v>127865</v>
      </c>
    </row>
    <row r="19" spans="1:17" s="711" customFormat="1" ht="12" customHeight="1">
      <c r="A19" s="1623" t="s">
        <v>569</v>
      </c>
      <c r="B19" s="448">
        <v>264791.3</v>
      </c>
      <c r="C19" s="448">
        <v>651154.80000000005</v>
      </c>
      <c r="D19" s="448">
        <v>1611838.4</v>
      </c>
      <c r="E19" s="448">
        <f t="shared" si="1"/>
        <v>2262993.2000000002</v>
      </c>
      <c r="F19" s="448">
        <v>261259.9</v>
      </c>
      <c r="G19" s="448">
        <v>180701.2</v>
      </c>
      <c r="H19" s="448">
        <v>1351850.9</v>
      </c>
      <c r="I19" s="448">
        <v>348407.6</v>
      </c>
      <c r="J19" s="448">
        <f t="shared" si="2"/>
        <v>2142219.6</v>
      </c>
      <c r="K19" s="448">
        <v>1782.8</v>
      </c>
      <c r="L19" s="448">
        <v>2882</v>
      </c>
      <c r="M19" s="448">
        <v>354.6</v>
      </c>
      <c r="N19" s="448">
        <v>0</v>
      </c>
      <c r="O19" s="448">
        <v>0</v>
      </c>
      <c r="P19" s="448">
        <v>231213.8</v>
      </c>
      <c r="Q19" s="448">
        <v>149331.70000000001</v>
      </c>
    </row>
    <row r="20" spans="1:17" s="711" customFormat="1" ht="12" customHeight="1">
      <c r="A20" s="1622" t="s">
        <v>570</v>
      </c>
      <c r="B20" s="467">
        <v>265788.90000000002</v>
      </c>
      <c r="C20" s="467">
        <v>656952.80000000005</v>
      </c>
      <c r="D20" s="467">
        <v>1618433.7</v>
      </c>
      <c r="E20" s="467">
        <f t="shared" si="1"/>
        <v>2275386.5</v>
      </c>
      <c r="F20" s="467">
        <v>255924.9</v>
      </c>
      <c r="G20" s="467">
        <v>180185.4</v>
      </c>
      <c r="H20" s="467">
        <v>1367824.9</v>
      </c>
      <c r="I20" s="467">
        <v>348275.7</v>
      </c>
      <c r="J20" s="467">
        <f t="shared" si="2"/>
        <v>2152210.9</v>
      </c>
      <c r="K20" s="467">
        <v>2414.8000000000002</v>
      </c>
      <c r="L20" s="467">
        <v>2872.2</v>
      </c>
      <c r="M20" s="467">
        <v>306.8</v>
      </c>
      <c r="N20" s="467">
        <v>0</v>
      </c>
      <c r="O20" s="467">
        <v>0</v>
      </c>
      <c r="P20" s="467">
        <v>221862.8</v>
      </c>
      <c r="Q20" s="467">
        <v>161507.9</v>
      </c>
    </row>
    <row r="21" spans="1:17" s="711" customFormat="1" ht="12" customHeight="1">
      <c r="A21" s="1623" t="s">
        <v>562</v>
      </c>
      <c r="B21" s="448">
        <v>261554</v>
      </c>
      <c r="C21" s="448">
        <v>671213.8</v>
      </c>
      <c r="D21" s="448">
        <v>1632436.9</v>
      </c>
      <c r="E21" s="448">
        <f t="shared" si="1"/>
        <v>2303650.7000000002</v>
      </c>
      <c r="F21" s="448">
        <v>252913.9</v>
      </c>
      <c r="G21" s="448">
        <v>181040.4</v>
      </c>
      <c r="H21" s="448">
        <v>1384482.7</v>
      </c>
      <c r="I21" s="448">
        <v>347843</v>
      </c>
      <c r="J21" s="448">
        <f t="shared" si="2"/>
        <v>2166280</v>
      </c>
      <c r="K21" s="448">
        <v>2208.3000000000002</v>
      </c>
      <c r="L21" s="448">
        <v>3028.3</v>
      </c>
      <c r="M21" s="448">
        <v>225</v>
      </c>
      <c r="N21" s="448">
        <v>0</v>
      </c>
      <c r="O21" s="448">
        <v>0</v>
      </c>
      <c r="P21" s="448">
        <v>230398.6</v>
      </c>
      <c r="Q21" s="448">
        <v>163064.5</v>
      </c>
    </row>
    <row r="22" spans="1:17" s="711" customFormat="1" ht="12" customHeight="1">
      <c r="A22" s="1622" t="s">
        <v>571</v>
      </c>
      <c r="B22" s="467">
        <v>259233.8</v>
      </c>
      <c r="C22" s="467">
        <v>701748.6</v>
      </c>
      <c r="D22" s="467">
        <v>1642236</v>
      </c>
      <c r="E22" s="467">
        <f t="shared" si="1"/>
        <v>2343984.6</v>
      </c>
      <c r="F22" s="467">
        <v>261593.3</v>
      </c>
      <c r="G22" s="467">
        <v>185702.1</v>
      </c>
      <c r="H22" s="467">
        <v>1403404.4</v>
      </c>
      <c r="I22" s="467">
        <v>348590.5</v>
      </c>
      <c r="J22" s="467">
        <f t="shared" si="2"/>
        <v>2199290.2999999998</v>
      </c>
      <c r="K22" s="467">
        <v>3354.8</v>
      </c>
      <c r="L22" s="467">
        <v>3129.8</v>
      </c>
      <c r="M22" s="467">
        <v>338.2</v>
      </c>
      <c r="N22" s="467">
        <v>0</v>
      </c>
      <c r="O22" s="467">
        <v>0</v>
      </c>
      <c r="P22" s="467">
        <v>234145.1</v>
      </c>
      <c r="Q22" s="467">
        <v>162960.20000000001</v>
      </c>
    </row>
    <row r="23" spans="1:17" s="711" customFormat="1" ht="12" customHeight="1">
      <c r="A23" s="1623" t="s">
        <v>572</v>
      </c>
      <c r="B23" s="448">
        <v>255029</v>
      </c>
      <c r="C23" s="448">
        <v>705007.7</v>
      </c>
      <c r="D23" s="448">
        <v>1656067.6</v>
      </c>
      <c r="E23" s="448">
        <f t="shared" si="1"/>
        <v>2361075.2999999998</v>
      </c>
      <c r="F23" s="448">
        <v>254038.1</v>
      </c>
      <c r="G23" s="448">
        <v>185153.2</v>
      </c>
      <c r="H23" s="448">
        <v>1418362.7</v>
      </c>
      <c r="I23" s="448">
        <v>349301.1</v>
      </c>
      <c r="J23" s="448">
        <f t="shared" si="2"/>
        <v>2206855.1</v>
      </c>
      <c r="K23" s="448">
        <v>2835.8</v>
      </c>
      <c r="L23" s="448">
        <v>3020</v>
      </c>
      <c r="M23" s="448">
        <v>221.9</v>
      </c>
      <c r="N23" s="448">
        <v>0</v>
      </c>
      <c r="O23" s="448">
        <v>0</v>
      </c>
      <c r="P23" s="448">
        <v>237211.7</v>
      </c>
      <c r="Q23" s="448">
        <v>165959.79999999999</v>
      </c>
    </row>
    <row r="24" spans="1:17" s="711" customFormat="1" ht="12" customHeight="1">
      <c r="A24" s="1622" t="s">
        <v>563</v>
      </c>
      <c r="B24" s="467">
        <v>271444.40000000002</v>
      </c>
      <c r="C24" s="467">
        <v>730616.1</v>
      </c>
      <c r="D24" s="467">
        <v>1682224.7</v>
      </c>
      <c r="E24" s="467">
        <f>C24+D24</f>
        <v>2412840.7999999998</v>
      </c>
      <c r="F24" s="467">
        <v>290116.90000000002</v>
      </c>
      <c r="G24" s="467">
        <v>199986.1</v>
      </c>
      <c r="H24" s="467">
        <v>1436739.1</v>
      </c>
      <c r="I24" s="467">
        <v>349315.4</v>
      </c>
      <c r="J24" s="467">
        <f>F24+G24+H24+I24</f>
        <v>2276157.5</v>
      </c>
      <c r="K24" s="467">
        <v>2551</v>
      </c>
      <c r="L24" s="467">
        <v>3001.4</v>
      </c>
      <c r="M24" s="467">
        <v>212.8</v>
      </c>
      <c r="N24" s="467">
        <v>0</v>
      </c>
      <c r="O24" s="467">
        <v>0</v>
      </c>
      <c r="P24" s="467">
        <v>236062.3</v>
      </c>
      <c r="Q24" s="467">
        <v>166300.20000000001</v>
      </c>
    </row>
    <row r="25" spans="1:17" s="711" customFormat="1" ht="12" customHeight="1">
      <c r="A25" s="1659" t="s">
        <v>2650</v>
      </c>
      <c r="B25" s="1232">
        <f>B37</f>
        <v>250909.5</v>
      </c>
      <c r="C25" s="1232">
        <f t="shared" ref="C25:Q25" si="3">C37</f>
        <v>750141.4</v>
      </c>
      <c r="D25" s="1232">
        <f t="shared" si="3"/>
        <v>1833194.8</v>
      </c>
      <c r="E25" s="1232">
        <f t="shared" si="3"/>
        <v>2583336.2000000002</v>
      </c>
      <c r="F25" s="1232">
        <f t="shared" si="3"/>
        <v>288527.2</v>
      </c>
      <c r="G25" s="1232">
        <f t="shared" si="3"/>
        <v>211533.3</v>
      </c>
      <c r="H25" s="1232">
        <f t="shared" si="3"/>
        <v>1581093.5</v>
      </c>
      <c r="I25" s="1232">
        <f t="shared" si="3"/>
        <v>330104</v>
      </c>
      <c r="J25" s="1232">
        <f t="shared" si="3"/>
        <v>2411258</v>
      </c>
      <c r="K25" s="1232">
        <f t="shared" si="3"/>
        <v>2610.1999999999998</v>
      </c>
      <c r="L25" s="1232">
        <f t="shared" si="3"/>
        <v>3869.3</v>
      </c>
      <c r="M25" s="1232">
        <f t="shared" si="3"/>
        <v>160.4</v>
      </c>
      <c r="N25" s="1232">
        <f t="shared" si="3"/>
        <v>0</v>
      </c>
      <c r="O25" s="1232">
        <f t="shared" si="3"/>
        <v>0</v>
      </c>
      <c r="P25" s="1232">
        <f t="shared" si="3"/>
        <v>249606.39999999999</v>
      </c>
      <c r="Q25" s="1232">
        <f t="shared" si="3"/>
        <v>166741.4</v>
      </c>
    </row>
    <row r="26" spans="1:17" s="711" customFormat="1" ht="12" customHeight="1">
      <c r="A26" s="1622" t="s">
        <v>565</v>
      </c>
      <c r="B26" s="467">
        <v>274298.8</v>
      </c>
      <c r="C26" s="467">
        <v>732794.6</v>
      </c>
      <c r="D26" s="467">
        <v>1675780.3</v>
      </c>
      <c r="E26" s="467">
        <f t="shared" ref="E26:E45" si="4">C26+D26</f>
        <v>2408574.9</v>
      </c>
      <c r="F26" s="467">
        <v>264545.7</v>
      </c>
      <c r="G26" s="467">
        <v>193117.3</v>
      </c>
      <c r="H26" s="467">
        <v>1457685</v>
      </c>
      <c r="I26" s="467">
        <v>349129.2</v>
      </c>
      <c r="J26" s="467">
        <f t="shared" si="2"/>
        <v>2264477.2000000002</v>
      </c>
      <c r="K26" s="467">
        <v>2367.9</v>
      </c>
      <c r="L26" s="467">
        <v>2971.3</v>
      </c>
      <c r="M26" s="467">
        <v>374.3</v>
      </c>
      <c r="N26" s="467">
        <v>0</v>
      </c>
      <c r="O26" s="467">
        <v>0</v>
      </c>
      <c r="P26" s="467">
        <v>243056.3</v>
      </c>
      <c r="Q26" s="467">
        <v>169626.7</v>
      </c>
    </row>
    <row r="27" spans="1:17" s="711" customFormat="1" ht="12" customHeight="1">
      <c r="A27" s="1623" t="s">
        <v>566</v>
      </c>
      <c r="B27" s="448">
        <v>263685.59999999998</v>
      </c>
      <c r="C27" s="448">
        <v>724057.2</v>
      </c>
      <c r="D27" s="448">
        <v>1686202.1</v>
      </c>
      <c r="E27" s="448">
        <f t="shared" si="4"/>
        <v>2410259.2999999998</v>
      </c>
      <c r="F27" s="448">
        <v>256537</v>
      </c>
      <c r="G27" s="448">
        <v>187721.8</v>
      </c>
      <c r="H27" s="448">
        <v>1475250.5</v>
      </c>
      <c r="I27" s="448">
        <v>348448.8</v>
      </c>
      <c r="J27" s="448">
        <f t="shared" si="2"/>
        <v>2267958.1</v>
      </c>
      <c r="K27" s="448">
        <v>1774.4</v>
      </c>
      <c r="L27" s="448">
        <v>2911.8</v>
      </c>
      <c r="M27" s="448">
        <v>321.89999999999998</v>
      </c>
      <c r="N27" s="448">
        <v>0</v>
      </c>
      <c r="O27" s="448">
        <v>0</v>
      </c>
      <c r="P27" s="448">
        <v>247771.8</v>
      </c>
      <c r="Q27" s="448">
        <v>153206.9</v>
      </c>
    </row>
    <row r="28" spans="1:17" s="711" customFormat="1" ht="12" customHeight="1">
      <c r="A28" s="1622" t="s">
        <v>560</v>
      </c>
      <c r="B28" s="467">
        <v>251186.7</v>
      </c>
      <c r="C28" s="467">
        <v>712650.4</v>
      </c>
      <c r="D28" s="467">
        <v>1706448.5</v>
      </c>
      <c r="E28" s="467">
        <f t="shared" si="4"/>
        <v>2419098.9</v>
      </c>
      <c r="F28" s="467">
        <v>251677.7</v>
      </c>
      <c r="G28" s="467">
        <v>187933.2</v>
      </c>
      <c r="H28" s="467">
        <v>1479825.7</v>
      </c>
      <c r="I28" s="467">
        <v>348369</v>
      </c>
      <c r="J28" s="467">
        <f t="shared" si="2"/>
        <v>2267805.6</v>
      </c>
      <c r="K28" s="467">
        <v>2838.2</v>
      </c>
      <c r="L28" s="467">
        <v>3016.1</v>
      </c>
      <c r="M28" s="467">
        <v>210.5</v>
      </c>
      <c r="N28" s="467">
        <v>0</v>
      </c>
      <c r="O28" s="467">
        <v>0</v>
      </c>
      <c r="P28" s="467">
        <v>251682.1</v>
      </c>
      <c r="Q28" s="467">
        <v>144733.1</v>
      </c>
    </row>
    <row r="29" spans="1:17" s="711" customFormat="1" ht="12" customHeight="1">
      <c r="A29" s="1623" t="s">
        <v>567</v>
      </c>
      <c r="B29" s="448">
        <v>242178.7</v>
      </c>
      <c r="C29" s="448">
        <v>707899.4</v>
      </c>
      <c r="D29" s="448">
        <v>1721393.7</v>
      </c>
      <c r="E29" s="448">
        <f t="shared" si="4"/>
        <v>2429293.1</v>
      </c>
      <c r="F29" s="448">
        <v>244105.7</v>
      </c>
      <c r="G29" s="448">
        <v>194822.5</v>
      </c>
      <c r="H29" s="448">
        <v>1486765.1</v>
      </c>
      <c r="I29" s="448">
        <v>347525.6</v>
      </c>
      <c r="J29" s="448">
        <f t="shared" si="2"/>
        <v>2273218.9</v>
      </c>
      <c r="K29" s="448">
        <v>2555.5</v>
      </c>
      <c r="L29" s="448">
        <v>2998.4</v>
      </c>
      <c r="M29" s="448">
        <v>181.4</v>
      </c>
      <c r="N29" s="448">
        <v>0</v>
      </c>
      <c r="O29" s="448">
        <v>0</v>
      </c>
      <c r="P29" s="448">
        <v>253994.4</v>
      </c>
      <c r="Q29" s="448">
        <v>138523.20000000001</v>
      </c>
    </row>
    <row r="30" spans="1:17" s="711" customFormat="1" ht="12" customHeight="1">
      <c r="A30" s="1622" t="s">
        <v>568</v>
      </c>
      <c r="B30" s="467">
        <v>227888.8</v>
      </c>
      <c r="C30" s="467">
        <v>702218.6</v>
      </c>
      <c r="D30" s="467">
        <v>1741306.4</v>
      </c>
      <c r="E30" s="467">
        <f t="shared" si="4"/>
        <v>2443525</v>
      </c>
      <c r="F30" s="467">
        <v>246597.1</v>
      </c>
      <c r="G30" s="467">
        <v>192534.7</v>
      </c>
      <c r="H30" s="467">
        <v>1494585.4</v>
      </c>
      <c r="I30" s="467">
        <v>346172.1</v>
      </c>
      <c r="J30" s="467">
        <f t="shared" si="2"/>
        <v>2279889.2999999998</v>
      </c>
      <c r="K30" s="467">
        <v>1923</v>
      </c>
      <c r="L30" s="467">
        <v>3144</v>
      </c>
      <c r="M30" s="467">
        <v>243</v>
      </c>
      <c r="N30" s="467">
        <v>0</v>
      </c>
      <c r="O30" s="467">
        <v>0</v>
      </c>
      <c r="P30" s="467">
        <v>259688.2</v>
      </c>
      <c r="Q30" s="467">
        <v>126526.3</v>
      </c>
    </row>
    <row r="31" spans="1:17" s="711" customFormat="1" ht="12" customHeight="1">
      <c r="A31" s="1623" t="s">
        <v>561</v>
      </c>
      <c r="B31" s="448">
        <v>240084.7</v>
      </c>
      <c r="C31" s="448">
        <v>686862</v>
      </c>
      <c r="D31" s="448">
        <v>1764046.1</v>
      </c>
      <c r="E31" s="448">
        <f t="shared" si="4"/>
        <v>2450908.1</v>
      </c>
      <c r="F31" s="448">
        <v>253010.6</v>
      </c>
      <c r="G31" s="448">
        <v>198613.6</v>
      </c>
      <c r="H31" s="448">
        <v>1502510.7</v>
      </c>
      <c r="I31" s="448">
        <v>344164.5</v>
      </c>
      <c r="J31" s="448">
        <f t="shared" si="2"/>
        <v>2298299.4</v>
      </c>
      <c r="K31" s="448">
        <v>3147.4</v>
      </c>
      <c r="L31" s="448">
        <v>3785.7</v>
      </c>
      <c r="M31" s="448">
        <v>221.5</v>
      </c>
      <c r="N31" s="448">
        <v>0</v>
      </c>
      <c r="O31" s="448">
        <v>0</v>
      </c>
      <c r="P31" s="448">
        <v>269969.2</v>
      </c>
      <c r="Q31" s="448">
        <v>115569.60000000001</v>
      </c>
    </row>
    <row r="32" spans="1:17" s="711" customFormat="1" ht="12" customHeight="1">
      <c r="A32" s="1622" t="s">
        <v>569</v>
      </c>
      <c r="B32" s="467">
        <v>230584.5</v>
      </c>
      <c r="C32" s="467">
        <v>701985.6</v>
      </c>
      <c r="D32" s="467">
        <v>1759248.1</v>
      </c>
      <c r="E32" s="467">
        <f t="shared" si="4"/>
        <v>2461233.7000000002</v>
      </c>
      <c r="F32" s="467">
        <v>255434.5</v>
      </c>
      <c r="G32" s="467">
        <v>188247.9</v>
      </c>
      <c r="H32" s="467">
        <v>1504989.2</v>
      </c>
      <c r="I32" s="467">
        <v>343111.9</v>
      </c>
      <c r="J32" s="467">
        <f t="shared" si="2"/>
        <v>2291783.5</v>
      </c>
      <c r="K32" s="467">
        <v>2419.6999999999998</v>
      </c>
      <c r="L32" s="467">
        <v>3768.2</v>
      </c>
      <c r="M32" s="467">
        <v>271.3</v>
      </c>
      <c r="N32" s="467">
        <v>0</v>
      </c>
      <c r="O32" s="467">
        <v>0</v>
      </c>
      <c r="P32" s="467">
        <v>251396.9</v>
      </c>
      <c r="Q32" s="467">
        <v>142178.6</v>
      </c>
    </row>
    <row r="33" spans="1:38" s="711" customFormat="1" ht="12" customHeight="1">
      <c r="A33" s="1623" t="s">
        <v>570</v>
      </c>
      <c r="B33" s="448">
        <v>226211.6</v>
      </c>
      <c r="C33" s="448">
        <v>717356.9</v>
      </c>
      <c r="D33" s="448">
        <v>1765826.5</v>
      </c>
      <c r="E33" s="448">
        <f t="shared" si="4"/>
        <v>2483183.4</v>
      </c>
      <c r="F33" s="448">
        <v>255706</v>
      </c>
      <c r="G33" s="448">
        <v>192021.1</v>
      </c>
      <c r="H33" s="448">
        <v>1517884.2</v>
      </c>
      <c r="I33" s="448">
        <v>341752</v>
      </c>
      <c r="J33" s="448">
        <f t="shared" si="2"/>
        <v>2307363.2999999998</v>
      </c>
      <c r="K33" s="448">
        <v>1838.6</v>
      </c>
      <c r="L33" s="448">
        <v>3737.8</v>
      </c>
      <c r="M33" s="448">
        <v>478.5</v>
      </c>
      <c r="N33" s="448">
        <v>0</v>
      </c>
      <c r="O33" s="448">
        <v>0</v>
      </c>
      <c r="P33" s="448">
        <v>254609.3</v>
      </c>
      <c r="Q33" s="448">
        <v>141367.5</v>
      </c>
    </row>
    <row r="34" spans="1:38" s="711" customFormat="1" ht="12" customHeight="1">
      <c r="A34" s="1622" t="s">
        <v>562</v>
      </c>
      <c r="B34" s="467">
        <v>224145.5</v>
      </c>
      <c r="C34" s="467">
        <v>724562.3</v>
      </c>
      <c r="D34" s="467">
        <v>1786113.5</v>
      </c>
      <c r="E34" s="467">
        <f t="shared" si="4"/>
        <v>2510675.7999999998</v>
      </c>
      <c r="F34" s="467">
        <v>259309.4</v>
      </c>
      <c r="G34" s="467">
        <v>196041.60000000001</v>
      </c>
      <c r="H34" s="467">
        <v>1529874.8</v>
      </c>
      <c r="I34" s="467">
        <v>338197</v>
      </c>
      <c r="J34" s="467">
        <f t="shared" si="2"/>
        <v>2323422.7999999998</v>
      </c>
      <c r="K34" s="467">
        <v>2020</v>
      </c>
      <c r="L34" s="467">
        <v>3821.4</v>
      </c>
      <c r="M34" s="467">
        <v>282.7</v>
      </c>
      <c r="N34" s="467">
        <v>0</v>
      </c>
      <c r="O34" s="467">
        <v>0</v>
      </c>
      <c r="P34" s="467">
        <v>258225.8</v>
      </c>
      <c r="Q34" s="467">
        <v>147048.6</v>
      </c>
    </row>
    <row r="35" spans="1:38" s="711" customFormat="1" ht="12" customHeight="1">
      <c r="A35" s="1623" t="s">
        <v>571</v>
      </c>
      <c r="B35" s="448">
        <v>211011.1</v>
      </c>
      <c r="C35" s="448">
        <v>747654.9</v>
      </c>
      <c r="D35" s="448">
        <v>1788140.5</v>
      </c>
      <c r="E35" s="448">
        <f t="shared" si="4"/>
        <v>2535795.4</v>
      </c>
      <c r="F35" s="448">
        <v>262451.59999999998</v>
      </c>
      <c r="G35" s="448">
        <v>192388.3</v>
      </c>
      <c r="H35" s="448">
        <v>1539263.3</v>
      </c>
      <c r="I35" s="448">
        <v>336201.5</v>
      </c>
      <c r="J35" s="448">
        <f t="shared" si="2"/>
        <v>2330304.7000000002</v>
      </c>
      <c r="K35" s="448">
        <v>1969.6</v>
      </c>
      <c r="L35" s="448">
        <v>3811.5</v>
      </c>
      <c r="M35" s="448">
        <v>227</v>
      </c>
      <c r="N35" s="448">
        <v>0</v>
      </c>
      <c r="O35" s="448">
        <v>0</v>
      </c>
      <c r="P35" s="448">
        <v>260034</v>
      </c>
      <c r="Q35" s="448">
        <v>150459.70000000001</v>
      </c>
    </row>
    <row r="36" spans="1:38" s="1617" customFormat="1" ht="12" customHeight="1">
      <c r="A36" s="1622" t="s">
        <v>572</v>
      </c>
      <c r="B36" s="467">
        <v>226639.5</v>
      </c>
      <c r="C36" s="467">
        <v>753704.2</v>
      </c>
      <c r="D36" s="467">
        <v>1814230.4</v>
      </c>
      <c r="E36" s="467">
        <f t="shared" si="4"/>
        <v>2567934.5999999996</v>
      </c>
      <c r="F36" s="467">
        <v>268754.2</v>
      </c>
      <c r="G36" s="467">
        <v>188682.2</v>
      </c>
      <c r="H36" s="467">
        <v>1561129.3</v>
      </c>
      <c r="I36" s="467">
        <v>333227.59999999998</v>
      </c>
      <c r="J36" s="467">
        <f t="shared" si="2"/>
        <v>2351793.3000000003</v>
      </c>
      <c r="K36" s="467">
        <v>2092.5</v>
      </c>
      <c r="L36" s="467">
        <v>3853.4</v>
      </c>
      <c r="M36" s="467">
        <v>216.6</v>
      </c>
      <c r="N36" s="467">
        <v>0</v>
      </c>
      <c r="O36" s="467">
        <v>0</v>
      </c>
      <c r="P36" s="467">
        <v>273297.40000000002</v>
      </c>
      <c r="Q36" s="467">
        <v>163320.9</v>
      </c>
    </row>
    <row r="37" spans="1:38" s="1617" customFormat="1" ht="12" customHeight="1">
      <c r="A37" s="1623" t="s">
        <v>563</v>
      </c>
      <c r="B37" s="448">
        <v>250909.5</v>
      </c>
      <c r="C37" s="448">
        <v>750141.4</v>
      </c>
      <c r="D37" s="448">
        <v>1833194.8</v>
      </c>
      <c r="E37" s="448">
        <f t="shared" si="4"/>
        <v>2583336.2000000002</v>
      </c>
      <c r="F37" s="448">
        <v>288527.2</v>
      </c>
      <c r="G37" s="448">
        <v>211533.3</v>
      </c>
      <c r="H37" s="448">
        <v>1581093.5</v>
      </c>
      <c r="I37" s="448">
        <v>330104</v>
      </c>
      <c r="J37" s="448">
        <f t="shared" si="2"/>
        <v>2411258</v>
      </c>
      <c r="K37" s="448">
        <v>2610.1999999999998</v>
      </c>
      <c r="L37" s="448">
        <v>3869.3</v>
      </c>
      <c r="M37" s="448">
        <v>160.4</v>
      </c>
      <c r="N37" s="448">
        <v>0</v>
      </c>
      <c r="O37" s="448">
        <v>0</v>
      </c>
      <c r="P37" s="448">
        <v>249606.39999999999</v>
      </c>
      <c r="Q37" s="448">
        <v>166741.4</v>
      </c>
    </row>
    <row r="38" spans="1:38" s="1617" customFormat="1" ht="12" customHeight="1">
      <c r="A38" s="1620" t="s">
        <v>2763</v>
      </c>
      <c r="B38" s="467"/>
      <c r="C38" s="467"/>
      <c r="D38" s="467"/>
      <c r="E38" s="467"/>
      <c r="F38" s="467"/>
      <c r="G38" s="467"/>
      <c r="H38" s="467"/>
      <c r="I38" s="467"/>
      <c r="J38" s="467"/>
      <c r="K38" s="467"/>
      <c r="L38" s="467"/>
      <c r="M38" s="467"/>
      <c r="N38" s="467"/>
      <c r="O38" s="467"/>
      <c r="P38" s="467"/>
      <c r="Q38" s="467"/>
    </row>
    <row r="39" spans="1:38" s="1617" customFormat="1" ht="12" customHeight="1">
      <c r="A39" s="1623" t="s">
        <v>565</v>
      </c>
      <c r="B39" s="448">
        <v>244853.7</v>
      </c>
      <c r="C39" s="448">
        <v>765232.7</v>
      </c>
      <c r="D39" s="448">
        <v>1826836.7</v>
      </c>
      <c r="E39" s="448">
        <f t="shared" si="4"/>
        <v>2592069.4</v>
      </c>
      <c r="F39" s="448">
        <v>289711.90000000002</v>
      </c>
      <c r="G39" s="448">
        <v>195183</v>
      </c>
      <c r="H39" s="448">
        <v>1589440.6</v>
      </c>
      <c r="I39" s="448">
        <v>332397</v>
      </c>
      <c r="J39" s="448">
        <f t="shared" si="2"/>
        <v>2406732.5</v>
      </c>
      <c r="K39" s="448">
        <v>2630.7</v>
      </c>
      <c r="L39" s="448">
        <v>3903.4</v>
      </c>
      <c r="M39" s="448">
        <v>157.1</v>
      </c>
      <c r="N39" s="448">
        <v>0</v>
      </c>
      <c r="O39" s="448">
        <v>0</v>
      </c>
      <c r="P39" s="448">
        <v>253901.9</v>
      </c>
      <c r="Q39" s="448">
        <v>169597.5</v>
      </c>
    </row>
    <row r="40" spans="1:38" s="1617" customFormat="1" ht="12" customHeight="1">
      <c r="A40" s="1622" t="s">
        <v>566</v>
      </c>
      <c r="B40" s="467">
        <v>236048</v>
      </c>
      <c r="C40" s="467">
        <v>756287.5</v>
      </c>
      <c r="D40" s="467">
        <v>1830065.5</v>
      </c>
      <c r="E40" s="467">
        <f t="shared" si="4"/>
        <v>2586353</v>
      </c>
      <c r="F40" s="467">
        <v>290513.90000000002</v>
      </c>
      <c r="G40" s="467">
        <v>196055.5</v>
      </c>
      <c r="H40" s="467">
        <v>1587336</v>
      </c>
      <c r="I40" s="467">
        <v>334590</v>
      </c>
      <c r="J40" s="467">
        <f t="shared" si="2"/>
        <v>2408495.4</v>
      </c>
      <c r="K40" s="467">
        <v>3046.4</v>
      </c>
      <c r="L40" s="467">
        <v>4029.4</v>
      </c>
      <c r="M40" s="467">
        <v>233.3</v>
      </c>
      <c r="N40" s="467">
        <v>0</v>
      </c>
      <c r="O40" s="467">
        <v>0</v>
      </c>
      <c r="P40" s="467">
        <v>265106.2</v>
      </c>
      <c r="Q40" s="467">
        <v>141490.29999999999</v>
      </c>
    </row>
    <row r="41" spans="1:38" s="1617" customFormat="1" ht="12" customHeight="1">
      <c r="A41" s="1623" t="s">
        <v>560</v>
      </c>
      <c r="B41" s="448">
        <v>233454.2</v>
      </c>
      <c r="C41" s="448">
        <v>740993.2</v>
      </c>
      <c r="D41" s="448">
        <v>1832073.4</v>
      </c>
      <c r="E41" s="448">
        <f t="shared" si="4"/>
        <v>2573066.5999999996</v>
      </c>
      <c r="F41" s="448">
        <v>281627.2</v>
      </c>
      <c r="G41" s="448">
        <v>195013</v>
      </c>
      <c r="H41" s="448">
        <v>1601033.3</v>
      </c>
      <c r="I41" s="448">
        <v>338964</v>
      </c>
      <c r="J41" s="448">
        <f>F41+G41+H41+I41</f>
        <v>2416637.5</v>
      </c>
      <c r="K41" s="448">
        <v>3876</v>
      </c>
      <c r="L41" s="448">
        <v>4539.5</v>
      </c>
      <c r="M41" s="448">
        <v>290.39999999999998</v>
      </c>
      <c r="N41" s="448">
        <v>0</v>
      </c>
      <c r="O41" s="448">
        <v>0</v>
      </c>
      <c r="P41" s="448">
        <v>258155</v>
      </c>
      <c r="Q41" s="448">
        <v>123022.39999999999</v>
      </c>
    </row>
    <row r="42" spans="1:38" s="1617" customFormat="1" ht="12" customHeight="1">
      <c r="A42" s="1622" t="s">
        <v>567</v>
      </c>
      <c r="B42" s="467">
        <v>220004.2</v>
      </c>
      <c r="C42" s="467">
        <v>757358.1</v>
      </c>
      <c r="D42" s="467">
        <v>1832548.1</v>
      </c>
      <c r="E42" s="467">
        <f t="shared" si="4"/>
        <v>2589906.2000000002</v>
      </c>
      <c r="F42" s="467">
        <v>275879.8</v>
      </c>
      <c r="G42" s="467">
        <v>197072.6</v>
      </c>
      <c r="H42" s="467">
        <v>1613745.4</v>
      </c>
      <c r="I42" s="467">
        <v>336008.6</v>
      </c>
      <c r="J42" s="467">
        <f>F42+G42+H42+I42</f>
        <v>2422706.4</v>
      </c>
      <c r="K42" s="467">
        <v>1698.6</v>
      </c>
      <c r="L42" s="467">
        <v>4572.3999999999996</v>
      </c>
      <c r="M42" s="467">
        <v>279.39999999999998</v>
      </c>
      <c r="N42" s="467">
        <v>0</v>
      </c>
      <c r="O42" s="467">
        <v>0</v>
      </c>
      <c r="P42" s="467">
        <v>259926</v>
      </c>
      <c r="Q42" s="467">
        <v>120727.6</v>
      </c>
    </row>
    <row r="43" spans="1:38" s="1617" customFormat="1" ht="12" customHeight="1">
      <c r="A43" s="1623" t="s">
        <v>568</v>
      </c>
      <c r="B43" s="448">
        <v>221141.4</v>
      </c>
      <c r="C43" s="448">
        <v>763940.6</v>
      </c>
      <c r="D43" s="448">
        <v>1839660.6</v>
      </c>
      <c r="E43" s="448">
        <f t="shared" si="4"/>
        <v>2603601.2000000002</v>
      </c>
      <c r="F43" s="448">
        <v>276753.5</v>
      </c>
      <c r="G43" s="448">
        <v>193524.3</v>
      </c>
      <c r="H43" s="448">
        <v>1625433.2</v>
      </c>
      <c r="I43" s="448">
        <v>332775.59999999998</v>
      </c>
      <c r="J43" s="448">
        <f>F43+G43+H43+I43</f>
        <v>2428486.6</v>
      </c>
      <c r="K43" s="448">
        <v>1769.4</v>
      </c>
      <c r="L43" s="448">
        <v>4566.3999999999996</v>
      </c>
      <c r="M43" s="448">
        <v>267.3</v>
      </c>
      <c r="N43" s="448">
        <v>0</v>
      </c>
      <c r="O43" s="448">
        <v>0</v>
      </c>
      <c r="P43" s="448">
        <v>259353.60000000001</v>
      </c>
      <c r="Q43" s="448">
        <v>130299.3</v>
      </c>
    </row>
    <row r="44" spans="1:38" s="1617" customFormat="1" ht="12" customHeight="1">
      <c r="A44" s="1622" t="s">
        <v>561</v>
      </c>
      <c r="B44" s="467">
        <v>217392.5</v>
      </c>
      <c r="C44" s="467">
        <v>754395.2</v>
      </c>
      <c r="D44" s="467">
        <v>1864784</v>
      </c>
      <c r="E44" s="467">
        <f t="shared" si="4"/>
        <v>2619179.2000000002</v>
      </c>
      <c r="F44" s="467">
        <v>272517.90000000002</v>
      </c>
      <c r="G44" s="467">
        <v>201020</v>
      </c>
      <c r="H44" s="467">
        <v>1634602.6</v>
      </c>
      <c r="I44" s="467">
        <v>329123.20000000001</v>
      </c>
      <c r="J44" s="467">
        <f>F44+G44+H44+I44</f>
        <v>2437263.7000000002</v>
      </c>
      <c r="K44" s="467">
        <v>1682.9</v>
      </c>
      <c r="L44" s="467">
        <v>5593.3</v>
      </c>
      <c r="M44" s="467">
        <v>169.6</v>
      </c>
      <c r="N44" s="467">
        <v>0</v>
      </c>
      <c r="O44" s="467">
        <v>0</v>
      </c>
      <c r="P44" s="467">
        <v>258716.1</v>
      </c>
      <c r="Q44" s="467">
        <v>133146.1</v>
      </c>
    </row>
    <row r="45" spans="1:38" s="1617" customFormat="1" ht="12" customHeight="1" thickBot="1">
      <c r="A45" s="1798" t="s">
        <v>569</v>
      </c>
      <c r="B45" s="1799">
        <v>230321.2</v>
      </c>
      <c r="C45" s="1799">
        <v>756845.8</v>
      </c>
      <c r="D45" s="1799">
        <v>1861480.3</v>
      </c>
      <c r="E45" s="1799">
        <f t="shared" si="4"/>
        <v>2618326.1</v>
      </c>
      <c r="F45" s="1799">
        <v>272284.3</v>
      </c>
      <c r="G45" s="1799">
        <v>192459.7</v>
      </c>
      <c r="H45" s="1799">
        <v>1647190</v>
      </c>
      <c r="I45" s="1799">
        <v>329123.20000000001</v>
      </c>
      <c r="J45" s="1799">
        <f>F45+G45+H45+I45</f>
        <v>2441057.2000000002</v>
      </c>
      <c r="K45" s="1799">
        <v>2352.9</v>
      </c>
      <c r="L45" s="1799">
        <v>5713.8</v>
      </c>
      <c r="M45" s="1799">
        <v>256.8</v>
      </c>
      <c r="N45" s="1799">
        <v>0</v>
      </c>
      <c r="O45" s="1799">
        <v>0</v>
      </c>
      <c r="P45" s="1799">
        <v>257473.7</v>
      </c>
      <c r="Q45" s="1799">
        <v>141792.9</v>
      </c>
    </row>
    <row r="46" spans="1:38" s="1626" customFormat="1" ht="12" customHeight="1">
      <c r="A46" s="1624" t="s">
        <v>1386</v>
      </c>
      <c r="B46" s="1625" t="s">
        <v>1258</v>
      </c>
      <c r="F46" s="1627"/>
      <c r="G46" s="1627"/>
      <c r="H46" s="1627"/>
      <c r="I46" s="1374"/>
      <c r="J46" s="1628"/>
      <c r="K46" s="1628"/>
      <c r="L46" s="1629"/>
      <c r="M46" s="1629"/>
      <c r="N46" s="1628"/>
      <c r="O46" s="1629"/>
      <c r="P46" s="1628"/>
      <c r="Q46" s="1630"/>
    </row>
    <row r="47" spans="1:38" ht="14.25" customHeight="1">
      <c r="B47" s="1165"/>
      <c r="C47" s="1142"/>
      <c r="D47" s="1165"/>
      <c r="E47" s="1165"/>
      <c r="F47" s="1142"/>
      <c r="G47" s="1142"/>
      <c r="H47" s="1142"/>
      <c r="I47" s="711"/>
      <c r="J47" s="1142"/>
      <c r="K47" s="1129"/>
      <c r="L47" s="1129"/>
      <c r="M47" s="1129"/>
      <c r="N47" s="1129"/>
      <c r="O47" s="1117"/>
      <c r="P47" s="1129"/>
      <c r="Q47" s="712"/>
    </row>
    <row r="48" spans="1:38">
      <c r="B48" s="1165"/>
      <c r="C48" s="1165"/>
      <c r="D48" s="1142"/>
      <c r="E48" s="1165"/>
      <c r="F48" s="1165"/>
      <c r="G48" s="1142"/>
      <c r="H48" s="1142"/>
      <c r="I48" s="1142"/>
      <c r="J48" s="1215"/>
      <c r="K48" s="1142"/>
      <c r="L48" s="1129"/>
      <c r="M48" s="1129"/>
      <c r="N48" s="1129"/>
      <c r="O48" s="1129"/>
      <c r="P48" s="1117"/>
      <c r="Q48" s="829"/>
      <c r="R48" s="1215"/>
      <c r="S48" s="1165"/>
      <c r="T48" s="1165"/>
      <c r="U48" s="1165"/>
      <c r="V48" s="1165"/>
      <c r="W48" s="1165"/>
      <c r="X48" s="1165"/>
      <c r="Y48" s="1165"/>
      <c r="Z48" s="1165"/>
      <c r="AA48" s="1165"/>
      <c r="AB48" s="1165"/>
      <c r="AC48" s="1165"/>
      <c r="AD48" s="1165"/>
      <c r="AE48" s="1165"/>
      <c r="AF48" s="1165"/>
      <c r="AG48" s="1165"/>
      <c r="AH48" s="1165"/>
      <c r="AI48" s="1165"/>
      <c r="AJ48" s="1165"/>
      <c r="AK48" s="1165"/>
      <c r="AL48" s="1165"/>
    </row>
    <row r="49" spans="1:38">
      <c r="B49" s="1165"/>
      <c r="C49" s="1165"/>
      <c r="D49" s="1142"/>
      <c r="E49" s="1165"/>
      <c r="F49" s="1165"/>
      <c r="G49" s="1142"/>
      <c r="H49" s="1142"/>
      <c r="I49" s="1142"/>
      <c r="J49" s="1215"/>
      <c r="K49" s="1142"/>
      <c r="L49" s="1129"/>
      <c r="M49" s="1129"/>
      <c r="N49" s="1129"/>
      <c r="O49" s="1129"/>
      <c r="P49" s="1117"/>
      <c r="Q49" s="829"/>
      <c r="R49" s="1215"/>
      <c r="S49" s="1165"/>
      <c r="T49" s="1165"/>
      <c r="U49" s="1165"/>
      <c r="V49" s="1165"/>
      <c r="W49" s="1165"/>
      <c r="X49" s="1165"/>
      <c r="Y49" s="1165"/>
      <c r="Z49" s="1165"/>
      <c r="AA49" s="1165"/>
      <c r="AB49" s="1165"/>
      <c r="AC49" s="1165"/>
      <c r="AD49" s="1165"/>
      <c r="AE49" s="1165"/>
      <c r="AF49" s="1165"/>
      <c r="AG49" s="1165"/>
      <c r="AH49" s="1165"/>
      <c r="AI49" s="1165"/>
      <c r="AJ49" s="1165"/>
      <c r="AK49" s="1165"/>
      <c r="AL49" s="1165"/>
    </row>
    <row r="50" spans="1:38">
      <c r="B50" s="1165"/>
      <c r="C50" s="1165"/>
      <c r="D50" s="1165"/>
      <c r="E50" s="1165"/>
      <c r="F50" s="1165"/>
      <c r="G50" s="1142"/>
      <c r="H50" s="1165"/>
      <c r="I50" s="1165"/>
      <c r="J50" s="1165"/>
      <c r="K50" s="1165"/>
      <c r="L50" s="1165"/>
      <c r="M50" s="1165"/>
      <c r="N50" s="1165"/>
      <c r="O50" s="1165"/>
      <c r="P50" s="1165"/>
      <c r="Q50" s="1165"/>
      <c r="R50" s="1165"/>
    </row>
    <row r="51" spans="1:38">
      <c r="B51" s="1165"/>
      <c r="C51" s="1165"/>
      <c r="D51" s="1165"/>
      <c r="E51" s="1165"/>
      <c r="F51" s="1165"/>
      <c r="G51" s="1142"/>
      <c r="H51" s="1165"/>
      <c r="I51" s="1165"/>
      <c r="J51" s="1165"/>
      <c r="K51" s="1165"/>
      <c r="L51" s="1165"/>
      <c r="M51" s="1165"/>
      <c r="N51" s="1165"/>
      <c r="O51" s="1165"/>
      <c r="P51" s="1165"/>
      <c r="Q51" s="1165"/>
      <c r="R51" s="1165"/>
    </row>
    <row r="52" spans="1:38">
      <c r="B52" s="1165"/>
      <c r="C52" s="1165"/>
      <c r="D52" s="1165"/>
      <c r="E52" s="1165"/>
      <c r="F52" s="1165"/>
      <c r="G52" s="1142"/>
      <c r="H52" s="1165"/>
      <c r="I52" s="1165"/>
      <c r="J52" s="1165"/>
      <c r="K52" s="1165"/>
      <c r="L52" s="1165"/>
      <c r="M52" s="1165"/>
      <c r="N52" s="1165"/>
      <c r="O52" s="1165"/>
      <c r="P52" s="1165"/>
      <c r="Q52" s="1165"/>
      <c r="R52" s="1165"/>
    </row>
    <row r="53" spans="1:38">
      <c r="B53" s="1165"/>
      <c r="C53" s="1165"/>
      <c r="D53" s="1165"/>
      <c r="E53" s="1165"/>
      <c r="F53" s="1165"/>
      <c r="G53" s="1142"/>
      <c r="H53" s="1165"/>
      <c r="I53" s="1165"/>
      <c r="J53" s="1165"/>
      <c r="K53" s="1165"/>
      <c r="L53" s="1165"/>
      <c r="M53" s="1165"/>
      <c r="N53" s="1165"/>
      <c r="O53" s="1165"/>
      <c r="P53" s="1165"/>
      <c r="Q53" s="1165"/>
      <c r="R53" s="1165"/>
    </row>
    <row r="54" spans="1:38">
      <c r="B54" s="1165"/>
      <c r="C54" s="1165"/>
      <c r="D54" s="1165"/>
      <c r="E54" s="1165"/>
      <c r="F54" s="1165"/>
      <c r="G54" s="1142"/>
      <c r="H54" s="1165"/>
      <c r="I54" s="1165"/>
      <c r="J54" s="1165"/>
      <c r="K54" s="1165"/>
      <c r="L54" s="1165"/>
      <c r="M54" s="1165"/>
      <c r="N54" s="1165"/>
      <c r="O54" s="1165"/>
      <c r="P54" s="1165"/>
      <c r="Q54" s="1165"/>
      <c r="R54" s="1165"/>
    </row>
    <row r="55" spans="1:38">
      <c r="B55" s="1165"/>
      <c r="C55" s="1165"/>
      <c r="D55" s="1165"/>
      <c r="E55" s="1165"/>
      <c r="F55" s="1165"/>
      <c r="G55" s="1142"/>
      <c r="H55" s="1165"/>
      <c r="I55" s="1165"/>
      <c r="J55" s="1165"/>
      <c r="K55" s="1165"/>
      <c r="L55" s="1165"/>
      <c r="M55" s="1165"/>
      <c r="N55" s="1165"/>
      <c r="O55" s="1165"/>
      <c r="P55" s="1165"/>
      <c r="Q55" s="1165"/>
      <c r="R55" s="1165"/>
    </row>
    <row r="56" spans="1:38">
      <c r="B56" s="1165"/>
      <c r="C56" s="1165"/>
      <c r="D56" s="1165"/>
      <c r="E56" s="1165"/>
      <c r="F56" s="1165"/>
      <c r="G56" s="1142"/>
      <c r="H56" s="1165"/>
      <c r="I56" s="1165"/>
      <c r="J56" s="1165"/>
      <c r="K56" s="1165"/>
      <c r="L56" s="1165"/>
      <c r="M56" s="1165"/>
      <c r="N56" s="1165"/>
      <c r="O56" s="1165"/>
      <c r="P56" s="1165"/>
      <c r="Q56" s="1165"/>
      <c r="R56" s="1165"/>
    </row>
    <row r="57" spans="1:38">
      <c r="A57" s="1165"/>
      <c r="B57" s="1165"/>
      <c r="C57" s="1165"/>
      <c r="D57" s="1165"/>
      <c r="E57" s="1165"/>
      <c r="F57" s="1142"/>
      <c r="G57" s="1165"/>
      <c r="H57" s="1165"/>
      <c r="I57" s="1165"/>
      <c r="J57" s="1165"/>
      <c r="K57" s="1165"/>
      <c r="L57" s="1165"/>
      <c r="M57" s="1165"/>
      <c r="N57" s="1165"/>
      <c r="O57" s="1165"/>
      <c r="P57" s="1165"/>
      <c r="Q57" s="1165"/>
    </row>
    <row r="58" spans="1:38">
      <c r="A58" s="1165"/>
      <c r="B58" s="1165"/>
      <c r="C58" s="1165"/>
      <c r="D58" s="1165"/>
      <c r="E58" s="1165"/>
      <c r="F58" s="1142"/>
      <c r="G58" s="1165"/>
      <c r="H58" s="1165"/>
      <c r="I58" s="1165"/>
      <c r="J58" s="1165"/>
      <c r="K58" s="1165"/>
      <c r="L58" s="1165"/>
      <c r="M58" s="1165"/>
      <c r="N58" s="1165"/>
      <c r="O58" s="1165"/>
      <c r="P58" s="1165"/>
      <c r="Q58" s="1165"/>
    </row>
    <row r="59" spans="1:38">
      <c r="A59" s="1165"/>
      <c r="B59" s="1165"/>
      <c r="C59" s="1165"/>
      <c r="D59" s="1165"/>
      <c r="E59" s="1165"/>
      <c r="F59" s="1216"/>
      <c r="G59" s="1216"/>
      <c r="H59" s="1216"/>
      <c r="I59" s="1216"/>
      <c r="J59" s="1217"/>
      <c r="K59" s="1129"/>
      <c r="L59" s="1129"/>
      <c r="M59" s="1129"/>
      <c r="N59" s="1129"/>
      <c r="O59" s="1166"/>
      <c r="P59" s="1216"/>
      <c r="Q59" s="1216"/>
    </row>
    <row r="60" spans="1:38">
      <c r="A60" s="1165"/>
      <c r="B60" s="1165"/>
      <c r="C60" s="1203"/>
      <c r="D60" s="1165"/>
      <c r="E60" s="1065"/>
      <c r="F60" s="1216"/>
      <c r="G60" s="1216"/>
      <c r="H60" s="1216"/>
      <c r="I60" s="1216"/>
      <c r="J60" s="1217"/>
      <c r="K60" s="1129"/>
      <c r="L60" s="1129"/>
      <c r="M60" s="1129"/>
      <c r="N60" s="1129"/>
      <c r="O60" s="1166"/>
      <c r="P60" s="1216"/>
      <c r="Q60" s="1216"/>
    </row>
    <row r="61" spans="1:38">
      <c r="A61" s="1165"/>
      <c r="B61" s="1165"/>
      <c r="C61" s="1203"/>
      <c r="D61" s="1165"/>
      <c r="E61" s="1065"/>
      <c r="F61" s="1216"/>
      <c r="G61" s="1216"/>
      <c r="H61" s="1216"/>
      <c r="I61" s="1216"/>
      <c r="J61" s="1217"/>
      <c r="K61" s="1129"/>
      <c r="L61" s="1129"/>
      <c r="M61" s="1129"/>
      <c r="N61" s="1129"/>
      <c r="O61" s="1166"/>
      <c r="P61" s="1219"/>
      <c r="Q61" s="1219"/>
    </row>
    <row r="62" spans="1:38">
      <c r="A62" s="1165"/>
      <c r="B62" s="1165"/>
      <c r="C62" s="1203"/>
      <c r="D62" s="1165"/>
      <c r="E62" s="1065"/>
      <c r="F62" s="1216"/>
      <c r="G62" s="1216"/>
      <c r="H62" s="1216"/>
      <c r="I62" s="1216"/>
      <c r="J62" s="1217"/>
      <c r="K62" s="1129"/>
      <c r="L62" s="1129"/>
      <c r="M62" s="1129"/>
      <c r="N62" s="1129"/>
      <c r="O62" s="1166"/>
      <c r="P62" s="1219"/>
      <c r="Q62" s="1219"/>
    </row>
    <row r="63" spans="1:38">
      <c r="A63" s="1165"/>
      <c r="B63" s="1165"/>
      <c r="C63" s="1203"/>
      <c r="D63" s="1165"/>
      <c r="E63" s="1065"/>
      <c r="F63" s="1216"/>
      <c r="G63" s="1216"/>
      <c r="H63" s="1216"/>
      <c r="I63" s="1216"/>
      <c r="J63" s="1217"/>
      <c r="K63" s="1129"/>
      <c r="L63" s="1129"/>
      <c r="M63" s="1129"/>
      <c r="N63" s="1129"/>
      <c r="O63" s="1166"/>
      <c r="P63" s="1219"/>
      <c r="Q63" s="1219"/>
    </row>
    <row r="64" spans="1:38">
      <c r="A64" s="1165"/>
      <c r="B64" s="1165"/>
      <c r="C64" s="1203"/>
      <c r="D64" s="1165"/>
      <c r="E64" s="1065"/>
      <c r="F64" s="1216"/>
      <c r="G64" s="1216"/>
      <c r="H64" s="1216"/>
      <c r="I64" s="1216"/>
      <c r="J64" s="1217"/>
      <c r="K64" s="1129"/>
      <c r="L64" s="1129"/>
      <c r="M64" s="1129"/>
      <c r="N64" s="1129"/>
      <c r="O64" s="1166"/>
      <c r="P64" s="1219"/>
      <c r="Q64" s="1219"/>
    </row>
    <row r="65" spans="1:17">
      <c r="A65" s="1165"/>
      <c r="B65" s="1165"/>
      <c r="C65" s="1203"/>
      <c r="D65" s="1165"/>
      <c r="E65" s="1065"/>
      <c r="F65" s="1216"/>
      <c r="G65" s="1216"/>
      <c r="H65" s="1216"/>
      <c r="I65" s="1216"/>
      <c r="J65" s="1217"/>
      <c r="K65" s="1129"/>
      <c r="L65" s="1129"/>
      <c r="M65" s="1129"/>
      <c r="N65" s="1129"/>
      <c r="O65" s="1166"/>
      <c r="P65" s="1219"/>
      <c r="Q65" s="1219"/>
    </row>
    <row r="66" spans="1:17">
      <c r="A66" s="1165"/>
      <c r="B66" s="1165"/>
      <c r="C66" s="1203"/>
      <c r="D66" s="1165"/>
      <c r="E66" s="1065"/>
      <c r="F66" s="1216"/>
      <c r="G66" s="1216"/>
      <c r="H66" s="1216"/>
      <c r="I66" s="1216"/>
      <c r="J66" s="1217"/>
      <c r="K66" s="1129"/>
      <c r="L66" s="1129"/>
      <c r="M66" s="1129"/>
      <c r="N66" s="1129"/>
      <c r="O66" s="1166"/>
      <c r="P66" s="1219"/>
      <c r="Q66" s="1219"/>
    </row>
    <row r="67" spans="1:17">
      <c r="A67" s="1165"/>
      <c r="B67" s="1165"/>
      <c r="C67" s="1203"/>
      <c r="D67" s="1165"/>
      <c r="E67" s="1065"/>
      <c r="F67" s="1216"/>
      <c r="G67" s="1216"/>
      <c r="H67" s="1216"/>
      <c r="I67" s="1216"/>
      <c r="J67" s="1217"/>
      <c r="K67" s="1129"/>
      <c r="L67" s="1129"/>
      <c r="M67" s="1129"/>
      <c r="N67" s="1129"/>
      <c r="O67" s="1166"/>
      <c r="P67" s="1219"/>
      <c r="Q67" s="1219"/>
    </row>
    <row r="68" spans="1:17">
      <c r="A68" s="1165"/>
      <c r="B68" s="1165"/>
      <c r="C68" s="1203"/>
      <c r="D68" s="1165"/>
      <c r="E68" s="1065"/>
      <c r="F68" s="1216"/>
      <c r="G68" s="1216"/>
      <c r="H68" s="1216"/>
      <c r="I68" s="1216"/>
      <c r="J68" s="1217"/>
      <c r="K68" s="1129"/>
      <c r="L68" s="1129"/>
      <c r="M68" s="1129"/>
      <c r="N68" s="1129"/>
      <c r="O68" s="1166"/>
      <c r="P68" s="1219"/>
      <c r="Q68" s="1219"/>
    </row>
    <row r="69" spans="1:17">
      <c r="A69" s="1165"/>
      <c r="B69" s="1165"/>
      <c r="C69" s="1203"/>
      <c r="D69" s="1165"/>
      <c r="E69" s="1065"/>
      <c r="F69" s="1216"/>
      <c r="G69" s="1216"/>
      <c r="H69" s="1216"/>
      <c r="I69" s="1216"/>
      <c r="J69" s="1217"/>
      <c r="K69" s="1129"/>
      <c r="L69" s="1129"/>
      <c r="M69" s="1129"/>
      <c r="N69" s="1129"/>
      <c r="O69" s="1166"/>
      <c r="P69" s="1219"/>
      <c r="Q69" s="1219"/>
    </row>
    <row r="70" spans="1:17">
      <c r="A70" s="1165"/>
      <c r="B70" s="1165"/>
      <c r="C70" s="1203"/>
      <c r="D70" s="1165"/>
      <c r="E70" s="1065"/>
      <c r="F70" s="1216"/>
      <c r="G70" s="1216"/>
      <c r="H70" s="1216"/>
      <c r="I70" s="1216"/>
      <c r="J70" s="1217"/>
      <c r="K70" s="1129"/>
      <c r="L70" s="1129"/>
      <c r="M70" s="1129"/>
      <c r="N70" s="1129"/>
      <c r="O70" s="1166"/>
      <c r="P70" s="1219"/>
      <c r="Q70" s="1219"/>
    </row>
    <row r="71" spans="1:17">
      <c r="A71" s="1165"/>
      <c r="B71" s="1165"/>
      <c r="C71" s="1203"/>
      <c r="D71" s="1165"/>
      <c r="E71" s="1065"/>
      <c r="F71" s="1216"/>
      <c r="G71" s="1216"/>
      <c r="H71" s="1216"/>
      <c r="I71" s="1216"/>
      <c r="J71" s="1217"/>
      <c r="K71" s="1129"/>
      <c r="L71" s="1129"/>
      <c r="M71" s="1129"/>
      <c r="N71" s="1129"/>
      <c r="O71" s="1166"/>
      <c r="P71" s="1219"/>
      <c r="Q71" s="1219"/>
    </row>
    <row r="72" spans="1:17">
      <c r="A72" s="1165"/>
      <c r="B72" s="1165"/>
      <c r="C72" s="1203"/>
      <c r="D72" s="1165"/>
      <c r="E72" s="1065"/>
      <c r="F72" s="1216"/>
      <c r="G72" s="1216"/>
      <c r="H72" s="1216"/>
      <c r="I72" s="1216"/>
      <c r="J72" s="1217"/>
      <c r="K72" s="1129"/>
      <c r="L72" s="1129"/>
      <c r="M72" s="1129"/>
      <c r="N72" s="1129"/>
      <c r="O72" s="1166"/>
      <c r="P72" s="1219"/>
      <c r="Q72" s="1219"/>
    </row>
    <row r="73" spans="1:17">
      <c r="A73" s="1165"/>
      <c r="B73" s="1165"/>
      <c r="C73" s="1203"/>
      <c r="D73" s="1165"/>
      <c r="E73" s="1065"/>
      <c r="F73" s="1216"/>
      <c r="G73" s="1216"/>
      <c r="H73" s="1216"/>
      <c r="I73" s="1216"/>
      <c r="J73" s="1217"/>
      <c r="K73" s="1129"/>
      <c r="L73" s="1129"/>
      <c r="M73" s="1129"/>
      <c r="N73" s="1129"/>
      <c r="O73" s="1166"/>
      <c r="P73" s="1219"/>
      <c r="Q73" s="1219"/>
    </row>
    <row r="74" spans="1:17">
      <c r="A74" s="1165"/>
      <c r="B74" s="1165"/>
      <c r="C74" s="1203"/>
      <c r="D74" s="1165"/>
      <c r="E74" s="1065"/>
      <c r="F74" s="1216"/>
      <c r="G74" s="1216"/>
      <c r="H74" s="1216"/>
      <c r="I74" s="1216"/>
      <c r="J74" s="1217"/>
      <c r="K74" s="1129"/>
      <c r="L74" s="1129"/>
      <c r="M74" s="1129"/>
      <c r="N74" s="1129"/>
      <c r="O74" s="1166"/>
      <c r="P74" s="1219"/>
      <c r="Q74" s="1219"/>
    </row>
    <row r="75" spans="1:17">
      <c r="A75" s="1165"/>
      <c r="B75" s="1165"/>
      <c r="C75" s="1203"/>
      <c r="D75" s="1165"/>
      <c r="E75" s="1065"/>
      <c r="F75" s="1216"/>
      <c r="G75" s="1216"/>
      <c r="H75" s="1216"/>
      <c r="I75" s="1216"/>
      <c r="J75" s="1217"/>
      <c r="K75" s="1129"/>
      <c r="L75" s="1129"/>
      <c r="M75" s="1129"/>
      <c r="N75" s="1129"/>
      <c r="O75" s="1166"/>
      <c r="P75" s="1219"/>
      <c r="Q75" s="1219"/>
    </row>
    <row r="76" spans="1:17">
      <c r="A76" s="1165"/>
      <c r="B76" s="1165"/>
      <c r="C76" s="1203"/>
      <c r="D76" s="1165"/>
      <c r="E76" s="1065"/>
      <c r="F76" s="1216"/>
      <c r="G76" s="1216"/>
      <c r="H76" s="1216"/>
      <c r="I76" s="1216"/>
      <c r="J76" s="1217"/>
      <c r="K76" s="1129"/>
      <c r="L76" s="1129"/>
      <c r="M76" s="1129"/>
      <c r="N76" s="1129"/>
      <c r="O76" s="1166"/>
      <c r="P76" s="1219"/>
      <c r="Q76" s="1219"/>
    </row>
    <row r="77" spans="1:17">
      <c r="A77" s="1165"/>
      <c r="B77" s="1165"/>
      <c r="C77" s="1203"/>
      <c r="D77" s="1165"/>
      <c r="E77" s="1065"/>
      <c r="F77" s="1216"/>
      <c r="G77" s="1216"/>
      <c r="H77" s="1216"/>
      <c r="I77" s="1216"/>
      <c r="J77" s="1217"/>
      <c r="K77" s="1129"/>
      <c r="L77" s="1129"/>
      <c r="M77" s="1129"/>
      <c r="N77" s="1129"/>
      <c r="O77" s="1166"/>
      <c r="P77" s="1219"/>
      <c r="Q77" s="1219"/>
    </row>
    <row r="78" spans="1:17">
      <c r="A78" s="1165"/>
      <c r="B78" s="1165"/>
      <c r="C78" s="1203"/>
      <c r="D78" s="1165"/>
      <c r="E78" s="1065"/>
      <c r="F78" s="1216"/>
      <c r="G78" s="1216"/>
      <c r="H78" s="1216"/>
      <c r="I78" s="1216"/>
      <c r="J78" s="1217"/>
      <c r="K78" s="1129"/>
      <c r="L78" s="1129"/>
      <c r="M78" s="1129"/>
      <c r="N78" s="1129"/>
      <c r="O78" s="1166"/>
      <c r="P78" s="1219"/>
      <c r="Q78" s="1219"/>
    </row>
    <row r="79" spans="1:17">
      <c r="A79" s="1165"/>
      <c r="B79" s="1165"/>
      <c r="C79" s="1203"/>
      <c r="D79" s="1165"/>
      <c r="E79" s="1065"/>
      <c r="F79" s="1216"/>
      <c r="G79" s="1216"/>
      <c r="H79" s="1216"/>
      <c r="I79" s="1216"/>
      <c r="J79" s="1217"/>
      <c r="K79" s="1129"/>
      <c r="L79" s="1129"/>
      <c r="M79" s="1129"/>
      <c r="N79" s="1129"/>
      <c r="O79" s="1166"/>
      <c r="P79" s="1219"/>
      <c r="Q79" s="1219"/>
    </row>
    <row r="80" spans="1:17">
      <c r="A80" s="1165"/>
      <c r="B80" s="1165"/>
      <c r="C80" s="1203"/>
      <c r="D80" s="1165"/>
      <c r="E80" s="1065"/>
      <c r="F80" s="1216"/>
      <c r="G80" s="1216"/>
      <c r="H80" s="1216"/>
      <c r="I80" s="1216"/>
      <c r="J80" s="1217"/>
      <c r="K80" s="1129"/>
      <c r="L80" s="1129"/>
      <c r="M80" s="1129"/>
      <c r="N80" s="1129"/>
      <c r="O80" s="1166"/>
      <c r="P80" s="1219"/>
      <c r="Q80" s="1219"/>
    </row>
    <row r="81" spans="1:17">
      <c r="A81" s="1165"/>
      <c r="B81" s="1165"/>
      <c r="C81" s="1203"/>
      <c r="D81" s="1165"/>
      <c r="E81" s="1065"/>
      <c r="F81" s="1216"/>
      <c r="G81" s="1216"/>
      <c r="H81" s="1216"/>
      <c r="I81" s="1216"/>
      <c r="J81" s="1217"/>
      <c r="K81" s="1129"/>
      <c r="L81" s="1129"/>
      <c r="M81" s="1129"/>
      <c r="N81" s="1129"/>
      <c r="O81" s="1166"/>
      <c r="P81" s="1219"/>
      <c r="Q81" s="1219"/>
    </row>
    <row r="82" spans="1:17">
      <c r="A82" s="1165"/>
      <c r="B82" s="1165"/>
      <c r="C82" s="1203"/>
      <c r="D82" s="1165"/>
      <c r="E82" s="1065"/>
      <c r="F82" s="1216"/>
      <c r="G82" s="1216"/>
      <c r="H82" s="1216"/>
      <c r="I82" s="1216"/>
      <c r="J82" s="1217"/>
      <c r="K82" s="1129"/>
      <c r="L82" s="1129"/>
      <c r="M82" s="1129"/>
      <c r="N82" s="1129"/>
      <c r="O82" s="1166"/>
      <c r="P82" s="1219"/>
      <c r="Q82" s="1219"/>
    </row>
    <row r="83" spans="1:17">
      <c r="A83" s="1165"/>
      <c r="B83" s="1165"/>
      <c r="D83" s="1165"/>
      <c r="E83" s="1065"/>
      <c r="F83" s="1216"/>
      <c r="G83" s="1216"/>
      <c r="H83" s="1216"/>
      <c r="I83" s="1216"/>
      <c r="J83" s="1217"/>
      <c r="K83" s="1217"/>
      <c r="L83" s="1213"/>
      <c r="M83" s="1213"/>
      <c r="N83" s="1217"/>
      <c r="O83" s="1214"/>
      <c r="P83" s="1219"/>
      <c r="Q83" s="1219"/>
    </row>
    <row r="84" spans="1:17">
      <c r="F84" s="1220"/>
      <c r="G84" s="1220"/>
      <c r="H84" s="1220"/>
      <c r="I84" s="1220"/>
      <c r="J84" s="1220"/>
      <c r="K84" s="1220"/>
      <c r="L84" s="1220"/>
      <c r="M84" s="1220"/>
      <c r="N84" s="1220"/>
      <c r="O84" s="1220"/>
      <c r="P84" s="1220"/>
      <c r="Q84" s="1220"/>
    </row>
  </sheetData>
  <customSheetViews>
    <customSheetView guid="{A374FC54-96E3-45F0-9C12-8450400C12DF}" scale="120" topLeftCell="A22">
      <selection activeCell="H44" sqref="H44"/>
      <pageMargins left="0.75" right="0.45" top="0.75" bottom="0.75" header="0.3" footer="0.3"/>
      <pageSetup paperSize="132" firstPageNumber="106" orientation="portrait" useFirstPageNumber="1" r:id="rId1"/>
      <headerFooter>
        <oddFooter>&amp;C&amp;"Times New Roman,Regular"&amp;8&amp;P</oddFooter>
      </headerFooter>
    </customSheetView>
  </customSheetViews>
  <mergeCells count="14">
    <mergeCell ref="G2:I2"/>
    <mergeCell ref="P2:Q2"/>
    <mergeCell ref="P3:Q3"/>
    <mergeCell ref="A4:A6"/>
    <mergeCell ref="B4:B5"/>
    <mergeCell ref="C4:E4"/>
    <mergeCell ref="F4:J4"/>
    <mergeCell ref="K4:K5"/>
    <mergeCell ref="L4:L5"/>
    <mergeCell ref="M4:M5"/>
    <mergeCell ref="N4:N5"/>
    <mergeCell ref="O4:O5"/>
    <mergeCell ref="P4:P5"/>
    <mergeCell ref="Q4:Q5"/>
  </mergeCells>
  <pageMargins left="0.75" right="0.45" top="0.75" bottom="0.75" header="0.3" footer="0.3"/>
  <pageSetup paperSize="448" firstPageNumber="110" orientation="portrait" useFirstPageNumber="1" r:id="rId2"/>
  <headerFooter>
    <oddFooter>&amp;C&amp;"Times New Roman,Regular"&amp;8&amp;P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U39"/>
  <sheetViews>
    <sheetView zoomScale="140" zoomScaleNormal="140" workbookViewId="0">
      <selection activeCell="I17" sqref="I17"/>
    </sheetView>
  </sheetViews>
  <sheetFormatPr defaultColWidth="9.140625" defaultRowHeight="12.75"/>
  <cols>
    <col min="1" max="1" width="5.140625" style="774" customWidth="1"/>
    <col min="2" max="2" width="7.7109375" style="774" customWidth="1"/>
    <col min="3" max="3" width="8.7109375" style="806" customWidth="1"/>
    <col min="4" max="4" width="9.7109375" style="806" customWidth="1"/>
    <col min="5" max="5" width="9.140625" style="806" customWidth="1"/>
    <col min="6" max="6" width="8.42578125" style="806" customWidth="1"/>
    <col min="7" max="7" width="10.140625" style="806" customWidth="1"/>
    <col min="8" max="8" width="9.140625" style="774"/>
    <col min="9" max="9" width="11.7109375" style="774" bestFit="1" customWidth="1"/>
    <col min="10" max="10" width="10.42578125" style="774" bestFit="1" customWidth="1"/>
    <col min="11" max="11" width="11.5703125" style="774" bestFit="1" customWidth="1"/>
    <col min="12" max="14" width="9.42578125" style="774" bestFit="1" customWidth="1"/>
    <col min="15" max="16384" width="9.140625" style="774"/>
  </cols>
  <sheetData>
    <row r="1" spans="1:21">
      <c r="A1" s="2537" t="s">
        <v>1571</v>
      </c>
      <c r="B1" s="2537"/>
      <c r="C1" s="2537"/>
      <c r="D1" s="2537"/>
      <c r="E1" s="2537"/>
      <c r="F1" s="2537"/>
      <c r="G1" s="2537"/>
      <c r="H1" s="2537"/>
      <c r="I1" s="805" t="s">
        <v>1572</v>
      </c>
    </row>
    <row r="2" spans="1:21">
      <c r="A2" s="8"/>
      <c r="B2" s="8"/>
      <c r="C2" s="26"/>
      <c r="D2" s="26"/>
      <c r="E2" s="26"/>
      <c r="F2" s="26"/>
      <c r="H2" s="26" t="s">
        <v>635</v>
      </c>
      <c r="I2" s="1" t="s">
        <v>1591</v>
      </c>
      <c r="J2" s="4"/>
    </row>
    <row r="3" spans="1:21" ht="33.75" customHeight="1">
      <c r="A3" s="2542" t="s">
        <v>21</v>
      </c>
      <c r="B3" s="2543"/>
      <c r="C3" s="1123" t="s">
        <v>1561</v>
      </c>
      <c r="D3" s="807" t="s">
        <v>1470</v>
      </c>
      <c r="E3" s="808" t="s">
        <v>1938</v>
      </c>
      <c r="F3" s="808" t="s">
        <v>1939</v>
      </c>
      <c r="G3" s="808" t="s">
        <v>1482</v>
      </c>
      <c r="H3" s="1306" t="s">
        <v>1551</v>
      </c>
      <c r="I3" s="808" t="s">
        <v>1483</v>
      </c>
    </row>
    <row r="4" spans="1:21" ht="12.75" customHeight="1">
      <c r="A4" s="2538" t="s">
        <v>2345</v>
      </c>
      <c r="B4" s="2538"/>
      <c r="C4" s="982">
        <f>SUM(C5:C32)</f>
        <v>195107.05999999997</v>
      </c>
      <c r="D4" s="982">
        <f>SUM(D5:D32)</f>
        <v>1099998.1300000001</v>
      </c>
      <c r="E4" s="982">
        <f t="shared" ref="E4" si="0">SUM(E5:E32)</f>
        <v>58722.724000000017</v>
      </c>
      <c r="F4" s="983">
        <f>SUM(F5:F32)</f>
        <v>198585.297276</v>
      </c>
      <c r="G4" s="982">
        <f>SUM(G5:G32)</f>
        <v>9314.3692062091141</v>
      </c>
      <c r="H4" s="982">
        <f>SUM(H5:H32)</f>
        <v>47633.521278079977</v>
      </c>
      <c r="I4" s="984">
        <f>SUM(I5:I32)</f>
        <v>0</v>
      </c>
      <c r="J4" s="1305"/>
      <c r="K4" s="1305"/>
      <c r="L4" s="1305"/>
      <c r="M4" s="1305"/>
      <c r="N4" s="1305"/>
      <c r="O4" s="809"/>
      <c r="P4" s="809"/>
      <c r="Q4" s="809"/>
      <c r="R4" s="809"/>
      <c r="S4" s="809"/>
    </row>
    <row r="5" spans="1:21" ht="15" customHeight="1">
      <c r="A5" s="2539" t="s">
        <v>1206</v>
      </c>
      <c r="B5" s="810" t="s">
        <v>1471</v>
      </c>
      <c r="C5" s="985">
        <v>195.74</v>
      </c>
      <c r="D5" s="985">
        <v>187.81</v>
      </c>
      <c r="E5" s="985">
        <v>1.921</v>
      </c>
      <c r="F5" s="986">
        <v>1.8773960000000001</v>
      </c>
      <c r="G5" s="987">
        <v>3.2834503010160132</v>
      </c>
      <c r="H5" s="743">
        <v>-0.1470872</v>
      </c>
      <c r="I5" s="743">
        <v>0</v>
      </c>
      <c r="O5" s="809"/>
      <c r="P5" s="809"/>
      <c r="Q5" s="809"/>
      <c r="R5" s="809"/>
      <c r="S5" s="809"/>
      <c r="T5" s="809"/>
      <c r="U5" s="809"/>
    </row>
    <row r="6" spans="1:21" ht="15" customHeight="1">
      <c r="A6" s="2540"/>
      <c r="B6" s="811" t="s">
        <v>1472</v>
      </c>
      <c r="C6" s="988">
        <v>221.26</v>
      </c>
      <c r="D6" s="988">
        <v>1133.72</v>
      </c>
      <c r="E6" s="988">
        <v>35.64</v>
      </c>
      <c r="F6" s="989">
        <v>625.38148100000001</v>
      </c>
      <c r="G6" s="990">
        <v>120.603594805284</v>
      </c>
      <c r="H6" s="744">
        <v>0.33824140999999996</v>
      </c>
      <c r="I6" s="744">
        <v>0</v>
      </c>
      <c r="O6" s="809"/>
      <c r="P6" s="809"/>
      <c r="Q6" s="809"/>
      <c r="R6" s="809"/>
      <c r="S6" s="809"/>
    </row>
    <row r="7" spans="1:21" ht="15" customHeight="1">
      <c r="A7" s="2540"/>
      <c r="B7" s="812" t="s">
        <v>1473</v>
      </c>
      <c r="C7" s="981">
        <v>48239.13</v>
      </c>
      <c r="D7" s="981">
        <v>227772.07</v>
      </c>
      <c r="E7" s="981">
        <v>12413.24</v>
      </c>
      <c r="F7" s="981">
        <v>36767.810983000003</v>
      </c>
      <c r="G7" s="986">
        <v>296.79460772231005</v>
      </c>
      <c r="H7" s="783">
        <v>3592.8292079399998</v>
      </c>
      <c r="I7" s="783">
        <v>0</v>
      </c>
      <c r="K7" s="1305"/>
      <c r="L7" s="1305"/>
      <c r="M7" s="1305"/>
      <c r="N7" s="1305"/>
      <c r="O7" s="1305"/>
      <c r="P7" s="809"/>
      <c r="Q7" s="809"/>
      <c r="R7" s="809"/>
      <c r="S7" s="809"/>
    </row>
    <row r="8" spans="1:21" ht="15" customHeight="1">
      <c r="A8" s="2540"/>
      <c r="B8" s="811" t="s">
        <v>1474</v>
      </c>
      <c r="C8" s="988">
        <v>191.98</v>
      </c>
      <c r="D8" s="988">
        <v>98.8</v>
      </c>
      <c r="E8" s="988">
        <v>104.268</v>
      </c>
      <c r="F8" s="988">
        <v>116.032993</v>
      </c>
      <c r="G8" s="989">
        <v>1103.7285731724089</v>
      </c>
      <c r="H8" s="744">
        <v>-0.55870469</v>
      </c>
      <c r="I8" s="744">
        <v>0</v>
      </c>
      <c r="O8" s="809"/>
      <c r="P8" s="809"/>
      <c r="Q8" s="809"/>
      <c r="R8" s="809"/>
      <c r="S8" s="809"/>
    </row>
    <row r="9" spans="1:21" ht="15" customHeight="1">
      <c r="A9" s="2540"/>
      <c r="B9" s="812" t="s">
        <v>1475</v>
      </c>
      <c r="C9" s="981">
        <v>1099.73</v>
      </c>
      <c r="D9" s="981">
        <v>137.52000000000001</v>
      </c>
      <c r="E9" s="981">
        <v>306.90199999999999</v>
      </c>
      <c r="F9" s="981">
        <v>161.24250499999999</v>
      </c>
      <c r="G9" s="991">
        <v>9.3263114738140001</v>
      </c>
      <c r="H9" s="743">
        <v>26.922386699999997</v>
      </c>
      <c r="I9" s="743">
        <v>0</v>
      </c>
      <c r="O9" s="809"/>
      <c r="P9" s="809"/>
      <c r="Q9" s="809"/>
      <c r="R9" s="809"/>
      <c r="S9" s="809"/>
    </row>
    <row r="10" spans="1:21" ht="15" customHeight="1">
      <c r="A10" s="2540"/>
      <c r="B10" s="811" t="s">
        <v>1476</v>
      </c>
      <c r="C10" s="988">
        <v>1722.79</v>
      </c>
      <c r="D10" s="988">
        <v>17334.27</v>
      </c>
      <c r="E10" s="988">
        <v>114.89700000000001</v>
      </c>
      <c r="F10" s="988">
        <v>578.66020300000002</v>
      </c>
      <c r="G10" s="989">
        <v>12.763382660987999</v>
      </c>
      <c r="H10" s="744">
        <v>545.4865064999999</v>
      </c>
      <c r="I10" s="744">
        <v>0</v>
      </c>
      <c r="O10" s="809"/>
      <c r="P10" s="809"/>
      <c r="Q10" s="809"/>
      <c r="R10" s="809"/>
      <c r="S10" s="809"/>
    </row>
    <row r="11" spans="1:21" ht="15" customHeight="1">
      <c r="A11" s="2541"/>
      <c r="B11" s="812" t="s">
        <v>1477</v>
      </c>
      <c r="C11" s="981">
        <v>1680.62</v>
      </c>
      <c r="D11" s="981">
        <v>2399.38</v>
      </c>
      <c r="E11" s="981">
        <v>861.95899999999995</v>
      </c>
      <c r="F11" s="981">
        <v>1670.4610290000001</v>
      </c>
      <c r="G11" s="991">
        <v>15.690338522771999</v>
      </c>
      <c r="H11" s="743">
        <v>1939.1689851799999</v>
      </c>
      <c r="I11" s="743">
        <v>0</v>
      </c>
      <c r="O11" s="809"/>
      <c r="P11" s="809"/>
      <c r="Q11" s="809"/>
      <c r="R11" s="809"/>
      <c r="S11" s="809"/>
    </row>
    <row r="12" spans="1:21" ht="15" customHeight="1">
      <c r="A12" s="2535" t="s">
        <v>1328</v>
      </c>
      <c r="B12" s="813" t="s">
        <v>1471</v>
      </c>
      <c r="C12" s="988">
        <v>182.7</v>
      </c>
      <c r="D12" s="988">
        <v>135.38999999999999</v>
      </c>
      <c r="E12" s="988">
        <v>3.4430000000000001</v>
      </c>
      <c r="F12" s="988">
        <v>0.888575</v>
      </c>
      <c r="G12" s="989">
        <v>3.0089360186667315</v>
      </c>
      <c r="H12" s="744">
        <v>-0.26681533000000002</v>
      </c>
      <c r="I12" s="744">
        <v>0</v>
      </c>
      <c r="O12" s="809"/>
      <c r="P12" s="809"/>
      <c r="Q12" s="809"/>
      <c r="R12" s="809"/>
      <c r="S12" s="809"/>
    </row>
    <row r="13" spans="1:21" s="777" customFormat="1" ht="15" customHeight="1">
      <c r="A13" s="2535" t="s">
        <v>1328</v>
      </c>
      <c r="B13" s="814" t="s">
        <v>1472</v>
      </c>
      <c r="C13" s="992">
        <v>263.55</v>
      </c>
      <c r="D13" s="992">
        <v>2071.9299999999998</v>
      </c>
      <c r="E13" s="992">
        <v>51.057000000000002</v>
      </c>
      <c r="F13" s="992">
        <v>793.92974200000003</v>
      </c>
      <c r="G13" s="993">
        <v>206.3741376385515</v>
      </c>
      <c r="H13" s="769">
        <v>-5.33687018</v>
      </c>
      <c r="I13" s="769">
        <v>0</v>
      </c>
      <c r="O13" s="815"/>
      <c r="P13" s="815"/>
      <c r="Q13" s="815"/>
      <c r="R13" s="815"/>
      <c r="S13" s="815"/>
    </row>
    <row r="14" spans="1:21" ht="15" customHeight="1">
      <c r="A14" s="2535" t="s">
        <v>1328</v>
      </c>
      <c r="B14" s="813" t="s">
        <v>1473</v>
      </c>
      <c r="C14" s="988">
        <v>44135.44</v>
      </c>
      <c r="D14" s="988">
        <v>256254.87</v>
      </c>
      <c r="E14" s="988">
        <v>11844.294</v>
      </c>
      <c r="F14" s="988">
        <v>45311.506751000001</v>
      </c>
      <c r="G14" s="989">
        <v>452.62104524520021</v>
      </c>
      <c r="H14" s="744">
        <v>9833.5040142599937</v>
      </c>
      <c r="I14" s="744">
        <v>0</v>
      </c>
      <c r="O14" s="809"/>
      <c r="P14" s="809"/>
      <c r="Q14" s="809"/>
      <c r="R14" s="809"/>
      <c r="S14" s="809"/>
    </row>
    <row r="15" spans="1:21" s="777" customFormat="1" ht="15" customHeight="1">
      <c r="A15" s="2535" t="s">
        <v>1328</v>
      </c>
      <c r="B15" s="814" t="s">
        <v>1474</v>
      </c>
      <c r="C15" s="992">
        <v>144.87</v>
      </c>
      <c r="D15" s="992">
        <v>122.79</v>
      </c>
      <c r="E15" s="992">
        <v>63.959000000000003</v>
      </c>
      <c r="F15" s="992">
        <v>162.39434399999999</v>
      </c>
      <c r="G15" s="993">
        <v>624.30958895367212</v>
      </c>
      <c r="H15" s="769">
        <v>-2.757944E-2</v>
      </c>
      <c r="I15" s="769">
        <v>0</v>
      </c>
      <c r="O15" s="815"/>
      <c r="P15" s="815"/>
      <c r="Q15" s="815"/>
      <c r="R15" s="815"/>
      <c r="S15" s="815"/>
    </row>
    <row r="16" spans="1:21" ht="15" customHeight="1">
      <c r="A16" s="2535" t="s">
        <v>1328</v>
      </c>
      <c r="B16" s="813" t="s">
        <v>1475</v>
      </c>
      <c r="C16" s="988">
        <v>870.47</v>
      </c>
      <c r="D16" s="988">
        <v>41.3</v>
      </c>
      <c r="E16" s="988">
        <v>224.10400000000001</v>
      </c>
      <c r="F16" s="988">
        <v>283.70236899999998</v>
      </c>
      <c r="G16" s="989">
        <v>9.0809818657716797</v>
      </c>
      <c r="H16" s="744">
        <v>20.969362070000003</v>
      </c>
      <c r="I16" s="744">
        <v>0</v>
      </c>
      <c r="O16" s="809"/>
      <c r="P16" s="809"/>
      <c r="Q16" s="809"/>
      <c r="R16" s="809"/>
      <c r="S16" s="809"/>
    </row>
    <row r="17" spans="1:19" s="777" customFormat="1" ht="15" customHeight="1">
      <c r="A17" s="2535" t="s">
        <v>1328</v>
      </c>
      <c r="B17" s="814" t="s">
        <v>1476</v>
      </c>
      <c r="C17" s="992">
        <v>1884.94</v>
      </c>
      <c r="D17" s="992">
        <v>22049.119999999999</v>
      </c>
      <c r="E17" s="992">
        <v>93.623000000000005</v>
      </c>
      <c r="F17" s="992">
        <v>712.99123299999997</v>
      </c>
      <c r="G17" s="993">
        <v>11.503209698356519</v>
      </c>
      <c r="H17" s="769">
        <v>700.15458732999991</v>
      </c>
      <c r="I17" s="769">
        <v>0</v>
      </c>
      <c r="O17" s="815"/>
      <c r="P17" s="815"/>
      <c r="Q17" s="815"/>
      <c r="R17" s="815"/>
      <c r="S17" s="815"/>
    </row>
    <row r="18" spans="1:19" ht="15" customHeight="1">
      <c r="A18" s="2535" t="s">
        <v>1328</v>
      </c>
      <c r="B18" s="813" t="s">
        <v>1477</v>
      </c>
      <c r="C18" s="988">
        <v>1597.47</v>
      </c>
      <c r="D18" s="988">
        <v>2487.12</v>
      </c>
      <c r="E18" s="988">
        <v>962.47299999999996</v>
      </c>
      <c r="F18" s="988">
        <v>1484.334087</v>
      </c>
      <c r="G18" s="989">
        <v>16.217757254499929</v>
      </c>
      <c r="H18" s="744">
        <v>1441.8359009299998</v>
      </c>
      <c r="I18" s="744">
        <v>0</v>
      </c>
      <c r="O18" s="809"/>
      <c r="P18" s="809"/>
      <c r="Q18" s="809"/>
      <c r="R18" s="809"/>
      <c r="S18" s="809"/>
    </row>
    <row r="19" spans="1:19" s="777" customFormat="1" ht="15" customHeight="1">
      <c r="A19" s="2535" t="s">
        <v>1204</v>
      </c>
      <c r="B19" s="814" t="s">
        <v>1471</v>
      </c>
      <c r="C19" s="992">
        <v>454.96</v>
      </c>
      <c r="D19" s="992">
        <v>488.06</v>
      </c>
      <c r="E19" s="992">
        <v>0.875</v>
      </c>
      <c r="F19" s="992">
        <v>1.107102</v>
      </c>
      <c r="G19" s="993">
        <v>9.9646073999999896</v>
      </c>
      <c r="H19" s="769">
        <v>-0.25063935000000004</v>
      </c>
      <c r="I19" s="769">
        <v>0</v>
      </c>
      <c r="O19" s="815"/>
      <c r="P19" s="815"/>
      <c r="Q19" s="815"/>
      <c r="R19" s="815"/>
      <c r="S19" s="815"/>
    </row>
    <row r="20" spans="1:19" ht="15" customHeight="1">
      <c r="A20" s="2535" t="s">
        <v>1204</v>
      </c>
      <c r="B20" s="813" t="s">
        <v>1472</v>
      </c>
      <c r="C20" s="988">
        <v>230.41</v>
      </c>
      <c r="D20" s="988">
        <v>2247.64</v>
      </c>
      <c r="E20" s="988">
        <v>35.140999999999998</v>
      </c>
      <c r="F20" s="988">
        <v>847.99374</v>
      </c>
      <c r="G20" s="989">
        <v>63.908378600000006</v>
      </c>
      <c r="H20" s="744">
        <v>5.0690255199999994</v>
      </c>
      <c r="I20" s="744">
        <v>0</v>
      </c>
      <c r="O20" s="809"/>
      <c r="P20" s="809"/>
      <c r="Q20" s="809"/>
      <c r="R20" s="809"/>
      <c r="S20" s="809"/>
    </row>
    <row r="21" spans="1:19" s="777" customFormat="1" ht="15" customHeight="1">
      <c r="A21" s="2535" t="s">
        <v>1204</v>
      </c>
      <c r="B21" s="814" t="s">
        <v>1473</v>
      </c>
      <c r="C21" s="992">
        <v>41293.33</v>
      </c>
      <c r="D21" s="992">
        <v>256924.6</v>
      </c>
      <c r="E21" s="992">
        <v>13418.538</v>
      </c>
      <c r="F21" s="992">
        <v>45165.483838</v>
      </c>
      <c r="G21" s="993">
        <v>811.32665625000004</v>
      </c>
      <c r="H21" s="769">
        <v>6557.1094812599977</v>
      </c>
      <c r="I21" s="769">
        <v>0</v>
      </c>
      <c r="O21" s="815"/>
      <c r="P21" s="815"/>
      <c r="Q21" s="815"/>
      <c r="R21" s="815"/>
      <c r="S21" s="815"/>
    </row>
    <row r="22" spans="1:19" ht="15" customHeight="1">
      <c r="A22" s="2535" t="s">
        <v>1204</v>
      </c>
      <c r="B22" s="813" t="s">
        <v>1474</v>
      </c>
      <c r="C22" s="988">
        <v>194.3</v>
      </c>
      <c r="D22" s="988">
        <v>100.45</v>
      </c>
      <c r="E22" s="988">
        <v>47.930999999999997</v>
      </c>
      <c r="F22" s="988">
        <v>107.194981</v>
      </c>
      <c r="G22" s="989">
        <v>992.58517473500012</v>
      </c>
      <c r="H22" s="744">
        <v>-5.8511300000000004E-3</v>
      </c>
      <c r="I22" s="744">
        <v>0</v>
      </c>
      <c r="O22" s="809"/>
      <c r="P22" s="809"/>
      <c r="Q22" s="809"/>
      <c r="R22" s="809"/>
      <c r="S22" s="809"/>
    </row>
    <row r="23" spans="1:19" s="777" customFormat="1" ht="15" customHeight="1">
      <c r="A23" s="2535" t="s">
        <v>1204</v>
      </c>
      <c r="B23" s="814" t="s">
        <v>1475</v>
      </c>
      <c r="C23" s="992">
        <v>1884.28</v>
      </c>
      <c r="D23" s="992">
        <v>53.25</v>
      </c>
      <c r="E23" s="992">
        <v>270.60300000000001</v>
      </c>
      <c r="F23" s="992">
        <v>377.214878</v>
      </c>
      <c r="G23" s="993">
        <v>11.5198578</v>
      </c>
      <c r="H23" s="769">
        <v>232.81891714999998</v>
      </c>
      <c r="I23" s="769">
        <v>0</v>
      </c>
      <c r="O23" s="815"/>
      <c r="P23" s="815"/>
      <c r="Q23" s="815"/>
      <c r="R23" s="815"/>
      <c r="S23" s="815"/>
    </row>
    <row r="24" spans="1:19" ht="15" customHeight="1">
      <c r="A24" s="2535" t="s">
        <v>1204</v>
      </c>
      <c r="B24" s="813" t="s">
        <v>1476</v>
      </c>
      <c r="C24" s="988">
        <v>1710.74</v>
      </c>
      <c r="D24" s="988">
        <v>20404.75</v>
      </c>
      <c r="E24" s="988">
        <v>72.263999999999996</v>
      </c>
      <c r="F24" s="988">
        <v>709.525803</v>
      </c>
      <c r="G24" s="989">
        <v>13.741734600000001</v>
      </c>
      <c r="H24" s="744">
        <v>1176.3971187799998</v>
      </c>
      <c r="I24" s="744">
        <v>0</v>
      </c>
      <c r="O24" s="809"/>
      <c r="P24" s="809"/>
      <c r="Q24" s="809"/>
      <c r="R24" s="809"/>
      <c r="S24" s="809"/>
    </row>
    <row r="25" spans="1:19" s="777" customFormat="1" ht="15" customHeight="1">
      <c r="A25" s="2535" t="s">
        <v>1204</v>
      </c>
      <c r="B25" s="814" t="s">
        <v>1477</v>
      </c>
      <c r="C25" s="992">
        <v>1952.08</v>
      </c>
      <c r="D25" s="992">
        <v>2441.1</v>
      </c>
      <c r="E25" s="992">
        <v>1075.83</v>
      </c>
      <c r="F25" s="992">
        <v>1477.1377950000001</v>
      </c>
      <c r="G25" s="993">
        <v>9.6527409000000013</v>
      </c>
      <c r="H25" s="769">
        <v>2468.6223182199997</v>
      </c>
      <c r="I25" s="769">
        <v>0</v>
      </c>
      <c r="O25" s="815"/>
      <c r="P25" s="815"/>
      <c r="Q25" s="815"/>
      <c r="R25" s="815"/>
      <c r="S25" s="815"/>
    </row>
    <row r="26" spans="1:19" ht="15" customHeight="1">
      <c r="A26" s="2535" t="s">
        <v>1205</v>
      </c>
      <c r="B26" s="813" t="s">
        <v>1471</v>
      </c>
      <c r="C26" s="988">
        <v>295.32</v>
      </c>
      <c r="D26" s="988">
        <v>468.25</v>
      </c>
      <c r="E26" s="988">
        <v>1.125</v>
      </c>
      <c r="F26" s="988">
        <v>0.95089500000000005</v>
      </c>
      <c r="G26" s="989">
        <v>90.840359585405153</v>
      </c>
      <c r="H26" s="744">
        <v>-0.21564526000000001</v>
      </c>
      <c r="I26" s="744">
        <v>0</v>
      </c>
      <c r="O26" s="809"/>
      <c r="P26" s="809"/>
      <c r="Q26" s="809"/>
      <c r="R26" s="809"/>
      <c r="S26" s="809"/>
    </row>
    <row r="27" spans="1:19" s="777" customFormat="1" ht="15" customHeight="1">
      <c r="A27" s="2535" t="s">
        <v>1478</v>
      </c>
      <c r="B27" s="814" t="s">
        <v>1472</v>
      </c>
      <c r="C27" s="992">
        <v>325.02999999999997</v>
      </c>
      <c r="D27" s="992">
        <v>1794.34</v>
      </c>
      <c r="E27" s="992">
        <v>37.408000000000001</v>
      </c>
      <c r="F27" s="992">
        <v>805.64046599999995</v>
      </c>
      <c r="G27" s="993">
        <v>98.756466401276342</v>
      </c>
      <c r="H27" s="769">
        <v>0.94376126999999999</v>
      </c>
      <c r="I27" s="769">
        <v>0</v>
      </c>
      <c r="O27" s="815"/>
      <c r="P27" s="815"/>
      <c r="Q27" s="815"/>
      <c r="R27" s="815"/>
      <c r="S27" s="815"/>
    </row>
    <row r="28" spans="1:19" ht="15" customHeight="1">
      <c r="A28" s="2535" t="s">
        <v>1478</v>
      </c>
      <c r="B28" s="813" t="s">
        <v>1473</v>
      </c>
      <c r="C28" s="988">
        <v>40615.64</v>
      </c>
      <c r="D28" s="988">
        <v>257090.59</v>
      </c>
      <c r="E28" s="988">
        <v>14477.641</v>
      </c>
      <c r="F28" s="988">
        <v>56278.037550000001</v>
      </c>
      <c r="G28" s="989">
        <v>565.31811894587315</v>
      </c>
      <c r="H28" s="744">
        <v>15674.468478819985</v>
      </c>
      <c r="I28" s="744">
        <v>0</v>
      </c>
      <c r="O28" s="809"/>
      <c r="P28" s="809"/>
      <c r="Q28" s="809"/>
      <c r="R28" s="809"/>
      <c r="S28" s="809"/>
    </row>
    <row r="29" spans="1:19" s="777" customFormat="1" ht="15" customHeight="1">
      <c r="A29" s="2535" t="s">
        <v>1478</v>
      </c>
      <c r="B29" s="814" t="s">
        <v>1474</v>
      </c>
      <c r="C29" s="992">
        <v>148.32</v>
      </c>
      <c r="D29" s="992">
        <v>118.56</v>
      </c>
      <c r="E29" s="992">
        <v>52.265999999999998</v>
      </c>
      <c r="F29" s="992">
        <v>218.771164</v>
      </c>
      <c r="G29" s="993">
        <v>3700.9767688079064</v>
      </c>
      <c r="H29" s="769">
        <v>0.15012303000000002</v>
      </c>
      <c r="I29" s="769">
        <v>0</v>
      </c>
      <c r="O29" s="815"/>
      <c r="P29" s="815"/>
      <c r="Q29" s="815"/>
      <c r="R29" s="815"/>
      <c r="S29" s="815"/>
    </row>
    <row r="30" spans="1:19" ht="15" customHeight="1">
      <c r="A30" s="2535" t="s">
        <v>1478</v>
      </c>
      <c r="B30" s="813" t="s">
        <v>1475</v>
      </c>
      <c r="C30" s="988">
        <v>778.52</v>
      </c>
      <c r="D30" s="988">
        <v>321.24</v>
      </c>
      <c r="E30" s="988">
        <v>363.07</v>
      </c>
      <c r="F30" s="988">
        <v>528.38816899999995</v>
      </c>
      <c r="G30" s="989">
        <v>28.295556457075733</v>
      </c>
      <c r="H30" s="744">
        <v>13.330429179999999</v>
      </c>
      <c r="I30" s="744">
        <v>0</v>
      </c>
      <c r="O30" s="809"/>
      <c r="P30" s="809"/>
      <c r="Q30" s="809"/>
      <c r="R30" s="809"/>
      <c r="S30" s="809"/>
    </row>
    <row r="31" spans="1:19" s="777" customFormat="1" ht="15" customHeight="1">
      <c r="A31" s="2535" t="s">
        <v>1478</v>
      </c>
      <c r="B31" s="814" t="s">
        <v>1476</v>
      </c>
      <c r="C31" s="992">
        <v>1563.81</v>
      </c>
      <c r="D31" s="992">
        <v>22624.09</v>
      </c>
      <c r="E31" s="992">
        <v>114.08499999999999</v>
      </c>
      <c r="F31" s="992">
        <v>1196.1012969999999</v>
      </c>
      <c r="G31" s="993">
        <v>15.538512816853583</v>
      </c>
      <c r="H31" s="769">
        <v>151.52009222999988</v>
      </c>
      <c r="I31" s="769">
        <v>0</v>
      </c>
      <c r="L31" s="1000"/>
      <c r="N31" s="1001"/>
      <c r="O31" s="815"/>
      <c r="P31" s="815"/>
      <c r="Q31" s="815"/>
      <c r="R31" s="815"/>
      <c r="S31" s="815"/>
    </row>
    <row r="32" spans="1:19" ht="15" customHeight="1">
      <c r="A32" s="2536" t="s">
        <v>1478</v>
      </c>
      <c r="B32" s="816" t="s">
        <v>1477</v>
      </c>
      <c r="C32" s="994">
        <v>1229.6300000000001</v>
      </c>
      <c r="D32" s="994">
        <v>2695.12</v>
      </c>
      <c r="E32" s="995">
        <v>1674.1669999999999</v>
      </c>
      <c r="F32" s="995">
        <v>2200.535907</v>
      </c>
      <c r="G32" s="996">
        <v>16.638357576411408</v>
      </c>
      <c r="H32" s="744">
        <v>3258.6915328799987</v>
      </c>
      <c r="I32" s="744">
        <v>0</v>
      </c>
      <c r="O32" s="809"/>
      <c r="P32" s="809"/>
      <c r="Q32" s="809"/>
      <c r="R32" s="809"/>
      <c r="S32" s="809"/>
    </row>
    <row r="33" spans="1:10">
      <c r="A33" s="8"/>
      <c r="B33" s="8"/>
      <c r="C33" s="730"/>
      <c r="D33" s="730"/>
      <c r="E33" s="730"/>
      <c r="F33" s="730"/>
      <c r="G33" s="730"/>
      <c r="H33" s="1"/>
      <c r="I33" s="4"/>
    </row>
    <row r="34" spans="1:10">
      <c r="A34" s="1" t="s">
        <v>1145</v>
      </c>
      <c r="B34" s="8" t="s">
        <v>1479</v>
      </c>
      <c r="C34" s="730"/>
      <c r="D34" s="730"/>
      <c r="G34" s="26" t="s">
        <v>1480</v>
      </c>
      <c r="H34" s="1"/>
      <c r="I34" s="4"/>
    </row>
    <row r="35" spans="1:10" ht="12.75" customHeight="1">
      <c r="A35" s="1002"/>
      <c r="B35" s="1003" t="s">
        <v>1941</v>
      </c>
      <c r="C35" s="1003"/>
      <c r="D35" s="1003"/>
      <c r="E35" s="1003"/>
      <c r="F35" s="1003"/>
      <c r="G35" s="1003"/>
      <c r="H35" s="55"/>
      <c r="I35" s="55"/>
      <c r="J35" s="55"/>
    </row>
    <row r="36" spans="1:10">
      <c r="A36" s="1"/>
      <c r="B36" s="8" t="s">
        <v>1940</v>
      </c>
      <c r="C36" s="730"/>
      <c r="D36" s="730"/>
      <c r="G36" s="26"/>
      <c r="H36" s="1"/>
      <c r="I36" s="4"/>
    </row>
    <row r="37" spans="1:10" ht="13.5" customHeight="1">
      <c r="A37" s="817" t="s">
        <v>264</v>
      </c>
      <c r="B37" s="1121" t="s">
        <v>1481</v>
      </c>
      <c r="C37" s="1122"/>
      <c r="D37" s="1122"/>
      <c r="E37" s="1122"/>
      <c r="F37" s="1122"/>
      <c r="G37" s="1122"/>
      <c r="H37" s="823"/>
      <c r="I37" s="4"/>
    </row>
    <row r="38" spans="1:10">
      <c r="A38" s="8"/>
      <c r="B38" s="261" t="s">
        <v>1889</v>
      </c>
      <c r="C38" s="26"/>
      <c r="D38" s="26"/>
      <c r="E38" s="26"/>
      <c r="F38" s="26"/>
      <c r="G38" s="26"/>
      <c r="H38" s="824"/>
      <c r="I38" s="825"/>
    </row>
    <row r="39" spans="1:10">
      <c r="B39" s="1124" t="s">
        <v>1888</v>
      </c>
      <c r="C39" s="26"/>
      <c r="G39" s="730" t="s">
        <v>2381</v>
      </c>
    </row>
  </sheetData>
  <customSheetViews>
    <customSheetView guid="{A374FC54-96E3-45F0-9C12-8450400C12DF}" scale="140">
      <selection activeCell="F20" sqref="F20"/>
      <pageMargins left="0.45" right="0" top="0.5" bottom="0.25" header="0.3" footer="0.3"/>
      <pageSetup paperSize="132" firstPageNumber="108" orientation="portrait" useFirstPageNumber="1" r:id="rId1"/>
      <headerFooter alignWithMargins="0">
        <oddFooter>&amp;C&amp;"Times New Roman,Regular"&amp;8&amp;P</oddFooter>
      </headerFooter>
    </customSheetView>
  </customSheetViews>
  <mergeCells count="7">
    <mergeCell ref="A19:A25"/>
    <mergeCell ref="A26:A32"/>
    <mergeCell ref="A1:H1"/>
    <mergeCell ref="A4:B4"/>
    <mergeCell ref="A5:A11"/>
    <mergeCell ref="A12:A18"/>
    <mergeCell ref="A3:B3"/>
  </mergeCells>
  <pageMargins left="0.45" right="0" top="0.5" bottom="0.25" header="0.3" footer="0.3"/>
  <pageSetup paperSize="448" firstPageNumber="112" orientation="portrait" useFirstPageNumber="1" r:id="rId2"/>
  <headerFooter alignWithMargins="0">
    <oddFooter>&amp;C&amp;"Times New Roman,Regular"&amp;8&amp;P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U67"/>
  <sheetViews>
    <sheetView zoomScale="140" zoomScaleNormal="140" workbookViewId="0">
      <selection activeCell="K58" sqref="K58"/>
    </sheetView>
  </sheetViews>
  <sheetFormatPr defaultRowHeight="12.75"/>
  <cols>
    <col min="1" max="1" width="4.28515625" customWidth="1"/>
    <col min="2" max="2" width="7.5703125" customWidth="1"/>
    <col min="7" max="7" width="9.42578125" customWidth="1"/>
    <col min="8" max="8" width="7.5703125" customWidth="1"/>
    <col min="9" max="9" width="10.5703125" customWidth="1"/>
  </cols>
  <sheetData>
    <row r="1" spans="1:21">
      <c r="A1" s="2546" t="s">
        <v>1570</v>
      </c>
      <c r="B1" s="2546"/>
      <c r="C1" s="2546"/>
      <c r="D1" s="2546"/>
      <c r="E1" s="2546"/>
      <c r="F1" s="2546"/>
      <c r="G1" s="2546"/>
      <c r="H1" s="740"/>
      <c r="I1" s="907" t="s">
        <v>1569</v>
      </c>
    </row>
    <row r="2" spans="1:21" ht="12.75" customHeight="1">
      <c r="A2" s="731"/>
      <c r="B2" s="731"/>
      <c r="C2" s="732"/>
      <c r="D2" s="732"/>
      <c r="E2" s="732"/>
      <c r="F2" s="732"/>
      <c r="G2" s="2547" t="s">
        <v>1594</v>
      </c>
      <c r="H2" s="2547"/>
      <c r="I2" s="2547"/>
    </row>
    <row r="3" spans="1:21" ht="32.25" customHeight="1">
      <c r="A3" s="2549" t="s">
        <v>487</v>
      </c>
      <c r="B3" s="2550"/>
      <c r="C3" s="734" t="s">
        <v>1484</v>
      </c>
      <c r="D3" s="734" t="s">
        <v>1485</v>
      </c>
      <c r="E3" s="734" t="s">
        <v>1486</v>
      </c>
      <c r="F3" s="734" t="s">
        <v>1935</v>
      </c>
      <c r="G3" s="741" t="s">
        <v>1487</v>
      </c>
      <c r="H3" s="741" t="s">
        <v>1488</v>
      </c>
      <c r="I3" s="741" t="s">
        <v>1489</v>
      </c>
    </row>
    <row r="4" spans="1:21" ht="12.75" customHeight="1">
      <c r="A4" s="1004" t="s">
        <v>1927</v>
      </c>
      <c r="B4" s="1004"/>
      <c r="C4" s="733"/>
      <c r="D4" s="733"/>
      <c r="E4" s="733"/>
      <c r="F4" s="733"/>
      <c r="G4" s="2548"/>
      <c r="H4" s="2548"/>
      <c r="I4" s="733"/>
    </row>
    <row r="5" spans="1:21" ht="10.35" customHeight="1">
      <c r="A5" s="2545" t="s">
        <v>1206</v>
      </c>
      <c r="B5" s="735" t="s">
        <v>1490</v>
      </c>
      <c r="C5" s="738" t="s">
        <v>295</v>
      </c>
      <c r="D5" s="738" t="s">
        <v>295</v>
      </c>
      <c r="E5" s="738" t="s">
        <v>295</v>
      </c>
      <c r="F5" s="738" t="s">
        <v>295</v>
      </c>
      <c r="G5" s="742" t="s">
        <v>295</v>
      </c>
      <c r="H5" s="742" t="s">
        <v>295</v>
      </c>
      <c r="I5" s="742" t="s">
        <v>295</v>
      </c>
      <c r="L5" s="614"/>
      <c r="N5" s="614"/>
      <c r="O5" s="614"/>
      <c r="P5" s="614"/>
      <c r="Q5" s="614"/>
      <c r="R5" s="614"/>
      <c r="S5" s="614"/>
      <c r="T5" s="614"/>
      <c r="U5" s="614"/>
    </row>
    <row r="6" spans="1:21" ht="10.35" customHeight="1">
      <c r="A6" s="2545"/>
      <c r="B6" s="736" t="s">
        <v>1491</v>
      </c>
      <c r="C6" s="737">
        <v>11022</v>
      </c>
      <c r="D6" s="737">
        <v>16351.3</v>
      </c>
      <c r="E6" s="737">
        <v>129174.92948538013</v>
      </c>
      <c r="F6" s="737">
        <v>671.5</v>
      </c>
      <c r="G6" s="746">
        <v>46199.8</v>
      </c>
      <c r="H6" s="737">
        <v>5.52</v>
      </c>
      <c r="I6" s="737">
        <v>85.004221000000001</v>
      </c>
      <c r="L6" s="614"/>
      <c r="N6" s="614"/>
      <c r="O6" s="614"/>
      <c r="P6" s="614"/>
      <c r="Q6" s="614"/>
      <c r="R6" s="614"/>
      <c r="S6" s="614"/>
      <c r="T6" s="614"/>
      <c r="U6" s="614"/>
    </row>
    <row r="7" spans="1:21" ht="10.35" customHeight="1">
      <c r="A7" s="2545"/>
      <c r="B7" s="735" t="s">
        <v>1472</v>
      </c>
      <c r="C7" s="738">
        <v>269.54196286652802</v>
      </c>
      <c r="D7" s="738">
        <v>319.318330239131</v>
      </c>
      <c r="E7" s="738">
        <v>2129.8143048055899</v>
      </c>
      <c r="F7" s="738">
        <v>0.02</v>
      </c>
      <c r="G7" s="738">
        <v>1296.7866705890301</v>
      </c>
      <c r="H7" s="738">
        <v>4.9707565320558302</v>
      </c>
      <c r="I7" s="738">
        <v>74.117643034055703</v>
      </c>
      <c r="L7" s="614"/>
      <c r="N7" s="614"/>
      <c r="O7" s="614"/>
      <c r="P7" s="614"/>
      <c r="Q7" s="614"/>
      <c r="R7" s="614"/>
      <c r="S7" s="614"/>
      <c r="T7" s="614"/>
      <c r="U7" s="614"/>
    </row>
    <row r="8" spans="1:21" ht="10.35" customHeight="1">
      <c r="A8" s="2545"/>
      <c r="B8" s="736" t="s">
        <v>1473</v>
      </c>
      <c r="C8" s="737">
        <v>102719.68796516581</v>
      </c>
      <c r="D8" s="737">
        <v>147455.649471262</v>
      </c>
      <c r="E8" s="737">
        <v>1475564.2211780699</v>
      </c>
      <c r="F8" s="737">
        <v>8697.2643559999997</v>
      </c>
      <c r="G8" s="737">
        <v>635362.77</v>
      </c>
      <c r="H8" s="737">
        <v>5.0752688170000004</v>
      </c>
      <c r="I8" s="737">
        <v>74.090156451612899</v>
      </c>
      <c r="L8" s="614"/>
      <c r="N8" s="614"/>
      <c r="O8" s="614"/>
      <c r="P8" s="614"/>
      <c r="Q8" s="614"/>
      <c r="R8" s="614"/>
      <c r="S8" s="614"/>
      <c r="T8" s="614"/>
      <c r="U8" s="614"/>
    </row>
    <row r="9" spans="1:21" ht="10.35" customHeight="1">
      <c r="A9" s="2545"/>
      <c r="B9" s="735" t="s">
        <v>1474</v>
      </c>
      <c r="C9" s="738">
        <v>63.01</v>
      </c>
      <c r="D9" s="738">
        <v>616.85</v>
      </c>
      <c r="E9" s="738">
        <v>205.05</v>
      </c>
      <c r="F9" s="738" t="s">
        <v>295</v>
      </c>
      <c r="G9" s="738">
        <v>1016.75</v>
      </c>
      <c r="H9" s="738">
        <v>0.23</v>
      </c>
      <c r="I9" s="738">
        <v>15.41</v>
      </c>
      <c r="L9" s="614"/>
      <c r="N9" s="614"/>
      <c r="O9" s="614"/>
      <c r="P9" s="614"/>
      <c r="Q9" s="614"/>
      <c r="R9" s="614"/>
      <c r="S9" s="614"/>
      <c r="T9" s="614"/>
      <c r="U9" s="614"/>
    </row>
    <row r="10" spans="1:21" ht="10.35" customHeight="1">
      <c r="A10" s="2545"/>
      <c r="B10" s="736" t="s">
        <v>1475</v>
      </c>
      <c r="C10" s="737">
        <v>548.53939400000002</v>
      </c>
      <c r="D10" s="737">
        <v>4034.4954950000001</v>
      </c>
      <c r="E10" s="737">
        <v>6832.7091540000001</v>
      </c>
      <c r="F10" s="737" t="s">
        <v>295</v>
      </c>
      <c r="G10" s="737">
        <v>9768.5806730000004</v>
      </c>
      <c r="H10" s="737" t="s">
        <v>295</v>
      </c>
      <c r="I10" s="737">
        <v>117.59</v>
      </c>
      <c r="L10" s="614"/>
      <c r="N10" s="614"/>
      <c r="O10" s="614"/>
      <c r="P10" s="614"/>
      <c r="Q10" s="614"/>
      <c r="R10" s="614"/>
      <c r="S10" s="614"/>
      <c r="T10" s="614"/>
      <c r="U10" s="614"/>
    </row>
    <row r="11" spans="1:21" ht="10.35" customHeight="1">
      <c r="A11" s="2545"/>
      <c r="B11" s="735" t="s">
        <v>1476</v>
      </c>
      <c r="C11" s="738" t="s">
        <v>295</v>
      </c>
      <c r="D11" s="738" t="s">
        <v>295</v>
      </c>
      <c r="E11" s="738" t="s">
        <v>295</v>
      </c>
      <c r="F11" s="738" t="s">
        <v>295</v>
      </c>
      <c r="G11" s="738" t="s">
        <v>295</v>
      </c>
      <c r="H11" s="738" t="s">
        <v>295</v>
      </c>
      <c r="I11" s="738" t="s">
        <v>295</v>
      </c>
      <c r="L11" s="614"/>
      <c r="N11" s="614"/>
      <c r="O11" s="614"/>
      <c r="P11" s="614"/>
      <c r="Q11" s="614"/>
      <c r="R11" s="614"/>
      <c r="S11" s="614"/>
      <c r="T11" s="614"/>
      <c r="U11" s="614"/>
    </row>
    <row r="12" spans="1:21" ht="10.35" customHeight="1">
      <c r="A12" s="2545"/>
      <c r="B12" s="973" t="s">
        <v>1477</v>
      </c>
      <c r="C12" s="974" t="s">
        <v>295</v>
      </c>
      <c r="D12" s="974" t="s">
        <v>295</v>
      </c>
      <c r="E12" s="974" t="s">
        <v>295</v>
      </c>
      <c r="F12" s="974" t="s">
        <v>295</v>
      </c>
      <c r="G12" s="974" t="s">
        <v>295</v>
      </c>
      <c r="H12" s="974" t="s">
        <v>295</v>
      </c>
      <c r="I12" s="974" t="s">
        <v>295</v>
      </c>
      <c r="L12" s="614"/>
      <c r="N12" s="614"/>
      <c r="O12" s="614"/>
      <c r="P12" s="614"/>
      <c r="Q12" s="614"/>
      <c r="R12" s="614"/>
      <c r="S12" s="614"/>
      <c r="T12" s="614"/>
      <c r="U12" s="614"/>
    </row>
    <row r="13" spans="1:21" ht="10.35" customHeight="1">
      <c r="A13" s="2544" t="s">
        <v>1328</v>
      </c>
      <c r="B13" s="735" t="s">
        <v>1490</v>
      </c>
      <c r="C13" s="738" t="s">
        <v>295</v>
      </c>
      <c r="D13" s="738" t="s">
        <v>295</v>
      </c>
      <c r="E13" s="738" t="s">
        <v>295</v>
      </c>
      <c r="F13" s="738" t="s">
        <v>295</v>
      </c>
      <c r="G13" s="738" t="s">
        <v>295</v>
      </c>
      <c r="H13" s="738" t="s">
        <v>295</v>
      </c>
      <c r="I13" s="738" t="s">
        <v>295</v>
      </c>
      <c r="L13" s="614"/>
      <c r="N13" s="614"/>
      <c r="O13" s="614"/>
      <c r="P13" s="614"/>
      <c r="Q13" s="614"/>
      <c r="R13" s="614"/>
      <c r="S13" s="614"/>
      <c r="T13" s="614"/>
      <c r="U13" s="614"/>
    </row>
    <row r="14" spans="1:21" ht="10.35" customHeight="1">
      <c r="A14" s="2545"/>
      <c r="B14" s="736" t="s">
        <v>1491</v>
      </c>
      <c r="C14" s="737">
        <v>13676.6</v>
      </c>
      <c r="D14" s="737">
        <v>20690</v>
      </c>
      <c r="E14" s="737">
        <v>134467.74379336645</v>
      </c>
      <c r="F14" s="737">
        <v>1092.17</v>
      </c>
      <c r="G14" s="746">
        <v>46153.9</v>
      </c>
      <c r="H14" s="737">
        <v>5.49</v>
      </c>
      <c r="I14" s="737">
        <v>85.729936708860706</v>
      </c>
      <c r="L14" s="614"/>
      <c r="N14" s="614"/>
      <c r="O14" s="614"/>
      <c r="P14" s="614"/>
      <c r="Q14" s="614"/>
      <c r="R14" s="614"/>
      <c r="S14" s="614"/>
      <c r="T14" s="614"/>
      <c r="U14" s="614"/>
    </row>
    <row r="15" spans="1:21" ht="10.35" customHeight="1">
      <c r="A15" s="2545"/>
      <c r="B15" s="735" t="s">
        <v>1472</v>
      </c>
      <c r="C15" s="738">
        <v>192.90185856036001</v>
      </c>
      <c r="D15" s="738">
        <v>340.27337576626297</v>
      </c>
      <c r="E15" s="738">
        <v>2114.7479595678601</v>
      </c>
      <c r="F15" s="738">
        <v>1.9771225385058301E-2</v>
      </c>
      <c r="G15" s="738">
        <v>975.24754940315302</v>
      </c>
      <c r="H15" s="738">
        <v>6.8675233383951104</v>
      </c>
      <c r="I15" s="738">
        <v>74.975264901960799</v>
      </c>
      <c r="L15" s="614"/>
      <c r="N15" s="614"/>
      <c r="O15" s="614"/>
      <c r="P15" s="614"/>
      <c r="Q15" s="614"/>
      <c r="R15" s="614"/>
      <c r="S15" s="614"/>
      <c r="T15" s="614"/>
      <c r="U15" s="614"/>
    </row>
    <row r="16" spans="1:21" ht="10.35" customHeight="1">
      <c r="A16" s="2545"/>
      <c r="B16" s="736" t="s">
        <v>1473</v>
      </c>
      <c r="C16" s="737">
        <v>106795.09837421859</v>
      </c>
      <c r="D16" s="737">
        <v>166971.3563209069</v>
      </c>
      <c r="E16" s="737">
        <v>1558774.89309243</v>
      </c>
      <c r="F16" s="737">
        <v>4558.644663</v>
      </c>
      <c r="G16" s="737">
        <v>633614.31000000006</v>
      </c>
      <c r="H16" s="737">
        <v>5.0147492629999997</v>
      </c>
      <c r="I16" s="737">
        <v>74.957247540983602</v>
      </c>
      <c r="L16" s="614"/>
      <c r="N16" s="614"/>
      <c r="O16" s="614"/>
      <c r="P16" s="614"/>
      <c r="Q16" s="614"/>
      <c r="R16" s="614"/>
      <c r="S16" s="614"/>
      <c r="T16" s="614"/>
      <c r="U16" s="614"/>
    </row>
    <row r="17" spans="1:21" ht="10.35" customHeight="1">
      <c r="A17" s="2545"/>
      <c r="B17" s="735" t="s">
        <v>1474</v>
      </c>
      <c r="C17" s="738">
        <v>85.77</v>
      </c>
      <c r="D17" s="738">
        <v>800.83</v>
      </c>
      <c r="E17" s="738">
        <v>199.62</v>
      </c>
      <c r="F17" s="738" t="s">
        <v>295</v>
      </c>
      <c r="G17" s="738">
        <v>805.81</v>
      </c>
      <c r="H17" s="738">
        <v>0.54</v>
      </c>
      <c r="I17" s="738">
        <v>15.4</v>
      </c>
      <c r="L17" s="614"/>
      <c r="N17" s="614"/>
      <c r="O17" s="614"/>
      <c r="P17" s="614"/>
      <c r="Q17" s="614"/>
      <c r="R17" s="614"/>
      <c r="S17" s="614"/>
      <c r="T17" s="614"/>
      <c r="U17" s="614"/>
    </row>
    <row r="18" spans="1:21" ht="10.35" customHeight="1">
      <c r="A18" s="2545"/>
      <c r="B18" s="736" t="s">
        <v>1475</v>
      </c>
      <c r="C18" s="737">
        <v>449.12096700000001</v>
      </c>
      <c r="D18" s="737">
        <v>4348.2076829999996</v>
      </c>
      <c r="E18" s="737">
        <v>6960.1545260000003</v>
      </c>
      <c r="F18" s="737" t="s">
        <v>295</v>
      </c>
      <c r="G18" s="737">
        <v>8935.1370740000002</v>
      </c>
      <c r="H18" s="737" t="s">
        <v>295</v>
      </c>
      <c r="I18" s="737">
        <v>121.39</v>
      </c>
      <c r="L18" s="614"/>
      <c r="N18" s="614"/>
      <c r="O18" s="614"/>
      <c r="P18" s="614"/>
      <c r="Q18" s="614"/>
      <c r="R18" s="614"/>
      <c r="S18" s="614"/>
      <c r="T18" s="614"/>
      <c r="U18" s="614"/>
    </row>
    <row r="19" spans="1:21" ht="10.35" customHeight="1">
      <c r="A19" s="2545"/>
      <c r="B19" s="735" t="s">
        <v>1476</v>
      </c>
      <c r="C19" s="738" t="s">
        <v>295</v>
      </c>
      <c r="D19" s="738" t="s">
        <v>295</v>
      </c>
      <c r="E19" s="738" t="s">
        <v>295</v>
      </c>
      <c r="F19" s="738" t="s">
        <v>295</v>
      </c>
      <c r="G19" s="738" t="s">
        <v>295</v>
      </c>
      <c r="H19" s="738" t="s">
        <v>295</v>
      </c>
      <c r="I19" s="738" t="s">
        <v>295</v>
      </c>
      <c r="L19" s="614"/>
      <c r="N19" s="614"/>
      <c r="O19" s="614"/>
      <c r="P19" s="614"/>
      <c r="Q19" s="614"/>
      <c r="R19" s="614"/>
      <c r="S19" s="614"/>
      <c r="T19" s="614"/>
      <c r="U19" s="614"/>
    </row>
    <row r="20" spans="1:21" ht="10.35" customHeight="1">
      <c r="A20" s="2545"/>
      <c r="B20" s="736" t="s">
        <v>1477</v>
      </c>
      <c r="C20" s="737" t="s">
        <v>295</v>
      </c>
      <c r="D20" s="737" t="s">
        <v>295</v>
      </c>
      <c r="E20" s="737" t="s">
        <v>295</v>
      </c>
      <c r="F20" s="737" t="s">
        <v>295</v>
      </c>
      <c r="G20" s="737" t="s">
        <v>295</v>
      </c>
      <c r="H20" s="737" t="s">
        <v>295</v>
      </c>
      <c r="I20" s="737" t="s">
        <v>295</v>
      </c>
      <c r="L20" s="614"/>
      <c r="N20" s="614"/>
      <c r="O20" s="614"/>
      <c r="P20" s="614"/>
      <c r="Q20" s="614"/>
      <c r="R20" s="614"/>
      <c r="S20" s="614"/>
      <c r="T20" s="614"/>
      <c r="U20" s="614"/>
    </row>
    <row r="21" spans="1:21" ht="10.35" customHeight="1">
      <c r="A21" s="2545" t="s">
        <v>1204</v>
      </c>
      <c r="B21" s="735" t="s">
        <v>1490</v>
      </c>
      <c r="C21" s="738" t="s">
        <v>295</v>
      </c>
      <c r="D21" s="738" t="s">
        <v>295</v>
      </c>
      <c r="E21" s="738" t="s">
        <v>295</v>
      </c>
      <c r="F21" s="738" t="s">
        <v>295</v>
      </c>
      <c r="G21" s="738" t="s">
        <v>295</v>
      </c>
      <c r="H21" s="738" t="s">
        <v>295</v>
      </c>
      <c r="I21" s="738" t="s">
        <v>295</v>
      </c>
      <c r="L21" s="614"/>
      <c r="N21" s="614"/>
      <c r="O21" s="614"/>
      <c r="P21" s="614"/>
      <c r="Q21" s="614"/>
      <c r="R21" s="614"/>
      <c r="S21" s="614"/>
      <c r="T21" s="614"/>
      <c r="U21" s="614"/>
    </row>
    <row r="22" spans="1:21" ht="10.35" customHeight="1">
      <c r="A22" s="2545"/>
      <c r="B22" s="736" t="s">
        <v>1491</v>
      </c>
      <c r="C22" s="737">
        <v>13907.12</v>
      </c>
      <c r="D22" s="737">
        <v>20985.53</v>
      </c>
      <c r="E22" s="737">
        <v>136683.128096</v>
      </c>
      <c r="F22" s="737">
        <v>888.48</v>
      </c>
      <c r="G22" s="746">
        <v>44146.8</v>
      </c>
      <c r="H22" s="737">
        <v>5.6866666666666674</v>
      </c>
      <c r="I22" s="737">
        <v>86.005195000000001</v>
      </c>
      <c r="L22" s="614"/>
      <c r="N22" s="614"/>
      <c r="O22" s="614"/>
      <c r="P22" s="614"/>
      <c r="Q22" s="614"/>
      <c r="R22" s="614"/>
      <c r="S22" s="614"/>
      <c r="T22" s="614"/>
      <c r="U22" s="614"/>
    </row>
    <row r="23" spans="1:21" ht="10.35" customHeight="1">
      <c r="A23" s="2545"/>
      <c r="B23" s="735" t="s">
        <v>1472</v>
      </c>
      <c r="C23" s="738" t="s">
        <v>295</v>
      </c>
      <c r="D23" s="738" t="s">
        <v>295</v>
      </c>
      <c r="E23" s="738" t="s">
        <v>295</v>
      </c>
      <c r="F23" s="738" t="s">
        <v>295</v>
      </c>
      <c r="G23" s="738" t="s">
        <v>295</v>
      </c>
      <c r="H23" s="738" t="s">
        <v>295</v>
      </c>
      <c r="I23" s="738">
        <v>75.241674784182706</v>
      </c>
      <c r="L23" s="614"/>
      <c r="N23" s="614"/>
      <c r="O23" s="614"/>
      <c r="P23" s="614"/>
      <c r="Q23" s="614"/>
      <c r="R23" s="614"/>
      <c r="S23" s="614"/>
      <c r="T23" s="614"/>
      <c r="U23" s="614"/>
    </row>
    <row r="24" spans="1:21" ht="10.35" customHeight="1">
      <c r="A24" s="2545"/>
      <c r="B24" s="736" t="s">
        <v>1473</v>
      </c>
      <c r="C24" s="737">
        <v>117048.7230758153</v>
      </c>
      <c r="D24" s="737">
        <v>171640.4361853741</v>
      </c>
      <c r="E24" s="737">
        <v>1568628.04011761</v>
      </c>
      <c r="F24" s="737">
        <v>13776.501501999999</v>
      </c>
      <c r="G24" s="737">
        <v>607309.13</v>
      </c>
      <c r="H24" s="737">
        <v>6.34</v>
      </c>
      <c r="I24" s="737">
        <v>75.250421666666668</v>
      </c>
      <c r="L24" s="614"/>
      <c r="N24" s="614"/>
      <c r="O24" s="614"/>
      <c r="P24" s="614"/>
      <c r="Q24" s="614"/>
      <c r="R24" s="614"/>
      <c r="S24" s="614"/>
      <c r="T24" s="614"/>
      <c r="U24" s="614"/>
    </row>
    <row r="25" spans="1:21" ht="10.35" customHeight="1">
      <c r="A25" s="2545"/>
      <c r="B25" s="735" t="s">
        <v>1474</v>
      </c>
      <c r="C25" s="738">
        <v>114.64</v>
      </c>
      <c r="D25" s="738">
        <v>769.19</v>
      </c>
      <c r="E25" s="738">
        <v>204.17</v>
      </c>
      <c r="F25" s="738" t="s">
        <v>295</v>
      </c>
      <c r="G25" s="738">
        <v>865.19</v>
      </c>
      <c r="H25" s="738">
        <v>0.87</v>
      </c>
      <c r="I25" s="738">
        <v>15.4</v>
      </c>
      <c r="L25" s="614"/>
      <c r="N25" s="614"/>
      <c r="O25" s="614"/>
      <c r="P25" s="614"/>
      <c r="Q25" s="614"/>
      <c r="R25" s="614"/>
      <c r="S25" s="614"/>
      <c r="T25" s="614"/>
      <c r="U25" s="614"/>
    </row>
    <row r="26" spans="1:21" ht="10.35" customHeight="1">
      <c r="A26" s="2545"/>
      <c r="B26" s="736" t="s">
        <v>1475</v>
      </c>
      <c r="C26" s="737">
        <v>345.63761699999998</v>
      </c>
      <c r="D26" s="737">
        <v>3871.3336199999999</v>
      </c>
      <c r="E26" s="737">
        <v>7154.3862220000001</v>
      </c>
      <c r="F26" s="737" t="s">
        <v>295</v>
      </c>
      <c r="G26" s="737">
        <v>8307.2269269999997</v>
      </c>
      <c r="H26" s="737" t="s">
        <v>295</v>
      </c>
      <c r="I26" s="737">
        <v>122.55</v>
      </c>
      <c r="L26" s="614"/>
      <c r="N26" s="614"/>
      <c r="O26" s="614"/>
      <c r="P26" s="614"/>
      <c r="Q26" s="614"/>
      <c r="R26" s="614"/>
      <c r="S26" s="614"/>
      <c r="T26" s="614"/>
      <c r="U26" s="614"/>
    </row>
    <row r="27" spans="1:21" ht="10.35" customHeight="1">
      <c r="A27" s="2545"/>
      <c r="B27" s="735" t="s">
        <v>1476</v>
      </c>
      <c r="C27" s="738" t="s">
        <v>295</v>
      </c>
      <c r="D27" s="738" t="s">
        <v>295</v>
      </c>
      <c r="E27" s="738" t="s">
        <v>295</v>
      </c>
      <c r="F27" s="738" t="s">
        <v>295</v>
      </c>
      <c r="G27" s="738" t="s">
        <v>295</v>
      </c>
      <c r="H27" s="738" t="s">
        <v>295</v>
      </c>
      <c r="I27" s="738" t="s">
        <v>295</v>
      </c>
      <c r="L27" s="614"/>
      <c r="N27" s="614"/>
      <c r="O27" s="614"/>
      <c r="P27" s="614"/>
      <c r="Q27" s="614"/>
      <c r="R27" s="614"/>
      <c r="S27" s="614"/>
      <c r="T27" s="614"/>
      <c r="U27" s="614"/>
    </row>
    <row r="28" spans="1:21" ht="10.35" customHeight="1">
      <c r="A28" s="2545"/>
      <c r="B28" s="736" t="s">
        <v>1477</v>
      </c>
      <c r="C28" s="737" t="s">
        <v>295</v>
      </c>
      <c r="D28" s="737" t="s">
        <v>295</v>
      </c>
      <c r="E28" s="737" t="s">
        <v>295</v>
      </c>
      <c r="F28" s="737" t="s">
        <v>295</v>
      </c>
      <c r="G28" s="737" t="s">
        <v>295</v>
      </c>
      <c r="H28" s="737" t="s">
        <v>295</v>
      </c>
      <c r="I28" s="737" t="s">
        <v>295</v>
      </c>
      <c r="L28" s="614"/>
      <c r="N28" s="614"/>
      <c r="O28" s="614"/>
      <c r="P28" s="614"/>
      <c r="Q28" s="614"/>
      <c r="R28" s="614"/>
      <c r="S28" s="614"/>
      <c r="T28" s="614"/>
      <c r="U28" s="614"/>
    </row>
    <row r="29" spans="1:21" ht="10.35" customHeight="1">
      <c r="A29" s="2545" t="s">
        <v>1205</v>
      </c>
      <c r="B29" s="735" t="s">
        <v>1490</v>
      </c>
      <c r="C29" s="738" t="s">
        <v>295</v>
      </c>
      <c r="D29" s="738" t="s">
        <v>295</v>
      </c>
      <c r="E29" s="738" t="s">
        <v>295</v>
      </c>
      <c r="F29" s="738" t="s">
        <v>295</v>
      </c>
      <c r="G29" s="738" t="s">
        <v>295</v>
      </c>
      <c r="H29" s="738" t="s">
        <v>295</v>
      </c>
      <c r="I29" s="738" t="s">
        <v>295</v>
      </c>
      <c r="L29" s="614"/>
      <c r="N29" s="614"/>
      <c r="O29" s="614"/>
      <c r="P29" s="614"/>
      <c r="Q29" s="614"/>
      <c r="R29" s="614"/>
      <c r="S29" s="614"/>
      <c r="T29" s="614"/>
      <c r="U29" s="614"/>
    </row>
    <row r="30" spans="1:21" ht="10.35" customHeight="1">
      <c r="A30" s="2545"/>
      <c r="B30" s="736" t="s">
        <v>1491</v>
      </c>
      <c r="C30" s="737">
        <v>13476.99</v>
      </c>
      <c r="D30" s="737">
        <v>21546.7</v>
      </c>
      <c r="E30" s="737">
        <v>132251.76129900001</v>
      </c>
      <c r="F30" s="737">
        <v>787.48</v>
      </c>
      <c r="G30" s="746">
        <v>41826.700000000004</v>
      </c>
      <c r="H30" s="737">
        <v>5.9833333333333334</v>
      </c>
      <c r="I30" s="737">
        <v>88.511646999999996</v>
      </c>
      <c r="L30" s="739"/>
      <c r="M30" s="739"/>
      <c r="N30" s="1154"/>
      <c r="O30" s="260"/>
      <c r="P30" s="739"/>
      <c r="Q30" s="614"/>
      <c r="R30" s="614"/>
      <c r="S30" s="614"/>
      <c r="T30" s="614"/>
      <c r="U30" s="614"/>
    </row>
    <row r="31" spans="1:21" ht="10.35" customHeight="1">
      <c r="A31" s="2545"/>
      <c r="B31" s="735" t="s">
        <v>1472</v>
      </c>
      <c r="C31" s="738" t="s">
        <v>295</v>
      </c>
      <c r="D31" s="738" t="s">
        <v>295</v>
      </c>
      <c r="E31" s="738" t="s">
        <v>295</v>
      </c>
      <c r="F31" s="738" t="s">
        <v>295</v>
      </c>
      <c r="G31" s="738" t="s">
        <v>295</v>
      </c>
      <c r="H31" s="738" t="s">
        <v>295</v>
      </c>
      <c r="I31" s="738">
        <v>51.163637816764094</v>
      </c>
      <c r="L31" s="1154"/>
      <c r="M31" s="1154"/>
      <c r="N31" s="1154"/>
      <c r="O31" s="1154"/>
      <c r="P31" s="739"/>
      <c r="Q31" s="614"/>
      <c r="R31" s="614"/>
      <c r="S31" s="614"/>
      <c r="T31" s="614"/>
      <c r="U31" s="614"/>
    </row>
    <row r="32" spans="1:21" ht="10.35" customHeight="1">
      <c r="A32" s="2545"/>
      <c r="B32" s="736" t="s">
        <v>1473</v>
      </c>
      <c r="C32" s="737">
        <v>120921.1206651789</v>
      </c>
      <c r="D32" s="737">
        <v>183558.0091525281</v>
      </c>
      <c r="E32" s="737">
        <v>1539147.47663921</v>
      </c>
      <c r="F32" s="737">
        <v>13582.065572</v>
      </c>
      <c r="G32" s="737">
        <v>589154.57000000007</v>
      </c>
      <c r="H32" s="737">
        <v>7.28</v>
      </c>
      <c r="I32" s="737">
        <v>77.250786666666656</v>
      </c>
      <c r="L32" s="614"/>
      <c r="N32" s="614"/>
      <c r="O32" s="614"/>
      <c r="P32" s="614"/>
      <c r="Q32" s="614"/>
      <c r="R32" s="614"/>
      <c r="S32" s="614"/>
      <c r="T32" s="614"/>
      <c r="U32" s="614"/>
    </row>
    <row r="33" spans="1:21" ht="10.35" customHeight="1">
      <c r="A33" s="2545"/>
      <c r="B33" s="735" t="s">
        <v>1474</v>
      </c>
      <c r="C33" s="738">
        <v>89.53</v>
      </c>
      <c r="D33" s="738">
        <v>931.74</v>
      </c>
      <c r="E33" s="738">
        <v>212.53</v>
      </c>
      <c r="F33" s="738" t="s">
        <v>295</v>
      </c>
      <c r="G33" s="738">
        <v>750.44</v>
      </c>
      <c r="H33" s="738">
        <v>1.03</v>
      </c>
      <c r="I33" s="738">
        <v>15.4</v>
      </c>
      <c r="L33" s="614"/>
      <c r="N33" s="614"/>
      <c r="O33" s="614"/>
      <c r="P33" s="614"/>
      <c r="Q33" s="614"/>
      <c r="R33" s="614"/>
      <c r="S33" s="614"/>
      <c r="T33" s="614"/>
      <c r="U33" s="614"/>
    </row>
    <row r="34" spans="1:21" ht="10.35" customHeight="1">
      <c r="A34" s="2545"/>
      <c r="B34" s="736" t="s">
        <v>1475</v>
      </c>
      <c r="C34" s="737">
        <v>317.38042300000001</v>
      </c>
      <c r="D34" s="737">
        <v>3649.7753929999999</v>
      </c>
      <c r="E34" s="737">
        <v>7014.7818799999995</v>
      </c>
      <c r="F34" s="737" t="s">
        <v>295</v>
      </c>
      <c r="G34" s="737">
        <v>8264.3849379999992</v>
      </c>
      <c r="H34" s="737" t="s">
        <v>295</v>
      </c>
      <c r="I34" s="737">
        <v>124.86</v>
      </c>
      <c r="L34" s="614"/>
      <c r="N34" s="614"/>
      <c r="O34" s="614"/>
      <c r="P34" s="614"/>
      <c r="Q34" s="614"/>
      <c r="R34" s="614"/>
      <c r="S34" s="614"/>
      <c r="T34" s="614"/>
      <c r="U34" s="614"/>
    </row>
    <row r="35" spans="1:21" ht="10.35" customHeight="1">
      <c r="A35" s="2545"/>
      <c r="B35" s="735" t="s">
        <v>1476</v>
      </c>
      <c r="C35" s="738" t="s">
        <v>295</v>
      </c>
      <c r="D35" s="738" t="s">
        <v>295</v>
      </c>
      <c r="E35" s="738" t="s">
        <v>295</v>
      </c>
      <c r="F35" s="738" t="s">
        <v>295</v>
      </c>
      <c r="G35" s="738" t="s">
        <v>295</v>
      </c>
      <c r="H35" s="738" t="s">
        <v>295</v>
      </c>
      <c r="I35" s="738" t="s">
        <v>295</v>
      </c>
      <c r="L35" s="614"/>
      <c r="N35" s="614"/>
      <c r="O35" s="614"/>
      <c r="P35" s="614"/>
      <c r="Q35" s="614"/>
      <c r="R35" s="614"/>
      <c r="S35" s="614"/>
      <c r="T35" s="614"/>
      <c r="U35" s="614"/>
    </row>
    <row r="36" spans="1:21" ht="10.35" customHeight="1">
      <c r="A36" s="2545"/>
      <c r="B36" s="736" t="s">
        <v>1477</v>
      </c>
      <c r="C36" s="737" t="s">
        <v>295</v>
      </c>
      <c r="D36" s="737" t="s">
        <v>295</v>
      </c>
      <c r="E36" s="737" t="s">
        <v>295</v>
      </c>
      <c r="F36" s="737" t="s">
        <v>295</v>
      </c>
      <c r="G36" s="737" t="s">
        <v>295</v>
      </c>
      <c r="H36" s="737" t="s">
        <v>295</v>
      </c>
      <c r="I36" s="737" t="s">
        <v>295</v>
      </c>
      <c r="L36" s="614"/>
      <c r="N36" s="614"/>
      <c r="O36" s="614"/>
      <c r="P36" s="614"/>
      <c r="Q36" s="614"/>
      <c r="R36" s="614"/>
      <c r="S36" s="614"/>
      <c r="T36" s="614"/>
      <c r="U36" s="614"/>
    </row>
    <row r="37" spans="1:21" ht="12.75" customHeight="1">
      <c r="A37" s="1284" t="s">
        <v>2227</v>
      </c>
      <c r="B37" s="1284"/>
      <c r="C37" s="1285"/>
      <c r="D37" s="1285"/>
      <c r="E37" s="1285"/>
      <c r="F37" s="1285"/>
      <c r="G37" s="1285"/>
      <c r="H37" s="1285"/>
      <c r="I37" s="1286"/>
    </row>
    <row r="38" spans="1:21" ht="10.35" customHeight="1">
      <c r="A38" s="2544" t="s">
        <v>1206</v>
      </c>
      <c r="B38" s="735" t="s">
        <v>1490</v>
      </c>
      <c r="C38" s="742" t="s">
        <v>295</v>
      </c>
      <c r="D38" s="742" t="s">
        <v>295</v>
      </c>
      <c r="E38" s="742" t="s">
        <v>295</v>
      </c>
      <c r="F38" s="742" t="s">
        <v>295</v>
      </c>
      <c r="G38" s="742" t="s">
        <v>295</v>
      </c>
      <c r="H38" s="742" t="s">
        <v>295</v>
      </c>
      <c r="I38" s="742" t="s">
        <v>295</v>
      </c>
      <c r="J38" s="702"/>
    </row>
    <row r="39" spans="1:21" ht="10.35" customHeight="1">
      <c r="A39" s="2545"/>
      <c r="B39" s="736" t="s">
        <v>1491</v>
      </c>
      <c r="C39" s="746">
        <v>12496.9</v>
      </c>
      <c r="D39" s="746">
        <v>20849</v>
      </c>
      <c r="E39" s="746">
        <v>132040.66145799999</v>
      </c>
      <c r="F39" s="746">
        <v>1100.1600000000001</v>
      </c>
      <c r="G39" s="746">
        <v>36476.400000000001</v>
      </c>
      <c r="H39" s="746">
        <v>6.6500000000000012</v>
      </c>
      <c r="I39" s="746">
        <v>94.8</v>
      </c>
    </row>
    <row r="40" spans="1:21" ht="10.35" customHeight="1">
      <c r="A40" s="2545"/>
      <c r="B40" s="735" t="s">
        <v>1472</v>
      </c>
      <c r="C40" s="742" t="s">
        <v>295</v>
      </c>
      <c r="D40" s="742" t="s">
        <v>295</v>
      </c>
      <c r="E40" s="742" t="s">
        <v>295</v>
      </c>
      <c r="F40" s="742" t="s">
        <v>295</v>
      </c>
      <c r="G40" s="742" t="s">
        <v>295</v>
      </c>
      <c r="H40" s="742" t="s">
        <v>295</v>
      </c>
      <c r="I40" s="738" t="s">
        <v>295</v>
      </c>
    </row>
    <row r="41" spans="1:21" ht="10.35" customHeight="1">
      <c r="A41" s="2545"/>
      <c r="B41" s="736" t="s">
        <v>1473</v>
      </c>
      <c r="C41" s="746">
        <v>110765.8365873812</v>
      </c>
      <c r="D41" s="746">
        <v>189086.35345946072</v>
      </c>
      <c r="E41" s="746">
        <v>1548685.9687292301</v>
      </c>
      <c r="F41" s="746">
        <v>6437.0842389999998</v>
      </c>
      <c r="G41" s="746">
        <v>532663.72</v>
      </c>
      <c r="H41" s="746">
        <v>7.04</v>
      </c>
      <c r="I41" s="746">
        <v>79.810850000000002</v>
      </c>
    </row>
    <row r="42" spans="1:21" ht="10.35" customHeight="1">
      <c r="A42" s="2545"/>
      <c r="B42" s="735" t="s">
        <v>1474</v>
      </c>
      <c r="C42" s="742">
        <v>79.05</v>
      </c>
      <c r="D42" s="742">
        <v>876.14</v>
      </c>
      <c r="E42" s="742">
        <v>211.64</v>
      </c>
      <c r="F42" s="742" t="s">
        <v>295</v>
      </c>
      <c r="G42" s="738">
        <v>540.28</v>
      </c>
      <c r="H42" s="738">
        <v>1.59</v>
      </c>
      <c r="I42" s="742">
        <v>15.39</v>
      </c>
    </row>
    <row r="43" spans="1:21" ht="10.35" customHeight="1">
      <c r="A43" s="2545"/>
      <c r="B43" s="736" t="s">
        <v>1475</v>
      </c>
      <c r="C43" s="737">
        <v>325.92813699999999</v>
      </c>
      <c r="D43" s="737">
        <v>3124.8529239999998</v>
      </c>
      <c r="E43" s="737">
        <v>6887.5999629999997</v>
      </c>
      <c r="F43" s="737" t="s">
        <v>295</v>
      </c>
      <c r="G43" s="737">
        <v>8245.9790379999995</v>
      </c>
      <c r="H43" s="737" t="s">
        <v>295</v>
      </c>
      <c r="I43" s="737">
        <v>127.52</v>
      </c>
    </row>
    <row r="44" spans="1:21" ht="10.35" customHeight="1">
      <c r="A44" s="2545"/>
      <c r="B44" s="735" t="s">
        <v>1476</v>
      </c>
      <c r="C44" s="742" t="s">
        <v>295</v>
      </c>
      <c r="D44" s="742" t="s">
        <v>295</v>
      </c>
      <c r="E44" s="742" t="s">
        <v>295</v>
      </c>
      <c r="F44" s="742" t="s">
        <v>295</v>
      </c>
      <c r="G44" s="742" t="s">
        <v>295</v>
      </c>
      <c r="H44" s="742" t="s">
        <v>295</v>
      </c>
      <c r="I44" s="738" t="s">
        <v>295</v>
      </c>
    </row>
    <row r="45" spans="1:21" ht="10.35" customHeight="1">
      <c r="A45" s="2545"/>
      <c r="B45" s="736" t="s">
        <v>1477</v>
      </c>
      <c r="C45" s="737" t="s">
        <v>295</v>
      </c>
      <c r="D45" s="737" t="s">
        <v>295</v>
      </c>
      <c r="E45" s="737" t="s">
        <v>295</v>
      </c>
      <c r="F45" s="737" t="s">
        <v>295</v>
      </c>
      <c r="G45" s="737" t="s">
        <v>295</v>
      </c>
      <c r="H45" s="737" t="s">
        <v>295</v>
      </c>
      <c r="I45" s="737" t="s">
        <v>295</v>
      </c>
    </row>
    <row r="46" spans="1:21" ht="10.35" customHeight="1">
      <c r="A46" s="2545" t="s">
        <v>1328</v>
      </c>
      <c r="B46" s="735" t="s">
        <v>1490</v>
      </c>
      <c r="C46" s="742" t="s">
        <v>295</v>
      </c>
      <c r="D46" s="742" t="s">
        <v>295</v>
      </c>
      <c r="E46" s="742" t="s">
        <v>295</v>
      </c>
      <c r="F46" s="742" t="s">
        <v>295</v>
      </c>
      <c r="G46" s="742" t="s">
        <v>295</v>
      </c>
      <c r="H46" s="742" t="s">
        <v>295</v>
      </c>
      <c r="I46" s="742" t="s">
        <v>295</v>
      </c>
    </row>
    <row r="47" spans="1:21" ht="10.35" customHeight="1">
      <c r="A47" s="2545"/>
      <c r="B47" s="736" t="s">
        <v>1491</v>
      </c>
      <c r="C47" s="746">
        <v>14814.37</v>
      </c>
      <c r="D47" s="746">
        <v>17462.2</v>
      </c>
      <c r="E47" s="746">
        <v>133407.76</v>
      </c>
      <c r="F47" s="746">
        <v>703.83</v>
      </c>
      <c r="G47" s="746">
        <v>33747.699999999997</v>
      </c>
      <c r="H47" s="746">
        <v>7.47</v>
      </c>
      <c r="I47" s="746">
        <v>97.69</v>
      </c>
    </row>
    <row r="48" spans="1:21" ht="10.35" customHeight="1">
      <c r="A48" s="2545"/>
      <c r="B48" s="735" t="s">
        <v>1472</v>
      </c>
      <c r="C48" s="742" t="s">
        <v>295</v>
      </c>
      <c r="D48" s="742" t="s">
        <v>295</v>
      </c>
      <c r="E48" s="742" t="s">
        <v>295</v>
      </c>
      <c r="F48" s="742" t="s">
        <v>295</v>
      </c>
      <c r="G48" s="742" t="s">
        <v>295</v>
      </c>
      <c r="H48" s="742" t="s">
        <v>295</v>
      </c>
      <c r="I48" s="738" t="s">
        <v>295</v>
      </c>
    </row>
    <row r="49" spans="1:9" ht="10.35" customHeight="1">
      <c r="A49" s="2545"/>
      <c r="B49" s="736" t="s">
        <v>1473</v>
      </c>
      <c r="C49" s="746">
        <v>104574.57138194841</v>
      </c>
      <c r="D49" s="746">
        <v>177373.09883756709</v>
      </c>
      <c r="E49" s="746">
        <v>1607078.6181754901</v>
      </c>
      <c r="F49" s="746">
        <v>2321.669261</v>
      </c>
      <c r="G49" s="746">
        <v>562720.56000000006</v>
      </c>
      <c r="H49" s="746">
        <v>6.12</v>
      </c>
      <c r="I49" s="746">
        <v>82.19944666666666</v>
      </c>
    </row>
    <row r="50" spans="1:9" ht="10.35" customHeight="1">
      <c r="A50" s="2545"/>
      <c r="B50" s="735" t="s">
        <v>1474</v>
      </c>
      <c r="C50" s="742">
        <v>116.53</v>
      </c>
      <c r="D50" s="742">
        <v>938.6</v>
      </c>
      <c r="E50" s="742">
        <v>218.01</v>
      </c>
      <c r="F50" s="742" t="s">
        <v>295</v>
      </c>
      <c r="G50" s="738">
        <v>832.09</v>
      </c>
      <c r="H50" s="738">
        <v>2.33</v>
      </c>
      <c r="I50" s="742">
        <v>15.39</v>
      </c>
    </row>
    <row r="51" spans="1:9" ht="10.35" customHeight="1">
      <c r="A51" s="2545"/>
      <c r="B51" s="736" t="s">
        <v>1475</v>
      </c>
      <c r="C51" s="737">
        <v>296.28419400000001</v>
      </c>
      <c r="D51" s="737">
        <v>2976.9653039999998</v>
      </c>
      <c r="E51" s="737">
        <v>6711.4568730000001</v>
      </c>
      <c r="F51" s="737" t="s">
        <v>295</v>
      </c>
      <c r="G51" s="737">
        <v>8634.3435150000005</v>
      </c>
      <c r="H51" s="737" t="s">
        <v>295</v>
      </c>
      <c r="I51" s="737">
        <v>131.94</v>
      </c>
    </row>
    <row r="52" spans="1:9" ht="10.35" customHeight="1">
      <c r="A52" s="2545"/>
      <c r="B52" s="735" t="s">
        <v>1476</v>
      </c>
      <c r="C52" s="742" t="s">
        <v>295</v>
      </c>
      <c r="D52" s="742" t="s">
        <v>295</v>
      </c>
      <c r="E52" s="742" t="s">
        <v>295</v>
      </c>
      <c r="F52" s="742" t="s">
        <v>295</v>
      </c>
      <c r="G52" s="742" t="s">
        <v>295</v>
      </c>
      <c r="H52" s="742" t="s">
        <v>295</v>
      </c>
      <c r="I52" s="742" t="s">
        <v>295</v>
      </c>
    </row>
    <row r="53" spans="1:9" ht="10.35" customHeight="1">
      <c r="A53" s="2545"/>
      <c r="B53" s="736" t="s">
        <v>1477</v>
      </c>
      <c r="C53" s="737" t="s">
        <v>295</v>
      </c>
      <c r="D53" s="737" t="s">
        <v>295</v>
      </c>
      <c r="E53" s="737" t="s">
        <v>295</v>
      </c>
      <c r="F53" s="737" t="s">
        <v>295</v>
      </c>
      <c r="G53" s="737" t="s">
        <v>295</v>
      </c>
      <c r="H53" s="737" t="s">
        <v>295</v>
      </c>
      <c r="I53" s="737" t="s">
        <v>295</v>
      </c>
    </row>
    <row r="54" spans="1:9" ht="7.5" customHeight="1">
      <c r="A54" s="1287"/>
      <c r="B54" s="1287"/>
      <c r="C54" s="1288"/>
      <c r="D54" s="1288"/>
      <c r="E54" s="1288"/>
      <c r="F54" s="1288"/>
      <c r="G54" s="1288"/>
      <c r="H54" s="1288"/>
      <c r="I54" s="1288"/>
    </row>
    <row r="55" spans="1:9">
      <c r="A55" s="739" t="s">
        <v>16</v>
      </c>
      <c r="B55" s="739" t="s">
        <v>1258</v>
      </c>
      <c r="C55" s="1154"/>
      <c r="D55" s="260"/>
      <c r="E55" s="739"/>
      <c r="F55" s="1154"/>
      <c r="G55" s="739" t="s">
        <v>1348</v>
      </c>
      <c r="H55" s="1154"/>
      <c r="I55" s="1154"/>
    </row>
    <row r="56" spans="1:9">
      <c r="A56" s="1154"/>
      <c r="B56" s="1154"/>
      <c r="C56" s="1154"/>
      <c r="D56" s="1154"/>
      <c r="E56" s="739" t="s">
        <v>371</v>
      </c>
      <c r="F56" s="1154"/>
      <c r="G56" s="1154"/>
      <c r="H56" s="1154"/>
      <c r="I56" s="1154"/>
    </row>
    <row r="57" spans="1:9">
      <c r="G57" s="1154"/>
    </row>
    <row r="66" spans="1:7">
      <c r="A66" s="739"/>
      <c r="B66" s="739"/>
      <c r="C66" s="1154"/>
      <c r="D66" s="260"/>
      <c r="E66" s="739"/>
      <c r="F66" s="1154"/>
      <c r="G66" s="739"/>
    </row>
    <row r="67" spans="1:7">
      <c r="A67" s="1154"/>
      <c r="B67" s="1154"/>
      <c r="C67" s="1154"/>
      <c r="D67" s="1154"/>
      <c r="E67" s="739"/>
      <c r="F67" s="1154"/>
      <c r="G67" s="1154"/>
    </row>
  </sheetData>
  <customSheetViews>
    <customSheetView guid="{A374FC54-96E3-45F0-9C12-8450400C12DF}" scale="140" topLeftCell="A34">
      <selection activeCell="G57" sqref="G57"/>
      <pageMargins left="0.7" right="0.7" top="0.75" bottom="0.75" header="0.3" footer="0.3"/>
      <pageSetup paperSize="132" firstPageNumber="109" orientation="portrait" useFirstPageNumber="1" r:id="rId1"/>
      <headerFooter alignWithMargins="0">
        <oddFooter>&amp;C&amp;"Times New Roman,Regular"&amp;8&amp;P</oddFooter>
      </headerFooter>
    </customSheetView>
  </customSheetViews>
  <mergeCells count="10">
    <mergeCell ref="A38:A45"/>
    <mergeCell ref="A46:A53"/>
    <mergeCell ref="A1:G1"/>
    <mergeCell ref="A29:A36"/>
    <mergeCell ref="G2:I2"/>
    <mergeCell ref="G4:H4"/>
    <mergeCell ref="A5:A12"/>
    <mergeCell ref="A13:A20"/>
    <mergeCell ref="A21:A28"/>
    <mergeCell ref="A3:B3"/>
  </mergeCells>
  <pageMargins left="0.7" right="0.7" top="0.75" bottom="0.75" header="0.3" footer="0.3"/>
  <pageSetup paperSize="448" firstPageNumber="113" orientation="portrait" useFirstPageNumber="1" r:id="rId2"/>
  <headerFooter alignWithMargins="0">
    <oddFooter>&amp;C&amp;"Times New Roman,Regular"&amp;8&amp;P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U49"/>
  <sheetViews>
    <sheetView topLeftCell="A22" zoomScale="140" zoomScaleNormal="140" zoomScaleSheetLayoutView="100" workbookViewId="0">
      <selection activeCell="O26" sqref="O26:O32"/>
    </sheetView>
  </sheetViews>
  <sheetFormatPr defaultRowHeight="12.75"/>
  <cols>
    <col min="1" max="1" width="8.140625" style="1528" customWidth="1"/>
    <col min="2" max="2" width="8.5703125" style="1528" customWidth="1"/>
    <col min="3" max="3" width="10.42578125" style="1528" bestFit="1" customWidth="1"/>
    <col min="4" max="4" width="8.28515625" style="1528" customWidth="1"/>
    <col min="5" max="5" width="7.7109375" style="1528" customWidth="1"/>
    <col min="6" max="7" width="7.85546875" style="1528" customWidth="1"/>
    <col min="8" max="8" width="8.42578125" style="1528" customWidth="1"/>
    <col min="9" max="9" width="8.7109375" style="1528" customWidth="1"/>
    <col min="10" max="10" width="7.140625" style="1528" customWidth="1"/>
    <col min="11" max="11" width="7" style="1528" customWidth="1"/>
    <col min="12" max="13" width="6.28515625" style="1528" customWidth="1"/>
    <col min="14" max="14" width="5.42578125" style="1528" customWidth="1"/>
    <col min="15" max="15" width="8" style="1528" customWidth="1"/>
    <col min="16" max="16" width="7.5703125" style="1528" customWidth="1"/>
    <col min="17" max="17" width="7" style="1528" customWidth="1"/>
    <col min="18" max="18" width="7.5703125" style="1528" customWidth="1"/>
    <col min="19" max="19" width="7.7109375" style="1528" customWidth="1"/>
    <col min="20" max="20" width="8" style="1528" customWidth="1"/>
    <col min="21" max="21" width="0.85546875" style="1528" hidden="1" customWidth="1"/>
    <col min="22" max="22" width="27.42578125" style="1528" customWidth="1"/>
    <col min="23" max="16384" width="9.140625" style="1528"/>
  </cols>
  <sheetData>
    <row r="1" spans="1:20" ht="13.5" customHeight="1">
      <c r="F1" s="2556" t="s">
        <v>1975</v>
      </c>
      <c r="G1" s="2556"/>
      <c r="H1" s="2556"/>
      <c r="I1" s="2556"/>
      <c r="J1" s="1753" t="s">
        <v>1976</v>
      </c>
      <c r="K1" s="1753"/>
      <c r="L1" s="1753"/>
      <c r="M1" s="1753"/>
      <c r="N1" s="1753"/>
      <c r="O1" s="1753"/>
      <c r="P1" s="1754"/>
    </row>
    <row r="2" spans="1:20" ht="12" customHeight="1">
      <c r="A2" s="699"/>
      <c r="B2" s="700"/>
      <c r="C2" s="700"/>
      <c r="D2" s="707"/>
      <c r="E2" s="707"/>
      <c r="F2" s="707"/>
      <c r="G2" s="707"/>
      <c r="H2" s="707"/>
      <c r="I2" s="701"/>
      <c r="J2" s="720"/>
      <c r="K2" s="720"/>
      <c r="L2" s="720"/>
      <c r="M2" s="701"/>
      <c r="N2" s="701"/>
      <c r="O2" s="701"/>
      <c r="P2" s="700"/>
      <c r="Q2" s="700"/>
      <c r="R2" s="2557" t="s">
        <v>2114</v>
      </c>
      <c r="S2" s="2558"/>
      <c r="T2" s="2558"/>
    </row>
    <row r="3" spans="1:20" ht="10.5" customHeight="1">
      <c r="A3" s="702"/>
      <c r="B3" s="702"/>
      <c r="C3" s="702"/>
      <c r="D3" s="702"/>
      <c r="E3" s="702"/>
      <c r="F3" s="702"/>
      <c r="G3" s="702"/>
      <c r="H3" s="702"/>
      <c r="I3" s="702"/>
      <c r="J3" s="702"/>
      <c r="K3" s="702"/>
      <c r="L3" s="702"/>
      <c r="M3" s="702"/>
      <c r="N3" s="702"/>
      <c r="O3" s="702"/>
      <c r="P3" s="702"/>
      <c r="Q3" s="702"/>
      <c r="R3" s="2559" t="s">
        <v>24</v>
      </c>
      <c r="S3" s="2560"/>
      <c r="T3" s="2560"/>
    </row>
    <row r="4" spans="1:20" ht="14.25" customHeight="1">
      <c r="A4" s="2531" t="s">
        <v>487</v>
      </c>
      <c r="B4" s="2561" t="s">
        <v>2005</v>
      </c>
      <c r="C4" s="2562"/>
      <c r="D4" s="2562"/>
      <c r="E4" s="2562"/>
      <c r="F4" s="2563"/>
      <c r="G4" s="2564" t="s">
        <v>1977</v>
      </c>
      <c r="H4" s="2565"/>
      <c r="I4" s="2566"/>
      <c r="J4" s="2567" t="s">
        <v>1978</v>
      </c>
      <c r="K4" s="2562"/>
      <c r="L4" s="2562"/>
      <c r="M4" s="2563"/>
      <c r="N4" s="2568" t="s">
        <v>2022</v>
      </c>
      <c r="O4" s="2551" t="s">
        <v>2009</v>
      </c>
      <c r="P4" s="2551" t="s">
        <v>2008</v>
      </c>
      <c r="Q4" s="2551" t="s">
        <v>1979</v>
      </c>
      <c r="R4" s="2521" t="s">
        <v>2028</v>
      </c>
      <c r="S4" s="2551" t="s">
        <v>2010</v>
      </c>
      <c r="T4" s="2553" t="s">
        <v>487</v>
      </c>
    </row>
    <row r="5" spans="1:20" ht="54" customHeight="1">
      <c r="A5" s="2532"/>
      <c r="B5" s="1755" t="s">
        <v>1980</v>
      </c>
      <c r="C5" s="1755" t="s">
        <v>1981</v>
      </c>
      <c r="D5" s="1530" t="s">
        <v>1982</v>
      </c>
      <c r="E5" s="1043" t="s">
        <v>2006</v>
      </c>
      <c r="F5" s="1030" t="s">
        <v>1983</v>
      </c>
      <c r="G5" s="1529" t="s">
        <v>1984</v>
      </c>
      <c r="H5" s="1529" t="s">
        <v>1985</v>
      </c>
      <c r="I5" s="1529" t="s">
        <v>1986</v>
      </c>
      <c r="J5" s="1529" t="s">
        <v>1987</v>
      </c>
      <c r="K5" s="1752" t="s">
        <v>2007</v>
      </c>
      <c r="L5" s="1031" t="s">
        <v>1988</v>
      </c>
      <c r="M5" s="1534" t="s">
        <v>2027</v>
      </c>
      <c r="N5" s="2158"/>
      <c r="O5" s="2158"/>
      <c r="P5" s="2158"/>
      <c r="Q5" s="2158"/>
      <c r="R5" s="2522"/>
      <c r="S5" s="2552"/>
      <c r="T5" s="2554"/>
    </row>
    <row r="6" spans="1:20" ht="9.75" customHeight="1">
      <c r="A6" s="2533"/>
      <c r="B6" s="1535">
        <v>1</v>
      </c>
      <c r="C6" s="1032">
        <v>2</v>
      </c>
      <c r="D6" s="1032">
        <v>3</v>
      </c>
      <c r="E6" s="1032">
        <v>4</v>
      </c>
      <c r="F6" s="1032">
        <v>5</v>
      </c>
      <c r="G6" s="1032">
        <v>6</v>
      </c>
      <c r="H6" s="1032">
        <v>7</v>
      </c>
      <c r="I6" s="1032">
        <v>8</v>
      </c>
      <c r="J6" s="1032">
        <v>9</v>
      </c>
      <c r="K6" s="1032">
        <v>10</v>
      </c>
      <c r="L6" s="1032">
        <v>11</v>
      </c>
      <c r="M6" s="1032">
        <v>12</v>
      </c>
      <c r="N6" s="1032">
        <v>13</v>
      </c>
      <c r="O6" s="1032">
        <v>14</v>
      </c>
      <c r="P6" s="1032">
        <v>15</v>
      </c>
      <c r="Q6" s="1032">
        <v>16</v>
      </c>
      <c r="R6" s="1032">
        <v>17</v>
      </c>
      <c r="S6" s="1032">
        <v>18</v>
      </c>
      <c r="T6" s="2555"/>
    </row>
    <row r="7" spans="1:20" ht="12" customHeight="1">
      <c r="A7" s="1242" t="s">
        <v>1350</v>
      </c>
      <c r="B7" s="1243">
        <v>5778.93</v>
      </c>
      <c r="C7" s="1243">
        <v>25743.57</v>
      </c>
      <c r="D7" s="1243">
        <v>23651.01</v>
      </c>
      <c r="E7" s="1243">
        <v>5900.44</v>
      </c>
      <c r="F7" s="1243">
        <f>E7+D7+C7+B7</f>
        <v>61073.95</v>
      </c>
      <c r="G7" s="1243">
        <v>3372.6</v>
      </c>
      <c r="H7" s="1243">
        <v>11661.04</v>
      </c>
      <c r="I7" s="1243">
        <f>H7+G7</f>
        <v>15033.640000000001</v>
      </c>
      <c r="J7" s="1243">
        <v>1902.61</v>
      </c>
      <c r="K7" s="1243">
        <v>23.77</v>
      </c>
      <c r="L7" s="1243">
        <v>344.05</v>
      </c>
      <c r="M7" s="1243">
        <f>J7+K7+L7</f>
        <v>2270.4299999999998</v>
      </c>
      <c r="N7" s="1243">
        <f>86.61+71.78+248.27</f>
        <v>406.65999999999997</v>
      </c>
      <c r="O7" s="1243">
        <f>N7+M7+I7+F7</f>
        <v>78784.679999999993</v>
      </c>
      <c r="P7" s="1243">
        <v>32254.38</v>
      </c>
      <c r="Q7" s="1243">
        <v>20001.87</v>
      </c>
      <c r="R7" s="1243">
        <v>46530.3</v>
      </c>
      <c r="S7" s="1243">
        <v>287704.5</v>
      </c>
      <c r="T7" s="1241" t="s">
        <v>1350</v>
      </c>
    </row>
    <row r="8" spans="1:20" ht="12" customHeight="1">
      <c r="A8" s="1276" t="s">
        <v>1466</v>
      </c>
      <c r="B8" s="1034">
        <v>10372.989999999998</v>
      </c>
      <c r="C8" s="1034">
        <v>26930.83</v>
      </c>
      <c r="D8" s="1034">
        <v>27234.410000000003</v>
      </c>
      <c r="E8" s="1034">
        <v>5043.63</v>
      </c>
      <c r="F8" s="1034">
        <v>69581.86</v>
      </c>
      <c r="G8" s="1034">
        <v>3202.32</v>
      </c>
      <c r="H8" s="1034">
        <v>15495.210000000001</v>
      </c>
      <c r="I8" s="1034">
        <v>18697.530000000002</v>
      </c>
      <c r="J8" s="1034">
        <v>1366.67</v>
      </c>
      <c r="K8" s="1034">
        <v>47.739999999999995</v>
      </c>
      <c r="L8" s="1034">
        <v>471.64</v>
      </c>
      <c r="M8" s="1034">
        <v>1886.05</v>
      </c>
      <c r="N8" s="1034">
        <v>176.94</v>
      </c>
      <c r="O8" s="1034">
        <v>90342.38</v>
      </c>
      <c r="P8" s="1034">
        <v>40402.92</v>
      </c>
      <c r="Q8" s="1034">
        <v>24896.420000000002</v>
      </c>
      <c r="R8" s="1034">
        <v>49939.46</v>
      </c>
      <c r="S8" s="1034">
        <v>287704.45</v>
      </c>
      <c r="T8" s="1277" t="s">
        <v>1466</v>
      </c>
    </row>
    <row r="9" spans="1:20" ht="12" customHeight="1">
      <c r="A9" s="1255" t="s">
        <v>1550</v>
      </c>
      <c r="B9" s="1033">
        <v>8491.06</v>
      </c>
      <c r="C9" s="1033">
        <v>16756.449999999997</v>
      </c>
      <c r="D9" s="1033">
        <v>13843.539999999999</v>
      </c>
      <c r="E9" s="1033">
        <v>4590.7800000000007</v>
      </c>
      <c r="F9" s="1033">
        <v>43681.829999999994</v>
      </c>
      <c r="G9" s="1033">
        <v>3009.92</v>
      </c>
      <c r="H9" s="1033">
        <v>18637.46</v>
      </c>
      <c r="I9" s="1033">
        <v>21647.38</v>
      </c>
      <c r="J9" s="1033">
        <v>1341.26</v>
      </c>
      <c r="K9" s="1033">
        <v>29.64</v>
      </c>
      <c r="L9" s="1033">
        <v>249.21999999999997</v>
      </c>
      <c r="M9" s="1033">
        <v>1620.1200000000001</v>
      </c>
      <c r="N9" s="1033">
        <v>178.43</v>
      </c>
      <c r="O9" s="1033">
        <v>67127.759999999995</v>
      </c>
      <c r="P9" s="1033">
        <v>52699.41</v>
      </c>
      <c r="Q9" s="1033">
        <v>28105.119999999999</v>
      </c>
      <c r="R9" s="1033">
        <v>14428.349999999999</v>
      </c>
      <c r="S9" s="1033">
        <v>302132.96999999997</v>
      </c>
      <c r="T9" s="1441" t="s">
        <v>1550</v>
      </c>
    </row>
    <row r="10" spans="1:20" s="774" customFormat="1" ht="12" customHeight="1">
      <c r="A10" s="1037" t="s">
        <v>1606</v>
      </c>
      <c r="B10" s="1034">
        <v>9550.2400000000016</v>
      </c>
      <c r="C10" s="1034">
        <v>42794.799999999988</v>
      </c>
      <c r="D10" s="1034">
        <v>31518.37999999999</v>
      </c>
      <c r="E10" s="1034">
        <v>7403.1</v>
      </c>
      <c r="F10" s="1034">
        <v>91266.52</v>
      </c>
      <c r="G10" s="1034">
        <v>1963.54</v>
      </c>
      <c r="H10" s="1034">
        <v>16981.04</v>
      </c>
      <c r="I10" s="1034">
        <v>18944.579999999998</v>
      </c>
      <c r="J10" s="1034">
        <v>1566</v>
      </c>
      <c r="K10" s="1034">
        <v>22.839999999999996</v>
      </c>
      <c r="L10" s="1034">
        <v>180.29999999999998</v>
      </c>
      <c r="M10" s="1034">
        <v>1769.1399999999999</v>
      </c>
      <c r="N10" s="1034">
        <v>208.04</v>
      </c>
      <c r="O10" s="1034">
        <v>112188.27999999997</v>
      </c>
      <c r="P10" s="1034">
        <v>70174.210000000006</v>
      </c>
      <c r="Q10" s="1034">
        <v>35087.29</v>
      </c>
      <c r="R10" s="1034">
        <v>42014.069999999992</v>
      </c>
      <c r="S10" s="1034">
        <v>344143.94</v>
      </c>
      <c r="T10" s="1040" t="s">
        <v>1606</v>
      </c>
    </row>
    <row r="11" spans="1:20" ht="12" customHeight="1">
      <c r="A11" s="1041" t="s">
        <v>1927</v>
      </c>
      <c r="B11" s="1666">
        <v>9366.43</v>
      </c>
      <c r="C11" s="1666">
        <v>53146.05</v>
      </c>
      <c r="D11" s="1666">
        <v>32999.51</v>
      </c>
      <c r="E11" s="1666">
        <v>8140.11</v>
      </c>
      <c r="F11" s="1666">
        <v>103652.1</v>
      </c>
      <c r="G11" s="1666">
        <v>476.28000000000003</v>
      </c>
      <c r="H11" s="1666">
        <v>2742.31</v>
      </c>
      <c r="I11" s="1666">
        <v>3218.59</v>
      </c>
      <c r="J11" s="1666">
        <v>866.29000000000008</v>
      </c>
      <c r="K11" s="1666">
        <v>15.03</v>
      </c>
      <c r="L11" s="1666">
        <v>101.71</v>
      </c>
      <c r="M11" s="1666">
        <v>983.03000000000009</v>
      </c>
      <c r="N11" s="1666">
        <v>208.49</v>
      </c>
      <c r="O11" s="1666">
        <v>108062.20999999999</v>
      </c>
      <c r="P11" s="1666">
        <v>88155.1</v>
      </c>
      <c r="Q11" s="1666">
        <v>40008.300000000003</v>
      </c>
      <c r="R11" s="1666">
        <v>19907.11</v>
      </c>
      <c r="S11" s="1666">
        <v>364051.04999999993</v>
      </c>
      <c r="T11" s="1042" t="s">
        <v>1927</v>
      </c>
    </row>
    <row r="12" spans="1:20" ht="12" customHeight="1">
      <c r="A12" s="1035" t="s">
        <v>2183</v>
      </c>
      <c r="B12" s="1667">
        <f>SUM(B13:B24)</f>
        <v>4398.8500000000004</v>
      </c>
      <c r="C12" s="1667">
        <f t="shared" ref="C12:N12" si="0">SUM(C13:C24)</f>
        <v>38117.1</v>
      </c>
      <c r="D12" s="1667">
        <f t="shared" si="0"/>
        <v>24674.29</v>
      </c>
      <c r="E12" s="1667">
        <f t="shared" si="0"/>
        <v>7424.8499999999995</v>
      </c>
      <c r="F12" s="1667">
        <f t="shared" si="0"/>
        <v>74615.090000000011</v>
      </c>
      <c r="G12" s="1667">
        <f t="shared" si="0"/>
        <v>514.68999999999994</v>
      </c>
      <c r="H12" s="1667">
        <f t="shared" si="0"/>
        <v>4324.3</v>
      </c>
      <c r="I12" s="1667">
        <f t="shared" si="0"/>
        <v>4838.99</v>
      </c>
      <c r="J12" s="1667">
        <f t="shared" si="0"/>
        <v>707.97</v>
      </c>
      <c r="K12" s="1667">
        <f t="shared" si="0"/>
        <v>91.539999999999978</v>
      </c>
      <c r="L12" s="1667">
        <f t="shared" si="0"/>
        <v>373</v>
      </c>
      <c r="M12" s="1667">
        <f t="shared" si="0"/>
        <v>1172.5100000000002</v>
      </c>
      <c r="N12" s="1667">
        <f t="shared" si="0"/>
        <v>232.01999999999998</v>
      </c>
      <c r="O12" s="1667">
        <f>SUM(O13:O24)</f>
        <v>80858.61</v>
      </c>
      <c r="P12" s="1667">
        <f t="shared" ref="P12" si="1">SUM(P13:P24)</f>
        <v>84154.565099999993</v>
      </c>
      <c r="Q12" s="1667">
        <f>SUM(Q13:Q24)</f>
        <v>44799.746200000001</v>
      </c>
      <c r="R12" s="1667">
        <f t="shared" ref="R12" si="2">SUM(R13:R24)</f>
        <v>-3295.9550999999992</v>
      </c>
      <c r="S12" s="1667">
        <f>S24</f>
        <v>360755.09489999997</v>
      </c>
      <c r="T12" s="1038" t="s">
        <v>2183</v>
      </c>
    </row>
    <row r="13" spans="1:20" ht="12" customHeight="1">
      <c r="A13" s="1036" t="s">
        <v>565</v>
      </c>
      <c r="B13" s="1033">
        <v>737.77</v>
      </c>
      <c r="C13" s="1033">
        <v>3151.28</v>
      </c>
      <c r="D13" s="1033">
        <v>2030.08</v>
      </c>
      <c r="E13" s="1033">
        <v>601.25</v>
      </c>
      <c r="F13" s="1033">
        <f t="shared" ref="F13:F45" si="3">E13+D13+C13+B13</f>
        <v>6520.380000000001</v>
      </c>
      <c r="G13" s="1033">
        <v>53.48</v>
      </c>
      <c r="H13" s="1033">
        <v>336.42</v>
      </c>
      <c r="I13" s="1033">
        <f t="shared" ref="I13:I45" si="4">G13+H13</f>
        <v>389.90000000000003</v>
      </c>
      <c r="J13" s="1033">
        <v>56.56</v>
      </c>
      <c r="K13" s="1033">
        <v>5.3</v>
      </c>
      <c r="L13" s="1033">
        <v>29.84</v>
      </c>
      <c r="M13" s="1033">
        <f t="shared" ref="M13:M45" si="5">J13+K13+L13</f>
        <v>91.7</v>
      </c>
      <c r="N13" s="1033">
        <f>10.79+5.66</f>
        <v>16.45</v>
      </c>
      <c r="O13" s="1033">
        <f>N13+M13+I13+F13</f>
        <v>7018.4300000000012</v>
      </c>
      <c r="P13" s="1033">
        <v>6625.32</v>
      </c>
      <c r="Q13" s="1033">
        <v>3437</v>
      </c>
      <c r="R13" s="1033">
        <f t="shared" ref="R13:R27" si="6">O13-P13</f>
        <v>393.11000000000149</v>
      </c>
      <c r="S13" s="1033">
        <f>R13+364051.05</f>
        <v>364444.15999999997</v>
      </c>
      <c r="T13" s="1039" t="s">
        <v>565</v>
      </c>
    </row>
    <row r="14" spans="1:20" ht="12" customHeight="1">
      <c r="A14" s="1037" t="s">
        <v>566</v>
      </c>
      <c r="B14" s="1034">
        <v>386.7</v>
      </c>
      <c r="C14" s="1034">
        <v>3577.52</v>
      </c>
      <c r="D14" s="1034">
        <v>2227.79</v>
      </c>
      <c r="E14" s="1034">
        <v>751.93</v>
      </c>
      <c r="F14" s="1034">
        <f t="shared" si="3"/>
        <v>6943.94</v>
      </c>
      <c r="G14" s="1034">
        <v>48.07</v>
      </c>
      <c r="H14" s="1034">
        <v>387.23</v>
      </c>
      <c r="I14" s="1034">
        <f t="shared" si="4"/>
        <v>435.3</v>
      </c>
      <c r="J14" s="1034">
        <v>69.47</v>
      </c>
      <c r="K14" s="1034">
        <v>42.16</v>
      </c>
      <c r="L14" s="1034">
        <v>3.91</v>
      </c>
      <c r="M14" s="1034">
        <f t="shared" si="5"/>
        <v>115.53999999999999</v>
      </c>
      <c r="N14" s="1034">
        <f>10.67+14.24</f>
        <v>24.91</v>
      </c>
      <c r="O14" s="1034">
        <f>N14+M14+I14+F14</f>
        <v>7519.69</v>
      </c>
      <c r="P14" s="1034">
        <v>7511.61</v>
      </c>
      <c r="Q14" s="1034">
        <v>3813.79</v>
      </c>
      <c r="R14" s="1034">
        <f t="shared" si="6"/>
        <v>8.0799999999999272</v>
      </c>
      <c r="S14" s="1034">
        <f>R14+S13</f>
        <v>364452.24</v>
      </c>
      <c r="T14" s="1040" t="s">
        <v>566</v>
      </c>
    </row>
    <row r="15" spans="1:20" ht="12" customHeight="1">
      <c r="A15" s="1036" t="s">
        <v>560</v>
      </c>
      <c r="B15" s="1033">
        <v>306.93</v>
      </c>
      <c r="C15" s="1033">
        <v>3347.75</v>
      </c>
      <c r="D15" s="1033">
        <v>2129.31</v>
      </c>
      <c r="E15" s="1033">
        <v>661.57</v>
      </c>
      <c r="F15" s="1033">
        <f t="shared" si="3"/>
        <v>6445.56</v>
      </c>
      <c r="G15" s="1033">
        <v>48.08</v>
      </c>
      <c r="H15" s="1033">
        <v>370.39</v>
      </c>
      <c r="I15" s="1033">
        <f t="shared" si="4"/>
        <v>418.46999999999997</v>
      </c>
      <c r="J15" s="1033">
        <v>60.23</v>
      </c>
      <c r="K15" s="1033">
        <v>7.66</v>
      </c>
      <c r="L15" s="1033">
        <v>26</v>
      </c>
      <c r="M15" s="1033">
        <f t="shared" si="5"/>
        <v>93.89</v>
      </c>
      <c r="N15" s="1033">
        <f>10.38+4.92</f>
        <v>15.3</v>
      </c>
      <c r="O15" s="1033">
        <f>N15+M15+I15+F15</f>
        <v>6973.22</v>
      </c>
      <c r="P15" s="1033">
        <v>7043.86</v>
      </c>
      <c r="Q15" s="1033">
        <v>4797.8599999999997</v>
      </c>
      <c r="R15" s="1033">
        <f t="shared" si="6"/>
        <v>-70.639999999999418</v>
      </c>
      <c r="S15" s="1033">
        <f>R15+S14</f>
        <v>364381.6</v>
      </c>
      <c r="T15" s="1039" t="s">
        <v>560</v>
      </c>
    </row>
    <row r="16" spans="1:20" ht="12" customHeight="1">
      <c r="A16" s="1037" t="s">
        <v>567</v>
      </c>
      <c r="B16" s="1034">
        <v>270.82</v>
      </c>
      <c r="C16" s="1034">
        <v>3199.66</v>
      </c>
      <c r="D16" s="1034">
        <v>1972.25</v>
      </c>
      <c r="E16" s="1034">
        <v>600.02</v>
      </c>
      <c r="F16" s="1034">
        <f t="shared" si="3"/>
        <v>6042.75</v>
      </c>
      <c r="G16" s="1034">
        <v>45.4</v>
      </c>
      <c r="H16" s="1034">
        <v>352.57</v>
      </c>
      <c r="I16" s="1034">
        <f t="shared" si="4"/>
        <v>397.96999999999997</v>
      </c>
      <c r="J16" s="1034">
        <v>49.01</v>
      </c>
      <c r="K16" s="1034">
        <v>5.8</v>
      </c>
      <c r="L16" s="1034">
        <v>22.14</v>
      </c>
      <c r="M16" s="1034">
        <f t="shared" si="5"/>
        <v>76.949999999999989</v>
      </c>
      <c r="N16" s="1034">
        <f>10.19+5.31</f>
        <v>15.5</v>
      </c>
      <c r="O16" s="1034">
        <f>F16+I16+M16+N16</f>
        <v>6533.17</v>
      </c>
      <c r="P16" s="1034">
        <v>7496.33</v>
      </c>
      <c r="Q16" s="1034">
        <v>3844.79</v>
      </c>
      <c r="R16" s="1034">
        <f t="shared" si="6"/>
        <v>-963.15999999999985</v>
      </c>
      <c r="S16" s="1034">
        <f>R16+S15</f>
        <v>363418.44</v>
      </c>
      <c r="T16" s="1040" t="s">
        <v>567</v>
      </c>
    </row>
    <row r="17" spans="1:20" ht="12" customHeight="1">
      <c r="A17" s="943" t="s">
        <v>568</v>
      </c>
      <c r="B17" s="1033">
        <v>276.22000000000003</v>
      </c>
      <c r="C17" s="1033">
        <v>3373.09</v>
      </c>
      <c r="D17" s="1033">
        <v>2017.23</v>
      </c>
      <c r="E17" s="1033">
        <v>667.42</v>
      </c>
      <c r="F17" s="1033">
        <f t="shared" si="3"/>
        <v>6333.96</v>
      </c>
      <c r="G17" s="1033">
        <v>47.7</v>
      </c>
      <c r="H17" s="1033">
        <v>392.24</v>
      </c>
      <c r="I17" s="1033">
        <f t="shared" si="4"/>
        <v>439.94</v>
      </c>
      <c r="J17" s="1033">
        <v>53.81</v>
      </c>
      <c r="K17" s="1033">
        <v>2.65</v>
      </c>
      <c r="L17" s="1033">
        <v>31.13</v>
      </c>
      <c r="M17" s="1033">
        <f t="shared" si="5"/>
        <v>87.59</v>
      </c>
      <c r="N17" s="1033">
        <f>9.91+13.53</f>
        <v>23.439999999999998</v>
      </c>
      <c r="O17" s="1033">
        <f>F17+I17+N17+M17</f>
        <v>6884.9299999999994</v>
      </c>
      <c r="P17" s="1033">
        <v>7868.25</v>
      </c>
      <c r="Q17" s="1033">
        <v>3796.75</v>
      </c>
      <c r="R17" s="1033">
        <f t="shared" si="6"/>
        <v>-983.32000000000062</v>
      </c>
      <c r="S17" s="1033">
        <f t="shared" ref="S17:S23" si="7">R17+S16</f>
        <v>362435.12</v>
      </c>
      <c r="T17" s="1335" t="s">
        <v>568</v>
      </c>
    </row>
    <row r="18" spans="1:20" ht="12" customHeight="1">
      <c r="A18" s="1037" t="s">
        <v>561</v>
      </c>
      <c r="B18" s="1034">
        <v>240.31</v>
      </c>
      <c r="C18" s="1034">
        <v>2664.09</v>
      </c>
      <c r="D18" s="1034">
        <v>1634.75</v>
      </c>
      <c r="E18" s="1034">
        <v>524.72</v>
      </c>
      <c r="F18" s="1034">
        <f t="shared" si="3"/>
        <v>5063.8700000000008</v>
      </c>
      <c r="G18" s="1034">
        <v>42.75</v>
      </c>
      <c r="H18" s="1034">
        <v>342.03</v>
      </c>
      <c r="I18" s="1034">
        <f t="shared" si="4"/>
        <v>384.78</v>
      </c>
      <c r="J18" s="1034">
        <v>45.65</v>
      </c>
      <c r="K18" s="1034">
        <v>5.81</v>
      </c>
      <c r="L18" s="1034">
        <v>24.88</v>
      </c>
      <c r="M18" s="1034">
        <f t="shared" si="5"/>
        <v>76.34</v>
      </c>
      <c r="N18" s="1034">
        <f>10.63+6.75</f>
        <v>17.380000000000003</v>
      </c>
      <c r="O18" s="1034">
        <f t="shared" ref="O18:O35" si="8">F18+I18+N18+M18</f>
        <v>5542.3700000000008</v>
      </c>
      <c r="P18" s="1034">
        <v>7033.31</v>
      </c>
      <c r="Q18" s="1034">
        <v>3799.34</v>
      </c>
      <c r="R18" s="1034">
        <f t="shared" si="6"/>
        <v>-1490.9399999999996</v>
      </c>
      <c r="S18" s="1034">
        <f t="shared" si="7"/>
        <v>360944.18</v>
      </c>
      <c r="T18" s="1040" t="s">
        <v>561</v>
      </c>
    </row>
    <row r="19" spans="1:20" ht="12" customHeight="1">
      <c r="A19" s="1036" t="s">
        <v>569</v>
      </c>
      <c r="B19" s="1033">
        <v>357.71</v>
      </c>
      <c r="C19" s="1033">
        <v>3967.87</v>
      </c>
      <c r="D19" s="1033">
        <v>2502.23</v>
      </c>
      <c r="E19" s="1033">
        <v>776.28</v>
      </c>
      <c r="F19" s="1033">
        <f t="shared" si="3"/>
        <v>7604.09</v>
      </c>
      <c r="G19" s="1033">
        <v>49.82</v>
      </c>
      <c r="H19" s="1033">
        <v>474.84</v>
      </c>
      <c r="I19" s="1033">
        <f t="shared" si="4"/>
        <v>524.66</v>
      </c>
      <c r="J19" s="1033">
        <v>77.819999999999993</v>
      </c>
      <c r="K19" s="1033">
        <v>6.14</v>
      </c>
      <c r="L19" s="1033">
        <v>52.97</v>
      </c>
      <c r="M19" s="1033">
        <f t="shared" si="5"/>
        <v>136.93</v>
      </c>
      <c r="N19" s="1033">
        <f>11.11+8.17</f>
        <v>19.28</v>
      </c>
      <c r="O19" s="1033">
        <f t="shared" si="8"/>
        <v>8284.9599999999991</v>
      </c>
      <c r="P19" s="1033">
        <v>8247.5400000000009</v>
      </c>
      <c r="Q19" s="1033">
        <v>3943.41</v>
      </c>
      <c r="R19" s="1033">
        <f t="shared" si="6"/>
        <v>37.419999999998254</v>
      </c>
      <c r="S19" s="1033">
        <f t="shared" si="7"/>
        <v>360981.6</v>
      </c>
      <c r="T19" s="1039" t="s">
        <v>569</v>
      </c>
    </row>
    <row r="20" spans="1:20" ht="12" customHeight="1">
      <c r="A20" s="1037" t="s">
        <v>570</v>
      </c>
      <c r="B20" s="1034">
        <v>317.87</v>
      </c>
      <c r="C20" s="1034">
        <v>3373</v>
      </c>
      <c r="D20" s="1034">
        <v>2170.58</v>
      </c>
      <c r="E20" s="1034">
        <v>663.23</v>
      </c>
      <c r="F20" s="1034">
        <f t="shared" si="3"/>
        <v>6524.6799999999994</v>
      </c>
      <c r="G20" s="1034">
        <v>40.130000000000003</v>
      </c>
      <c r="H20" s="1034">
        <v>410.39</v>
      </c>
      <c r="I20" s="1034">
        <f t="shared" si="4"/>
        <v>450.52</v>
      </c>
      <c r="J20" s="1034">
        <v>65.959999999999994</v>
      </c>
      <c r="K20" s="1034">
        <v>2.63</v>
      </c>
      <c r="L20" s="1034">
        <v>34.74</v>
      </c>
      <c r="M20" s="1034">
        <f t="shared" si="5"/>
        <v>103.32999999999998</v>
      </c>
      <c r="N20" s="1034">
        <f>13.87+12.94</f>
        <v>26.81</v>
      </c>
      <c r="O20" s="1034">
        <f t="shared" si="8"/>
        <v>7105.3399999999992</v>
      </c>
      <c r="P20" s="1034">
        <v>7545.42</v>
      </c>
      <c r="Q20" s="1034">
        <v>3671.19</v>
      </c>
      <c r="R20" s="1034">
        <f t="shared" si="6"/>
        <v>-440.08000000000084</v>
      </c>
      <c r="S20" s="1034">
        <f t="shared" si="7"/>
        <v>360541.51999999996</v>
      </c>
      <c r="T20" s="1040" t="s">
        <v>570</v>
      </c>
    </row>
    <row r="21" spans="1:20" ht="12" customHeight="1">
      <c r="A21" s="1036" t="s">
        <v>562</v>
      </c>
      <c r="B21" s="1033">
        <v>284.95999999999998</v>
      </c>
      <c r="C21" s="1033">
        <v>3200.32</v>
      </c>
      <c r="D21" s="1033">
        <v>2128.58</v>
      </c>
      <c r="E21" s="1033">
        <v>633.11</v>
      </c>
      <c r="F21" s="1033">
        <f t="shared" si="3"/>
        <v>6246.97</v>
      </c>
      <c r="G21" s="1033">
        <v>37.299999999999997</v>
      </c>
      <c r="H21" s="1033">
        <v>368.76</v>
      </c>
      <c r="I21" s="1033">
        <f t="shared" si="4"/>
        <v>406.06</v>
      </c>
      <c r="J21" s="1033">
        <v>65.680000000000007</v>
      </c>
      <c r="K21" s="1033">
        <v>1.95</v>
      </c>
      <c r="L21" s="1033">
        <v>59.75</v>
      </c>
      <c r="M21" s="1033">
        <f t="shared" si="5"/>
        <v>127.38000000000001</v>
      </c>
      <c r="N21" s="1033">
        <f>9.58+5.4</f>
        <v>14.98</v>
      </c>
      <c r="O21" s="1033">
        <f t="shared" si="8"/>
        <v>6795.39</v>
      </c>
      <c r="P21" s="1033">
        <v>7447.45</v>
      </c>
      <c r="Q21" s="1033">
        <v>3909.56</v>
      </c>
      <c r="R21" s="1033">
        <f t="shared" si="6"/>
        <v>-652.05999999999949</v>
      </c>
      <c r="S21" s="1033">
        <f t="shared" si="7"/>
        <v>359889.45999999996</v>
      </c>
      <c r="T21" s="1039" t="s">
        <v>562</v>
      </c>
    </row>
    <row r="22" spans="1:20" ht="12" customHeight="1">
      <c r="A22" s="1037" t="s">
        <v>571</v>
      </c>
      <c r="B22" s="1034">
        <v>260.55</v>
      </c>
      <c r="C22" s="1034">
        <v>2623.93</v>
      </c>
      <c r="D22" s="1034">
        <v>1560.96</v>
      </c>
      <c r="E22" s="1034">
        <v>536.29</v>
      </c>
      <c r="F22" s="1034">
        <f t="shared" si="3"/>
        <v>4981.7300000000005</v>
      </c>
      <c r="G22" s="1034">
        <v>33.909999999999997</v>
      </c>
      <c r="H22" s="1034">
        <v>277.89</v>
      </c>
      <c r="I22" s="1034">
        <f t="shared" si="4"/>
        <v>311.79999999999995</v>
      </c>
      <c r="J22" s="1034">
        <v>54.65</v>
      </c>
      <c r="K22" s="1034">
        <v>1.69</v>
      </c>
      <c r="L22" s="1034">
        <v>17.75</v>
      </c>
      <c r="M22" s="1034">
        <f t="shared" si="5"/>
        <v>74.09</v>
      </c>
      <c r="N22" s="1034">
        <f>10.03+3.58</f>
        <v>13.61</v>
      </c>
      <c r="O22" s="1034">
        <f t="shared" si="8"/>
        <v>5381.2300000000005</v>
      </c>
      <c r="P22" s="1034">
        <v>4799.4399999999996</v>
      </c>
      <c r="Q22" s="1034">
        <v>3252.3</v>
      </c>
      <c r="R22" s="1034">
        <f t="shared" si="6"/>
        <v>581.79000000000087</v>
      </c>
      <c r="S22" s="1034">
        <f t="shared" si="7"/>
        <v>360471.24999999994</v>
      </c>
      <c r="T22" s="1040" t="s">
        <v>571</v>
      </c>
    </row>
    <row r="23" spans="1:20" ht="12" customHeight="1">
      <c r="A23" s="1036" t="s">
        <v>572</v>
      </c>
      <c r="B23" s="1033">
        <v>369.25</v>
      </c>
      <c r="C23" s="1033">
        <v>3191.92</v>
      </c>
      <c r="D23" s="1033">
        <v>1987.77</v>
      </c>
      <c r="E23" s="1033">
        <v>588.65</v>
      </c>
      <c r="F23" s="1033">
        <f t="shared" si="3"/>
        <v>6137.59</v>
      </c>
      <c r="G23" s="1033">
        <v>38.380000000000003</v>
      </c>
      <c r="H23" s="1033">
        <v>356.63</v>
      </c>
      <c r="I23" s="1033">
        <f t="shared" si="4"/>
        <v>395.01</v>
      </c>
      <c r="J23" s="1033">
        <v>60.69</v>
      </c>
      <c r="K23" s="1033">
        <v>7.72</v>
      </c>
      <c r="L23" s="1033">
        <v>49.21</v>
      </c>
      <c r="M23" s="1033">
        <f t="shared" si="5"/>
        <v>117.62</v>
      </c>
      <c r="N23" s="1033">
        <f>13.09+16.9</f>
        <v>29.99</v>
      </c>
      <c r="O23" s="1033">
        <f t="shared" si="8"/>
        <v>6680.21</v>
      </c>
      <c r="P23" s="1033">
        <v>6129.14</v>
      </c>
      <c r="Q23" s="1033">
        <v>3523.05</v>
      </c>
      <c r="R23" s="1033">
        <f t="shared" si="6"/>
        <v>551.06999999999971</v>
      </c>
      <c r="S23" s="1033">
        <f t="shared" si="7"/>
        <v>361022.31999999995</v>
      </c>
      <c r="T23" s="1039" t="s">
        <v>572</v>
      </c>
    </row>
    <row r="24" spans="1:20" ht="12" customHeight="1">
      <c r="A24" s="1037" t="s">
        <v>563</v>
      </c>
      <c r="B24" s="1034">
        <v>589.76</v>
      </c>
      <c r="C24" s="1034">
        <v>2446.67</v>
      </c>
      <c r="D24" s="1034">
        <v>2312.7600000000002</v>
      </c>
      <c r="E24" s="1034">
        <v>420.38</v>
      </c>
      <c r="F24" s="1034">
        <f t="shared" si="3"/>
        <v>5769.5700000000006</v>
      </c>
      <c r="G24" s="1034">
        <v>29.67</v>
      </c>
      <c r="H24" s="1034">
        <v>254.91</v>
      </c>
      <c r="I24" s="1034">
        <f t="shared" si="4"/>
        <v>284.58</v>
      </c>
      <c r="J24" s="1034">
        <v>48.44</v>
      </c>
      <c r="K24" s="1034">
        <v>2.0299999999999998</v>
      </c>
      <c r="L24" s="1034">
        <v>20.68</v>
      </c>
      <c r="M24" s="1034">
        <f t="shared" si="5"/>
        <v>71.150000000000006</v>
      </c>
      <c r="N24" s="1034">
        <f>11.66+2.71</f>
        <v>14.370000000000001</v>
      </c>
      <c r="O24" s="1034">
        <f t="shared" si="8"/>
        <v>6139.67</v>
      </c>
      <c r="P24" s="1034">
        <v>6406.8950999999997</v>
      </c>
      <c r="Q24" s="1034">
        <v>3010.7062000000001</v>
      </c>
      <c r="R24" s="1034">
        <f t="shared" si="6"/>
        <v>-267.22509999999966</v>
      </c>
      <c r="S24" s="1034">
        <f>R24+S23</f>
        <v>360755.09489999997</v>
      </c>
      <c r="T24" s="1040" t="s">
        <v>563</v>
      </c>
    </row>
    <row r="25" spans="1:20" s="184" customFormat="1" ht="12" customHeight="1">
      <c r="A25" s="1041" t="s">
        <v>2352</v>
      </c>
      <c r="B25" s="1666">
        <f>SUM(B26:B37)</f>
        <v>3358.3900000000003</v>
      </c>
      <c r="C25" s="1666">
        <f t="shared" ref="C25:R25" si="9">SUM(C26:C37)</f>
        <v>34663.94</v>
      </c>
      <c r="D25" s="1666">
        <f t="shared" si="9"/>
        <v>28057.190000000002</v>
      </c>
      <c r="E25" s="1666">
        <f t="shared" si="9"/>
        <v>6662.5099999999993</v>
      </c>
      <c r="F25" s="1666">
        <f t="shared" si="9"/>
        <v>72742.029999999984</v>
      </c>
      <c r="G25" s="1666">
        <f t="shared" si="9"/>
        <v>474.17000000000007</v>
      </c>
      <c r="H25" s="1666">
        <f t="shared" si="9"/>
        <v>4286.53</v>
      </c>
      <c r="I25" s="1666">
        <f t="shared" si="9"/>
        <v>4760.7</v>
      </c>
      <c r="J25" s="1666">
        <f t="shared" si="9"/>
        <v>713.14</v>
      </c>
      <c r="K25" s="1666">
        <f t="shared" si="9"/>
        <v>59.61</v>
      </c>
      <c r="L25" s="1666">
        <f t="shared" si="9"/>
        <v>334.13000000000005</v>
      </c>
      <c r="M25" s="1666">
        <f t="shared" si="9"/>
        <v>1106.8800000000001</v>
      </c>
      <c r="N25" s="1666">
        <f t="shared" si="9"/>
        <v>238.34</v>
      </c>
      <c r="O25" s="1666">
        <f t="shared" si="9"/>
        <v>78847.95</v>
      </c>
      <c r="P25" s="1666">
        <f t="shared" si="9"/>
        <v>99972.32</v>
      </c>
      <c r="Q25" s="1666">
        <f t="shared" si="9"/>
        <v>46258.990000000005</v>
      </c>
      <c r="R25" s="1666">
        <f t="shared" si="9"/>
        <v>-21124.370000000003</v>
      </c>
      <c r="S25" s="1666">
        <f>S37</f>
        <v>339630.72489999997</v>
      </c>
      <c r="T25" s="1042" t="s">
        <v>2352</v>
      </c>
    </row>
    <row r="26" spans="1:20" ht="12" customHeight="1">
      <c r="A26" s="1037" t="s">
        <v>565</v>
      </c>
      <c r="B26" s="1034">
        <v>358.31</v>
      </c>
      <c r="C26" s="1034">
        <v>3449.09</v>
      </c>
      <c r="D26" s="1034">
        <v>2754.65</v>
      </c>
      <c r="E26" s="1034">
        <v>623.54999999999995</v>
      </c>
      <c r="F26" s="1034">
        <f t="shared" si="3"/>
        <v>7185.6</v>
      </c>
      <c r="G26" s="1034">
        <v>60.96</v>
      </c>
      <c r="H26" s="1034">
        <v>478.23</v>
      </c>
      <c r="I26" s="1034">
        <f t="shared" si="4"/>
        <v>539.19000000000005</v>
      </c>
      <c r="J26" s="1034">
        <v>84.83</v>
      </c>
      <c r="K26" s="1034">
        <v>6.34</v>
      </c>
      <c r="L26" s="1034">
        <v>21.44</v>
      </c>
      <c r="M26" s="1034">
        <f t="shared" si="5"/>
        <v>112.61</v>
      </c>
      <c r="N26" s="1034">
        <f>13.45+9.81</f>
        <v>23.259999999999998</v>
      </c>
      <c r="O26" s="1034">
        <f t="shared" si="8"/>
        <v>7860.6600000000008</v>
      </c>
      <c r="P26" s="1034">
        <v>8208.24</v>
      </c>
      <c r="Q26" s="1034">
        <v>3996.7</v>
      </c>
      <c r="R26" s="1034">
        <f t="shared" si="6"/>
        <v>-347.57999999999902</v>
      </c>
      <c r="S26" s="1034">
        <f>R26+S24</f>
        <v>360407.51489999995</v>
      </c>
      <c r="T26" s="1040" t="s">
        <v>565</v>
      </c>
    </row>
    <row r="27" spans="1:20" ht="12" customHeight="1">
      <c r="A27" s="1036" t="s">
        <v>566</v>
      </c>
      <c r="B27" s="1033">
        <v>292.5</v>
      </c>
      <c r="C27" s="1033">
        <v>3101.37</v>
      </c>
      <c r="D27" s="1033">
        <v>2482.63</v>
      </c>
      <c r="E27" s="1033">
        <v>585.36</v>
      </c>
      <c r="F27" s="1033">
        <f t="shared" si="3"/>
        <v>6461.8600000000006</v>
      </c>
      <c r="G27" s="1033">
        <v>47.04</v>
      </c>
      <c r="H27" s="1033">
        <v>393.87</v>
      </c>
      <c r="I27" s="1033">
        <f t="shared" si="4"/>
        <v>440.91</v>
      </c>
      <c r="J27" s="1033">
        <v>70.14</v>
      </c>
      <c r="K27" s="1033">
        <v>6.27</v>
      </c>
      <c r="L27" s="1033">
        <v>38.869999999999997</v>
      </c>
      <c r="M27" s="1033">
        <f t="shared" si="5"/>
        <v>115.28</v>
      </c>
      <c r="N27" s="1033">
        <f>13.27+18.28</f>
        <v>31.55</v>
      </c>
      <c r="O27" s="1033">
        <f t="shared" si="8"/>
        <v>7049.6</v>
      </c>
      <c r="P27" s="1033">
        <v>7819.11</v>
      </c>
      <c r="Q27" s="1033">
        <v>3496.48</v>
      </c>
      <c r="R27" s="1033">
        <f t="shared" si="6"/>
        <v>-769.50999999999931</v>
      </c>
      <c r="S27" s="1033">
        <f t="shared" ref="S27:S32" si="10">R27+S26</f>
        <v>359638.00489999994</v>
      </c>
      <c r="T27" s="1039" t="s">
        <v>566</v>
      </c>
    </row>
    <row r="28" spans="1:20" ht="12" customHeight="1">
      <c r="A28" s="1037" t="s">
        <v>560</v>
      </c>
      <c r="B28" s="1034">
        <v>250.49</v>
      </c>
      <c r="C28" s="1034">
        <v>3019.57</v>
      </c>
      <c r="D28" s="1034">
        <v>2408.44</v>
      </c>
      <c r="E28" s="1034">
        <v>553.4</v>
      </c>
      <c r="F28" s="1034">
        <f t="shared" si="3"/>
        <v>6231.9</v>
      </c>
      <c r="G28" s="1034">
        <v>38.9</v>
      </c>
      <c r="H28" s="1034">
        <v>360.96</v>
      </c>
      <c r="I28" s="1034">
        <f t="shared" si="4"/>
        <v>399.85999999999996</v>
      </c>
      <c r="J28" s="1034">
        <v>51.35</v>
      </c>
      <c r="K28" s="1034">
        <v>0.64</v>
      </c>
      <c r="L28" s="1034">
        <v>49.14</v>
      </c>
      <c r="M28" s="1034">
        <f t="shared" si="5"/>
        <v>101.13</v>
      </c>
      <c r="N28" s="1034">
        <f>9.6+3.3</f>
        <v>12.899999999999999</v>
      </c>
      <c r="O28" s="1034">
        <f t="shared" si="8"/>
        <v>6745.7899999999991</v>
      </c>
      <c r="P28" s="1034">
        <v>6893.64</v>
      </c>
      <c r="Q28" s="1034">
        <v>3340.18</v>
      </c>
      <c r="R28" s="1034">
        <f>O28-P28</f>
        <v>-147.85000000000127</v>
      </c>
      <c r="S28" s="1034">
        <f t="shared" si="10"/>
        <v>359490.15489999996</v>
      </c>
      <c r="T28" s="1040" t="s">
        <v>560</v>
      </c>
    </row>
    <row r="29" spans="1:20" ht="12" customHeight="1">
      <c r="A29" s="1036" t="s">
        <v>567</v>
      </c>
      <c r="B29" s="1033">
        <v>263.41000000000003</v>
      </c>
      <c r="C29" s="1033">
        <v>3316.35</v>
      </c>
      <c r="D29" s="1033">
        <v>2672.5</v>
      </c>
      <c r="E29" s="1033">
        <v>610.37</v>
      </c>
      <c r="F29" s="1033">
        <f t="shared" si="3"/>
        <v>6862.6299999999992</v>
      </c>
      <c r="G29" s="1033">
        <v>50.93</v>
      </c>
      <c r="H29" s="1033">
        <v>378.86</v>
      </c>
      <c r="I29" s="1033">
        <f t="shared" si="4"/>
        <v>429.79</v>
      </c>
      <c r="J29" s="1033">
        <v>68.290000000000006</v>
      </c>
      <c r="K29" s="1033">
        <v>4.82</v>
      </c>
      <c r="L29" s="1033">
        <v>34.67</v>
      </c>
      <c r="M29" s="1033">
        <f t="shared" si="5"/>
        <v>107.78000000000002</v>
      </c>
      <c r="N29" s="1033">
        <f>13.44+6.38</f>
        <v>19.82</v>
      </c>
      <c r="O29" s="1033">
        <f t="shared" si="8"/>
        <v>7420.0199999999986</v>
      </c>
      <c r="P29" s="1033">
        <v>8460.18</v>
      </c>
      <c r="Q29" s="1033">
        <v>3952.95</v>
      </c>
      <c r="R29" s="1033">
        <f t="shared" ref="R29:R34" si="11">O29-P29</f>
        <v>-1040.1600000000017</v>
      </c>
      <c r="S29" s="1033">
        <f t="shared" si="10"/>
        <v>358449.99489999999</v>
      </c>
      <c r="T29" s="1039" t="s">
        <v>567</v>
      </c>
    </row>
    <row r="30" spans="1:20" ht="12" customHeight="1">
      <c r="A30" s="1037" t="s">
        <v>568</v>
      </c>
      <c r="B30" s="1034">
        <v>244.8</v>
      </c>
      <c r="C30" s="1034">
        <v>3060.36</v>
      </c>
      <c r="D30" s="1034">
        <v>2405.65</v>
      </c>
      <c r="E30" s="1034">
        <v>587.04</v>
      </c>
      <c r="F30" s="1034">
        <f t="shared" si="3"/>
        <v>6297.85</v>
      </c>
      <c r="G30" s="1034">
        <v>36.090000000000003</v>
      </c>
      <c r="H30" s="1034">
        <v>342.53</v>
      </c>
      <c r="I30" s="1034">
        <f t="shared" si="4"/>
        <v>378.62</v>
      </c>
      <c r="J30" s="1034">
        <v>56.17</v>
      </c>
      <c r="K30" s="1034">
        <v>1.04</v>
      </c>
      <c r="L30" s="1034">
        <v>36.409999999999997</v>
      </c>
      <c r="M30" s="1034">
        <f t="shared" si="5"/>
        <v>93.62</v>
      </c>
      <c r="N30" s="1034">
        <f>9.17+15.14</f>
        <v>24.310000000000002</v>
      </c>
      <c r="O30" s="1034">
        <f t="shared" si="8"/>
        <v>6794.4000000000005</v>
      </c>
      <c r="P30" s="1034">
        <v>8348.2000000000007</v>
      </c>
      <c r="Q30" s="1034">
        <v>3841.48</v>
      </c>
      <c r="R30" s="1034">
        <f t="shared" si="11"/>
        <v>-1553.8000000000002</v>
      </c>
      <c r="S30" s="1034">
        <f t="shared" si="10"/>
        <v>356896.1949</v>
      </c>
      <c r="T30" s="1040" t="s">
        <v>568</v>
      </c>
    </row>
    <row r="31" spans="1:20" ht="12" customHeight="1">
      <c r="A31" s="1036" t="s">
        <v>561</v>
      </c>
      <c r="B31" s="1033">
        <v>226.75</v>
      </c>
      <c r="C31" s="1033">
        <v>2429.56</v>
      </c>
      <c r="D31" s="1033">
        <v>1894.73</v>
      </c>
      <c r="E31" s="1033">
        <v>419.66</v>
      </c>
      <c r="F31" s="1033">
        <f t="shared" si="3"/>
        <v>4970.7</v>
      </c>
      <c r="G31" s="1033">
        <v>39.07</v>
      </c>
      <c r="H31" s="1033">
        <v>327.3</v>
      </c>
      <c r="I31" s="1033">
        <f t="shared" si="4"/>
        <v>366.37</v>
      </c>
      <c r="J31" s="1033">
        <v>47.77</v>
      </c>
      <c r="K31" s="1033">
        <v>1.62</v>
      </c>
      <c r="L31" s="1033">
        <v>20</v>
      </c>
      <c r="M31" s="1033">
        <f t="shared" si="5"/>
        <v>69.39</v>
      </c>
      <c r="N31" s="1033">
        <f>9.72+3.91</f>
        <v>13.63</v>
      </c>
      <c r="O31" s="1033">
        <f t="shared" si="8"/>
        <v>5420.09</v>
      </c>
      <c r="P31" s="1033">
        <v>7624.41</v>
      </c>
      <c r="Q31" s="1033">
        <v>3839.63</v>
      </c>
      <c r="R31" s="1033">
        <f t="shared" si="11"/>
        <v>-2204.3199999999997</v>
      </c>
      <c r="S31" s="1033">
        <f t="shared" si="10"/>
        <v>354691.8749</v>
      </c>
      <c r="T31" s="1039" t="s">
        <v>561</v>
      </c>
    </row>
    <row r="32" spans="1:20" s="1536" customFormat="1" ht="12" customHeight="1">
      <c r="A32" s="1037" t="s">
        <v>569</v>
      </c>
      <c r="B32" s="1034">
        <v>297.42</v>
      </c>
      <c r="C32" s="1034">
        <v>3546.06</v>
      </c>
      <c r="D32" s="1034">
        <v>2789.87</v>
      </c>
      <c r="E32" s="1034">
        <v>746.49</v>
      </c>
      <c r="F32" s="1034">
        <f t="shared" si="3"/>
        <v>7379.84</v>
      </c>
      <c r="G32" s="1034">
        <v>42.5</v>
      </c>
      <c r="H32" s="1034">
        <v>419.77</v>
      </c>
      <c r="I32" s="1034">
        <f t="shared" si="4"/>
        <v>462.27</v>
      </c>
      <c r="J32" s="1034">
        <v>71.3</v>
      </c>
      <c r="K32" s="1034">
        <v>5.37</v>
      </c>
      <c r="L32" s="1034">
        <v>24.93</v>
      </c>
      <c r="M32" s="1034">
        <f t="shared" si="5"/>
        <v>101.6</v>
      </c>
      <c r="N32" s="1034">
        <v>20.190000000000001</v>
      </c>
      <c r="O32" s="1034">
        <f t="shared" si="8"/>
        <v>7963.9000000000005</v>
      </c>
      <c r="P32" s="1034">
        <v>9251</v>
      </c>
      <c r="Q32" s="1034">
        <v>4047.53</v>
      </c>
      <c r="R32" s="1034">
        <f t="shared" si="11"/>
        <v>-1287.0999999999995</v>
      </c>
      <c r="S32" s="1034">
        <f t="shared" si="10"/>
        <v>353404.77490000002</v>
      </c>
      <c r="T32" s="1040" t="s">
        <v>569</v>
      </c>
    </row>
    <row r="33" spans="1:20" ht="12" customHeight="1">
      <c r="A33" s="1036" t="s">
        <v>570</v>
      </c>
      <c r="B33" s="1033">
        <v>226.55</v>
      </c>
      <c r="C33" s="1033">
        <v>2949.43</v>
      </c>
      <c r="D33" s="1033">
        <v>2385.8200000000002</v>
      </c>
      <c r="E33" s="1033">
        <v>643.37</v>
      </c>
      <c r="F33" s="1033">
        <f t="shared" si="3"/>
        <v>6205.17</v>
      </c>
      <c r="G33" s="1033">
        <v>34.369999999999997</v>
      </c>
      <c r="H33" s="1033">
        <v>359.59</v>
      </c>
      <c r="I33" s="1033">
        <f t="shared" si="4"/>
        <v>393.96</v>
      </c>
      <c r="J33" s="1033">
        <v>46.52</v>
      </c>
      <c r="K33" s="1033">
        <v>5.25</v>
      </c>
      <c r="L33" s="1033">
        <v>14.9</v>
      </c>
      <c r="M33" s="1033">
        <f t="shared" si="5"/>
        <v>66.67</v>
      </c>
      <c r="N33" s="1033">
        <f>9.92+16.04</f>
        <v>25.96</v>
      </c>
      <c r="O33" s="1033">
        <f t="shared" si="8"/>
        <v>6691.76</v>
      </c>
      <c r="P33" s="1033">
        <v>8233.2000000000007</v>
      </c>
      <c r="Q33" s="1033">
        <v>3830.29</v>
      </c>
      <c r="R33" s="1033">
        <f t="shared" si="11"/>
        <v>-1541.4400000000005</v>
      </c>
      <c r="S33" s="1033">
        <f>R33+S32</f>
        <v>351863.33490000002</v>
      </c>
      <c r="T33" s="1039" t="s">
        <v>570</v>
      </c>
    </row>
    <row r="34" spans="1:20" ht="12" customHeight="1">
      <c r="A34" s="1037" t="s">
        <v>562</v>
      </c>
      <c r="B34" s="1034">
        <v>223.49</v>
      </c>
      <c r="C34" s="1034">
        <v>2831.71</v>
      </c>
      <c r="D34" s="1034">
        <v>2215.6</v>
      </c>
      <c r="E34" s="1034">
        <v>552.85</v>
      </c>
      <c r="F34" s="1034">
        <f t="shared" si="3"/>
        <v>5823.65</v>
      </c>
      <c r="G34" s="1034">
        <v>31.12</v>
      </c>
      <c r="H34" s="1034">
        <v>321.60000000000002</v>
      </c>
      <c r="I34" s="1034">
        <f t="shared" si="4"/>
        <v>352.72</v>
      </c>
      <c r="J34" s="1034">
        <v>63.79</v>
      </c>
      <c r="K34" s="1034">
        <v>12.4</v>
      </c>
      <c r="L34" s="1034">
        <v>25.13</v>
      </c>
      <c r="M34" s="1034">
        <f t="shared" si="5"/>
        <v>101.32</v>
      </c>
      <c r="N34" s="1034">
        <f>10.38+3.13</f>
        <v>13.510000000000002</v>
      </c>
      <c r="O34" s="1034">
        <f t="shared" si="8"/>
        <v>6291.2</v>
      </c>
      <c r="P34" s="1034">
        <v>9944.4699999999993</v>
      </c>
      <c r="Q34" s="1034">
        <v>3868.82</v>
      </c>
      <c r="R34" s="1034">
        <f t="shared" si="11"/>
        <v>-3653.2699999999995</v>
      </c>
      <c r="S34" s="1034">
        <f>R34+S33</f>
        <v>348210.0649</v>
      </c>
      <c r="T34" s="1040" t="s">
        <v>562</v>
      </c>
    </row>
    <row r="35" spans="1:20" ht="12" customHeight="1">
      <c r="A35" s="1036" t="s">
        <v>571</v>
      </c>
      <c r="B35" s="1033">
        <v>199.16</v>
      </c>
      <c r="C35" s="1033">
        <v>2339.5500000000002</v>
      </c>
      <c r="D35" s="1033">
        <v>1830.57</v>
      </c>
      <c r="E35" s="1033">
        <v>469.94</v>
      </c>
      <c r="F35" s="1033">
        <f t="shared" si="3"/>
        <v>4839.2199999999993</v>
      </c>
      <c r="G35" s="1033">
        <v>34.479999999999997</v>
      </c>
      <c r="H35" s="1033">
        <v>329.82</v>
      </c>
      <c r="I35" s="1033">
        <f t="shared" si="4"/>
        <v>364.3</v>
      </c>
      <c r="J35" s="1033">
        <v>44.58</v>
      </c>
      <c r="K35" s="1033">
        <v>3.48</v>
      </c>
      <c r="L35" s="1033">
        <v>29.5</v>
      </c>
      <c r="M35" s="1033">
        <f t="shared" si="5"/>
        <v>77.56</v>
      </c>
      <c r="N35" s="1033">
        <f>10.21+3.84</f>
        <v>14.05</v>
      </c>
      <c r="O35" s="1033">
        <f t="shared" si="8"/>
        <v>5295.13</v>
      </c>
      <c r="P35" s="1033">
        <v>7398.33</v>
      </c>
      <c r="Q35" s="1033">
        <v>3914.98</v>
      </c>
      <c r="R35" s="1033">
        <f t="shared" ref="R35" si="12">O35-P35</f>
        <v>-2103.1999999999998</v>
      </c>
      <c r="S35" s="1033">
        <f>R35+S34</f>
        <v>346106.86489999999</v>
      </c>
      <c r="T35" s="1039" t="s">
        <v>571</v>
      </c>
    </row>
    <row r="36" spans="1:20" ht="12" customHeight="1">
      <c r="A36" s="1037" t="s">
        <v>572</v>
      </c>
      <c r="B36" s="1034">
        <v>269.13</v>
      </c>
      <c r="C36" s="1034">
        <v>2545.5300000000002</v>
      </c>
      <c r="D36" s="1034">
        <v>1884.49</v>
      </c>
      <c r="E36" s="1034">
        <v>470.29</v>
      </c>
      <c r="F36" s="1034">
        <f t="shared" si="3"/>
        <v>5169.4400000000005</v>
      </c>
      <c r="G36" s="1034">
        <v>32.6</v>
      </c>
      <c r="H36" s="1034">
        <v>308.81</v>
      </c>
      <c r="I36" s="1034">
        <f t="shared" si="4"/>
        <v>341.41</v>
      </c>
      <c r="J36" s="1034">
        <v>65.099999999999994</v>
      </c>
      <c r="K36" s="1034">
        <v>10.3</v>
      </c>
      <c r="L36" s="1034">
        <v>19.54</v>
      </c>
      <c r="M36" s="1034">
        <f t="shared" si="5"/>
        <v>94.94</v>
      </c>
      <c r="N36" s="1034">
        <f>16.98+10.52</f>
        <v>27.5</v>
      </c>
      <c r="O36" s="1034">
        <f t="shared" ref="O36:O45" si="13">F36+I36+N36+M36</f>
        <v>5633.29</v>
      </c>
      <c r="P36" s="1034">
        <v>8728</v>
      </c>
      <c r="Q36" s="1034">
        <v>4021.93</v>
      </c>
      <c r="R36" s="1034">
        <f t="shared" ref="R36" si="14">O36-P36</f>
        <v>-3094.71</v>
      </c>
      <c r="S36" s="1034">
        <f>R36+S35</f>
        <v>343012.15489999996</v>
      </c>
      <c r="T36" s="1040" t="s">
        <v>572</v>
      </c>
    </row>
    <row r="37" spans="1:20" ht="12" customHeight="1">
      <c r="A37" s="1036" t="s">
        <v>563</v>
      </c>
      <c r="B37" s="1033">
        <v>506.38</v>
      </c>
      <c r="C37" s="1033">
        <v>2075.36</v>
      </c>
      <c r="D37" s="1033">
        <v>2332.2399999999998</v>
      </c>
      <c r="E37" s="1033">
        <v>400.19</v>
      </c>
      <c r="F37" s="1033">
        <f t="shared" si="3"/>
        <v>5314.17</v>
      </c>
      <c r="G37" s="1033">
        <v>26.11</v>
      </c>
      <c r="H37" s="1033">
        <v>265.19</v>
      </c>
      <c r="I37" s="1033">
        <f t="shared" si="4"/>
        <v>291.3</v>
      </c>
      <c r="J37" s="1033">
        <v>43.3</v>
      </c>
      <c r="K37" s="1033">
        <v>2.08</v>
      </c>
      <c r="L37" s="1033">
        <v>19.600000000000001</v>
      </c>
      <c r="M37" s="1033">
        <f t="shared" si="5"/>
        <v>64.97999999999999</v>
      </c>
      <c r="N37" s="1033">
        <f>9.66+2</f>
        <v>11.66</v>
      </c>
      <c r="O37" s="1033">
        <f t="shared" si="13"/>
        <v>5682.11</v>
      </c>
      <c r="P37" s="1033">
        <v>9063.5400000000009</v>
      </c>
      <c r="Q37" s="1033">
        <v>4108.0200000000004</v>
      </c>
      <c r="R37" s="1033">
        <f t="shared" ref="R37" si="15">O37-P37</f>
        <v>-3381.4300000000012</v>
      </c>
      <c r="S37" s="1033">
        <f>R37+S36</f>
        <v>339630.72489999997</v>
      </c>
      <c r="T37" s="1039" t="s">
        <v>563</v>
      </c>
    </row>
    <row r="38" spans="1:20" ht="12" customHeight="1">
      <c r="A38" s="1035" t="s">
        <v>2739</v>
      </c>
      <c r="B38" s="1034"/>
      <c r="C38" s="1034"/>
      <c r="D38" s="1034"/>
      <c r="E38" s="1034"/>
      <c r="F38" s="1034"/>
      <c r="G38" s="1034"/>
      <c r="H38" s="1034"/>
      <c r="I38" s="1034"/>
      <c r="J38" s="1034"/>
      <c r="K38" s="1034"/>
      <c r="L38" s="1034"/>
      <c r="M38" s="1034"/>
      <c r="N38" s="1034"/>
      <c r="O38" s="1034"/>
      <c r="P38" s="1034"/>
      <c r="Q38" s="1034"/>
      <c r="R38" s="1034"/>
      <c r="S38" s="1034"/>
      <c r="T38" s="1038" t="s">
        <v>2739</v>
      </c>
    </row>
    <row r="39" spans="1:20" ht="12" customHeight="1">
      <c r="A39" s="1036" t="s">
        <v>565</v>
      </c>
      <c r="B39" s="1033">
        <v>200.56</v>
      </c>
      <c r="C39" s="1033">
        <v>2071.6999999999998</v>
      </c>
      <c r="D39" s="1033">
        <v>1710.27</v>
      </c>
      <c r="E39" s="1033">
        <v>424.92</v>
      </c>
      <c r="F39" s="1033">
        <f t="shared" si="3"/>
        <v>4407.45</v>
      </c>
      <c r="G39" s="1033">
        <v>37.799999999999997</v>
      </c>
      <c r="H39" s="1033">
        <v>347.24</v>
      </c>
      <c r="I39" s="1033">
        <f t="shared" si="4"/>
        <v>385.04</v>
      </c>
      <c r="J39" s="1033">
        <v>76.739999999999995</v>
      </c>
      <c r="K39" s="1033">
        <v>6.62</v>
      </c>
      <c r="L39" s="1033">
        <v>19.079999999999998</v>
      </c>
      <c r="M39" s="1033">
        <f t="shared" si="5"/>
        <v>102.44</v>
      </c>
      <c r="N39" s="1033">
        <f>11.84+4.8</f>
        <v>16.64</v>
      </c>
      <c r="O39" s="1033">
        <f t="shared" si="13"/>
        <v>4911.57</v>
      </c>
      <c r="P39" s="1033">
        <v>2724.01</v>
      </c>
      <c r="Q39" s="1033">
        <v>1234.8599999999999</v>
      </c>
      <c r="R39" s="1033">
        <f t="shared" ref="R39:R40" si="16">O39-P39</f>
        <v>2187.5599999999995</v>
      </c>
      <c r="S39" s="1033">
        <f>R39+S37</f>
        <v>341818.28489999997</v>
      </c>
      <c r="T39" s="1039" t="s">
        <v>565</v>
      </c>
    </row>
    <row r="40" spans="1:20" ht="12" customHeight="1">
      <c r="A40" s="1037" t="s">
        <v>566</v>
      </c>
      <c r="B40" s="1034">
        <v>134.33000000000001</v>
      </c>
      <c r="C40" s="1034">
        <v>1709.39</v>
      </c>
      <c r="D40" s="1034">
        <v>1510.27</v>
      </c>
      <c r="E40" s="1034">
        <v>426.05</v>
      </c>
      <c r="F40" s="1034">
        <f t="shared" si="3"/>
        <v>3780.04</v>
      </c>
      <c r="G40" s="1034">
        <v>28.13</v>
      </c>
      <c r="H40" s="1034">
        <v>198.9</v>
      </c>
      <c r="I40" s="1034">
        <f t="shared" si="4"/>
        <v>227.03</v>
      </c>
      <c r="J40" s="1034">
        <v>48.26</v>
      </c>
      <c r="K40" s="1034">
        <v>15.25</v>
      </c>
      <c r="L40" s="1034">
        <v>14.46</v>
      </c>
      <c r="M40" s="1034">
        <f t="shared" si="5"/>
        <v>77.97</v>
      </c>
      <c r="N40" s="1034">
        <f>11.88+15.57</f>
        <v>27.450000000000003</v>
      </c>
      <c r="O40" s="1034">
        <f t="shared" si="13"/>
        <v>4112.49</v>
      </c>
      <c r="P40" s="1034">
        <v>2076.34</v>
      </c>
      <c r="Q40" s="1034">
        <v>900.06</v>
      </c>
      <c r="R40" s="1034">
        <f t="shared" si="16"/>
        <v>2036.1499999999996</v>
      </c>
      <c r="S40" s="1034">
        <f>R40+S39</f>
        <v>343854.43489999999</v>
      </c>
      <c r="T40" s="1040" t="s">
        <v>566</v>
      </c>
    </row>
    <row r="41" spans="1:20" ht="12" customHeight="1">
      <c r="A41" s="1036" t="s">
        <v>560</v>
      </c>
      <c r="B41" s="1033">
        <v>189.29</v>
      </c>
      <c r="C41" s="1033">
        <v>2536.94</v>
      </c>
      <c r="D41" s="1033">
        <v>2261.84</v>
      </c>
      <c r="E41" s="1033">
        <v>548.47</v>
      </c>
      <c r="F41" s="1033">
        <f t="shared" si="3"/>
        <v>5536.54</v>
      </c>
      <c r="G41" s="1033">
        <v>37.659999999999997</v>
      </c>
      <c r="H41" s="1033">
        <v>292.37</v>
      </c>
      <c r="I41" s="1033">
        <f t="shared" si="4"/>
        <v>330.03</v>
      </c>
      <c r="J41" s="1033">
        <v>71.010000000000005</v>
      </c>
      <c r="K41" s="1033">
        <v>5.27</v>
      </c>
      <c r="L41" s="1033">
        <v>6.04</v>
      </c>
      <c r="M41" s="1033">
        <f t="shared" si="5"/>
        <v>82.320000000000007</v>
      </c>
      <c r="N41" s="1033">
        <f>14.71+4.29</f>
        <v>19</v>
      </c>
      <c r="O41" s="1033">
        <f t="shared" si="13"/>
        <v>5967.8899999999994</v>
      </c>
      <c r="P41" s="1033">
        <v>1858.8</v>
      </c>
      <c r="Q41" s="1033">
        <v>1113.5899999999999</v>
      </c>
      <c r="R41" s="1033">
        <f t="shared" ref="R41" si="17">O41-P41</f>
        <v>4109.0899999999992</v>
      </c>
      <c r="S41" s="1033">
        <f>R41+S40</f>
        <v>347963.52490000002</v>
      </c>
      <c r="T41" s="1039" t="s">
        <v>560</v>
      </c>
    </row>
    <row r="42" spans="1:20" ht="12" customHeight="1">
      <c r="A42" s="1037" t="s">
        <v>567</v>
      </c>
      <c r="B42" s="1034">
        <v>173.77</v>
      </c>
      <c r="C42" s="1034">
        <v>2539.63</v>
      </c>
      <c r="D42" s="1034">
        <v>2175.54</v>
      </c>
      <c r="E42" s="1034">
        <v>574.24</v>
      </c>
      <c r="F42" s="1034">
        <f t="shared" si="3"/>
        <v>5463.18</v>
      </c>
      <c r="G42" s="1034">
        <v>33.58</v>
      </c>
      <c r="H42" s="1034">
        <v>276.56</v>
      </c>
      <c r="I42" s="1034">
        <f t="shared" si="4"/>
        <v>310.14</v>
      </c>
      <c r="J42" s="1034">
        <v>48.58</v>
      </c>
      <c r="K42" s="1034">
        <v>1.95</v>
      </c>
      <c r="L42" s="1034">
        <v>16.38</v>
      </c>
      <c r="M42" s="1034">
        <f t="shared" si="5"/>
        <v>66.91</v>
      </c>
      <c r="N42" s="1034">
        <f>12.99+5.35</f>
        <v>18.34</v>
      </c>
      <c r="O42" s="1034">
        <f t="shared" si="13"/>
        <v>5858.5700000000006</v>
      </c>
      <c r="P42" s="1034">
        <v>9083.5499999999993</v>
      </c>
      <c r="Q42" s="1034">
        <v>893.34</v>
      </c>
      <c r="R42" s="1034">
        <f t="shared" ref="R42" si="18">O42-P42</f>
        <v>-3224.9799999999987</v>
      </c>
      <c r="S42" s="1034">
        <f>R42+S41</f>
        <v>344738.54490000004</v>
      </c>
      <c r="T42" s="1040" t="s">
        <v>567</v>
      </c>
    </row>
    <row r="43" spans="1:20" s="1751" customFormat="1" ht="12" customHeight="1">
      <c r="A43" s="1036" t="s">
        <v>568</v>
      </c>
      <c r="B43" s="1033">
        <v>151.75</v>
      </c>
      <c r="C43" s="1033">
        <v>2022.62</v>
      </c>
      <c r="D43" s="1033">
        <v>1728.81</v>
      </c>
      <c r="E43" s="1033">
        <v>457.66</v>
      </c>
      <c r="F43" s="1033">
        <f t="shared" si="3"/>
        <v>4360.84</v>
      </c>
      <c r="G43" s="1033">
        <v>28.6</v>
      </c>
      <c r="H43" s="1033">
        <v>222.8</v>
      </c>
      <c r="I43" s="1033">
        <f t="shared" si="4"/>
        <v>251.4</v>
      </c>
      <c r="J43" s="1033">
        <v>65.56</v>
      </c>
      <c r="K43" s="1033">
        <v>1.25</v>
      </c>
      <c r="L43" s="1033">
        <v>12.7</v>
      </c>
      <c r="M43" s="1033">
        <f t="shared" si="5"/>
        <v>79.510000000000005</v>
      </c>
      <c r="N43" s="1033">
        <f>11.22+16.51</f>
        <v>27.730000000000004</v>
      </c>
      <c r="O43" s="1033">
        <f t="shared" si="13"/>
        <v>4719.4799999999996</v>
      </c>
      <c r="P43" s="1033">
        <v>8150.38</v>
      </c>
      <c r="Q43" s="1033">
        <v>898.24</v>
      </c>
      <c r="R43" s="1033">
        <f t="shared" ref="R43:R44" si="19">O43-P43</f>
        <v>-3430.9000000000005</v>
      </c>
      <c r="S43" s="1033">
        <f t="shared" ref="S43:S44" si="20">R43+S42</f>
        <v>341307.64490000001</v>
      </c>
      <c r="T43" s="1039" t="s">
        <v>568</v>
      </c>
    </row>
    <row r="44" spans="1:20" s="1751" customFormat="1" ht="12" customHeight="1">
      <c r="A44" s="1037" t="s">
        <v>561</v>
      </c>
      <c r="B44" s="1034">
        <v>144.32</v>
      </c>
      <c r="C44" s="1034">
        <v>1913.72</v>
      </c>
      <c r="D44" s="1034">
        <v>1595.29</v>
      </c>
      <c r="E44" s="1034">
        <v>518.30999999999995</v>
      </c>
      <c r="F44" s="1034">
        <f t="shared" si="3"/>
        <v>4171.6399999999994</v>
      </c>
      <c r="G44" s="1034">
        <v>28.51</v>
      </c>
      <c r="H44" s="1034">
        <v>222.52</v>
      </c>
      <c r="I44" s="1034">
        <f t="shared" si="4"/>
        <v>251.03</v>
      </c>
      <c r="J44" s="1034">
        <v>76.44</v>
      </c>
      <c r="K44" s="1034">
        <v>5.49</v>
      </c>
      <c r="L44" s="1034">
        <v>20.46</v>
      </c>
      <c r="M44" s="1034">
        <f t="shared" si="5"/>
        <v>102.38999999999999</v>
      </c>
      <c r="N44" s="1034">
        <f>11.39+3.39</f>
        <v>14.780000000000001</v>
      </c>
      <c r="O44" s="1034">
        <f t="shared" si="13"/>
        <v>4539.8399999999992</v>
      </c>
      <c r="P44" s="1034">
        <v>8461.1299999999992</v>
      </c>
      <c r="Q44" s="1034">
        <v>963.19</v>
      </c>
      <c r="R44" s="1034">
        <f t="shared" si="19"/>
        <v>-3921.29</v>
      </c>
      <c r="S44" s="1034">
        <f t="shared" si="20"/>
        <v>337386.35490000003</v>
      </c>
      <c r="T44" s="1040" t="s">
        <v>561</v>
      </c>
    </row>
    <row r="45" spans="1:20" s="1800" customFormat="1" ht="12" customHeight="1" thickBot="1">
      <c r="A45" s="1805" t="s">
        <v>569</v>
      </c>
      <c r="B45" s="1806">
        <v>219.31</v>
      </c>
      <c r="C45" s="1806">
        <v>2683.38</v>
      </c>
      <c r="D45" s="1806">
        <v>2202.7399999999998</v>
      </c>
      <c r="E45" s="1806">
        <v>781.5</v>
      </c>
      <c r="F45" s="1806">
        <f t="shared" si="3"/>
        <v>5886.93</v>
      </c>
      <c r="G45" s="1806">
        <v>27.64</v>
      </c>
      <c r="H45" s="1806">
        <v>258.3</v>
      </c>
      <c r="I45" s="1806">
        <f t="shared" si="4"/>
        <v>285.94</v>
      </c>
      <c r="J45" s="1806">
        <v>125.07</v>
      </c>
      <c r="K45" s="1806">
        <v>3.72</v>
      </c>
      <c r="L45" s="1806">
        <v>31.99</v>
      </c>
      <c r="M45" s="1806">
        <f t="shared" si="5"/>
        <v>160.78</v>
      </c>
      <c r="N45" s="1806">
        <f>14.57+5.02</f>
        <v>19.59</v>
      </c>
      <c r="O45" s="1806">
        <f t="shared" si="13"/>
        <v>6353.24</v>
      </c>
      <c r="P45" s="1806">
        <v>11122.13</v>
      </c>
      <c r="Q45" s="1806">
        <v>1066.92</v>
      </c>
      <c r="R45" s="1806">
        <f t="shared" ref="R45" si="21">O45-P45</f>
        <v>-4768.8899999999994</v>
      </c>
      <c r="S45" s="1806">
        <f t="shared" ref="S45" si="22">R45+S44</f>
        <v>332617.46490000002</v>
      </c>
      <c r="T45" s="1807" t="s">
        <v>569</v>
      </c>
    </row>
    <row r="46" spans="1:20" ht="10.7" customHeight="1">
      <c r="A46" s="704" t="s">
        <v>1989</v>
      </c>
      <c r="B46" s="716"/>
      <c r="C46" s="716"/>
      <c r="D46" s="716"/>
      <c r="E46" s="716"/>
      <c r="F46" s="716"/>
      <c r="G46" s="716"/>
      <c r="H46" s="716"/>
      <c r="I46" s="716"/>
      <c r="J46" s="716"/>
      <c r="K46" s="716"/>
      <c r="L46" s="716"/>
      <c r="M46" s="716"/>
      <c r="N46" s="716"/>
      <c r="O46" s="716"/>
      <c r="P46" s="716"/>
      <c r="Q46" s="716"/>
      <c r="R46" s="716"/>
      <c r="S46" s="716"/>
      <c r="T46" s="196"/>
    </row>
    <row r="47" spans="1:20" ht="14.25" customHeight="1">
      <c r="A47" s="1056" t="s">
        <v>1386</v>
      </c>
      <c r="B47" s="706" t="s">
        <v>2029</v>
      </c>
      <c r="C47" s="702"/>
      <c r="D47" s="702"/>
      <c r="E47" s="702"/>
      <c r="F47" s="711"/>
      <c r="G47" s="702"/>
      <c r="H47" s="711" t="s">
        <v>1348</v>
      </c>
      <c r="I47" s="702"/>
      <c r="J47" s="702"/>
      <c r="K47" s="702"/>
      <c r="L47" s="702"/>
      <c r="M47" s="702"/>
      <c r="N47" s="702"/>
      <c r="O47" s="702"/>
      <c r="P47" s="702"/>
      <c r="Q47" s="1202"/>
      <c r="R47" s="702"/>
      <c r="S47" s="547"/>
      <c r="T47" s="614"/>
    </row>
    <row r="49" spans="19:19">
      <c r="S49" s="614"/>
    </row>
  </sheetData>
  <customSheetViews>
    <customSheetView guid="{A374FC54-96E3-45F0-9C12-8450400C12DF}" scale="120" topLeftCell="A22">
      <selection activeCell="O37" sqref="O37:O39"/>
      <pageMargins left="0.7" right="0.7" top="0.75" bottom="0.75" header="0.3" footer="0.3"/>
      <pageSetup paperSize="132" firstPageNumber="110" orientation="portrait" useFirstPageNumber="1" r:id="rId1"/>
      <headerFooter differentFirst="1">
        <oddFooter>&amp;C&amp;"Times New Roman,Regular"&amp;8&amp;P</oddFooter>
        <evenFooter>&amp;C&amp;"Times New Roman,Regular"&amp;8 111</evenFooter>
        <firstFooter>&amp;C&amp;"Times New Roman,Regular"&amp;8&amp;P</firstFooter>
      </headerFooter>
    </customSheetView>
  </customSheetViews>
  <mergeCells count="14">
    <mergeCell ref="A4:A6"/>
    <mergeCell ref="B4:F4"/>
    <mergeCell ref="G4:I4"/>
    <mergeCell ref="J4:M4"/>
    <mergeCell ref="N4:N5"/>
    <mergeCell ref="Q4:Q5"/>
    <mergeCell ref="R4:R5"/>
    <mergeCell ref="S4:S5"/>
    <mergeCell ref="T4:T6"/>
    <mergeCell ref="F1:I1"/>
    <mergeCell ref="R2:T2"/>
    <mergeCell ref="R3:T3"/>
    <mergeCell ref="O4:O5"/>
    <mergeCell ref="P4:P5"/>
  </mergeCells>
  <pageMargins left="0.7" right="0.7" top="0.75" bottom="0.75" header="0.3" footer="0.3"/>
  <pageSetup paperSize="448" scale="97" firstPageNumber="114" orientation="portrait" useFirstPageNumber="1" r:id="rId2"/>
  <headerFooter differentFirst="1">
    <oddFooter>&amp;C&amp;"Times New Roman,Regular"&amp;8&amp;P</oddFooter>
    <evenFooter>&amp;C&amp;"Times New Roman,Regular"&amp;8 115</evenFooter>
    <firstFooter>&amp;C&amp;"Times New Roman,Regular"&amp;8&amp;P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Z36"/>
  <sheetViews>
    <sheetView showWhiteSpace="0" topLeftCell="A19" zoomScale="150" zoomScaleNormal="150" workbookViewId="0">
      <selection activeCell="R40" sqref="R40"/>
    </sheetView>
  </sheetViews>
  <sheetFormatPr defaultRowHeight="12.75"/>
  <cols>
    <col min="1" max="1" width="7" style="1154" customWidth="1"/>
    <col min="2" max="2" width="7.140625" style="1154" customWidth="1"/>
    <col min="3" max="3" width="6.28515625" style="1154" customWidth="1"/>
    <col min="4" max="4" width="7.140625" style="1154" customWidth="1"/>
    <col min="5" max="5" width="5.42578125" style="1154" customWidth="1"/>
    <col min="6" max="7" width="7.140625" style="1154" customWidth="1"/>
    <col min="8" max="8" width="6.28515625" style="1154" customWidth="1"/>
    <col min="9" max="10" width="7.140625" style="1154" customWidth="1"/>
    <col min="11" max="11" width="5.5703125" style="1154" customWidth="1"/>
    <col min="12" max="13" width="5.42578125" style="1154" customWidth="1"/>
    <col min="14" max="14" width="7.140625" style="1154" customWidth="1"/>
    <col min="15" max="15" width="4.85546875" style="1154" customWidth="1"/>
    <col min="16" max="16" width="6" style="1154" customWidth="1"/>
    <col min="17" max="17" width="4.42578125" style="1154" customWidth="1"/>
    <col min="18" max="18" width="7.140625" style="1154" customWidth="1"/>
    <col min="19" max="19" width="7.7109375" style="1154" customWidth="1"/>
    <col min="20" max="20" width="6.28515625" style="1154" customWidth="1"/>
    <col min="21" max="22" width="7.140625" style="1154" customWidth="1"/>
    <col min="23" max="23" width="7" style="1154" customWidth="1"/>
    <col min="24" max="16384" width="9.140625" style="1154"/>
  </cols>
  <sheetData>
    <row r="1" spans="1:26" s="1528" customFormat="1" ht="18.75">
      <c r="A1" s="969"/>
      <c r="B1" s="969"/>
      <c r="C1" s="969"/>
      <c r="D1" s="969"/>
      <c r="E1" s="969"/>
      <c r="F1" s="969"/>
      <c r="G1" s="969"/>
      <c r="H1" s="969"/>
      <c r="I1" s="2569" t="s">
        <v>2197</v>
      </c>
      <c r="J1" s="2569"/>
      <c r="K1" s="2569"/>
      <c r="L1" s="2570" t="s">
        <v>2198</v>
      </c>
      <c r="M1" s="2570"/>
      <c r="N1" s="2571" t="s">
        <v>2450</v>
      </c>
      <c r="O1" s="2571"/>
      <c r="P1" s="2571"/>
      <c r="Q1" s="1244"/>
      <c r="R1" s="1244"/>
      <c r="S1" s="969"/>
      <c r="T1" s="969"/>
      <c r="U1" s="969"/>
      <c r="V1" s="969"/>
      <c r="W1" s="969"/>
    </row>
    <row r="2" spans="1:26" s="1528" customFormat="1" ht="18.75">
      <c r="A2" s="699"/>
      <c r="B2" s="700"/>
      <c r="C2" s="700"/>
      <c r="D2" s="707"/>
      <c r="E2" s="707"/>
      <c r="F2" s="707"/>
      <c r="G2" s="707"/>
      <c r="H2" s="707"/>
      <c r="I2" s="1245"/>
      <c r="J2" s="1246" t="s">
        <v>2199</v>
      </c>
      <c r="K2" s="1246"/>
      <c r="L2" s="1246"/>
      <c r="M2" s="1246"/>
      <c r="N2" s="1246"/>
      <c r="O2" s="1245"/>
      <c r="P2" s="1245"/>
      <c r="Q2" s="1245"/>
      <c r="R2" s="1245"/>
      <c r="S2" s="700"/>
      <c r="T2" s="700"/>
      <c r="U2" s="700"/>
      <c r="V2" s="1247" t="s">
        <v>2200</v>
      </c>
      <c r="W2" s="969"/>
    </row>
    <row r="3" spans="1:26" s="1528" customFormat="1" ht="15">
      <c r="A3" s="1248"/>
      <c r="B3" s="1248"/>
      <c r="C3" s="1248"/>
      <c r="D3" s="1248"/>
      <c r="E3" s="1248"/>
      <c r="F3" s="1248"/>
      <c r="G3" s="1248"/>
      <c r="H3" s="1248"/>
      <c r="I3" s="1248"/>
      <c r="J3" s="1248"/>
      <c r="K3" s="1248"/>
      <c r="L3" s="1248"/>
      <c r="M3" s="1248"/>
      <c r="N3" s="1248"/>
      <c r="O3" s="1248"/>
      <c r="P3" s="1248"/>
      <c r="Q3" s="1248"/>
      <c r="R3" s="1248"/>
      <c r="S3" s="1248"/>
      <c r="T3" s="1248"/>
      <c r="U3" s="1248"/>
      <c r="V3" s="1249" t="s">
        <v>24</v>
      </c>
      <c r="W3" s="1250"/>
    </row>
    <row r="4" spans="1:26" s="1528" customFormat="1">
      <c r="A4" s="2531" t="s">
        <v>487</v>
      </c>
      <c r="B4" s="2572" t="s">
        <v>2201</v>
      </c>
      <c r="C4" s="2573"/>
      <c r="D4" s="2573"/>
      <c r="E4" s="2573"/>
      <c r="F4" s="2574"/>
      <c r="G4" s="2572" t="s">
        <v>2202</v>
      </c>
      <c r="H4" s="2575"/>
      <c r="I4" s="2575"/>
      <c r="J4" s="2575"/>
      <c r="K4" s="2575"/>
      <c r="L4" s="2575"/>
      <c r="M4" s="2575"/>
      <c r="N4" s="2575"/>
      <c r="O4" s="2575"/>
      <c r="P4" s="2575"/>
      <c r="Q4" s="2575"/>
      <c r="R4" s="2576"/>
      <c r="S4" s="2577" t="s">
        <v>2203</v>
      </c>
      <c r="T4" s="2579" t="s">
        <v>2204</v>
      </c>
      <c r="U4" s="2580"/>
      <c r="V4" s="2581"/>
      <c r="W4" s="2553" t="s">
        <v>487</v>
      </c>
    </row>
    <row r="5" spans="1:26" s="1528" customFormat="1" ht="85.5" customHeight="1">
      <c r="A5" s="2532"/>
      <c r="B5" s="1251" t="s">
        <v>2205</v>
      </c>
      <c r="C5" s="1593" t="s">
        <v>2206</v>
      </c>
      <c r="D5" s="1251" t="s">
        <v>2207</v>
      </c>
      <c r="E5" s="1251" t="s">
        <v>2208</v>
      </c>
      <c r="F5" s="1251" t="s">
        <v>2209</v>
      </c>
      <c r="G5" s="1251" t="s">
        <v>2210</v>
      </c>
      <c r="H5" s="1251" t="s">
        <v>2211</v>
      </c>
      <c r="I5" s="1251" t="s">
        <v>2212</v>
      </c>
      <c r="J5" s="1251" t="s">
        <v>2213</v>
      </c>
      <c r="K5" s="1251" t="s">
        <v>2214</v>
      </c>
      <c r="L5" s="1251" t="s">
        <v>2215</v>
      </c>
      <c r="M5" s="1252" t="s">
        <v>2216</v>
      </c>
      <c r="N5" s="1252" t="s">
        <v>2217</v>
      </c>
      <c r="O5" s="1593" t="s">
        <v>2218</v>
      </c>
      <c r="P5" s="1593" t="s">
        <v>2219</v>
      </c>
      <c r="Q5" s="1593" t="s">
        <v>2220</v>
      </c>
      <c r="R5" s="1593" t="s">
        <v>2221</v>
      </c>
      <c r="S5" s="2578"/>
      <c r="T5" s="1593" t="s">
        <v>2222</v>
      </c>
      <c r="U5" s="1593" t="s">
        <v>2223</v>
      </c>
      <c r="V5" s="1593" t="s">
        <v>2224</v>
      </c>
      <c r="W5" s="2554"/>
    </row>
    <row r="6" spans="1:26" s="1528" customFormat="1">
      <c r="A6" s="2533"/>
      <c r="B6" s="1367">
        <v>1</v>
      </c>
      <c r="C6" s="1253">
        <v>2</v>
      </c>
      <c r="D6" s="1253">
        <v>3</v>
      </c>
      <c r="E6" s="1253">
        <v>4</v>
      </c>
      <c r="F6" s="1253">
        <v>5</v>
      </c>
      <c r="G6" s="1253">
        <v>6</v>
      </c>
      <c r="H6" s="1253">
        <v>7</v>
      </c>
      <c r="I6" s="1253">
        <v>8</v>
      </c>
      <c r="J6" s="1253">
        <v>9</v>
      </c>
      <c r="K6" s="1253">
        <v>10</v>
      </c>
      <c r="L6" s="1253">
        <v>11</v>
      </c>
      <c r="M6" s="1253">
        <v>12</v>
      </c>
      <c r="N6" s="1253">
        <v>13</v>
      </c>
      <c r="O6" s="1253">
        <v>14</v>
      </c>
      <c r="P6" s="1253">
        <v>15</v>
      </c>
      <c r="Q6" s="1253">
        <v>16</v>
      </c>
      <c r="R6" s="1253">
        <v>17</v>
      </c>
      <c r="S6" s="1253">
        <v>18</v>
      </c>
      <c r="T6" s="1253">
        <v>19</v>
      </c>
      <c r="U6" s="1253">
        <v>20</v>
      </c>
      <c r="V6" s="1253">
        <v>21</v>
      </c>
      <c r="W6" s="2555"/>
      <c r="Z6" s="1264"/>
    </row>
    <row r="7" spans="1:26" ht="14.85" customHeight="1">
      <c r="A7" s="1266" t="s">
        <v>554</v>
      </c>
      <c r="B7" s="1594">
        <v>17096</v>
      </c>
      <c r="C7" s="1594">
        <v>4249</v>
      </c>
      <c r="D7" s="1594">
        <v>21345</v>
      </c>
      <c r="E7" s="1594">
        <v>3609</v>
      </c>
      <c r="F7" s="1594">
        <v>24954</v>
      </c>
      <c r="G7" s="1594">
        <v>17898</v>
      </c>
      <c r="H7" s="1594">
        <v>1109</v>
      </c>
      <c r="I7" s="1594">
        <v>19007</v>
      </c>
      <c r="J7" s="1594">
        <v>16560</v>
      </c>
      <c r="K7" s="1594">
        <v>193</v>
      </c>
      <c r="L7" s="1594">
        <v>0</v>
      </c>
      <c r="M7" s="1594">
        <v>496</v>
      </c>
      <c r="N7" s="1594">
        <v>17249</v>
      </c>
      <c r="O7" s="1594">
        <v>-9</v>
      </c>
      <c r="P7" s="1594">
        <v>-249</v>
      </c>
      <c r="Q7" s="1594">
        <v>0</v>
      </c>
      <c r="R7" s="1594">
        <v>35998</v>
      </c>
      <c r="S7" s="1594">
        <v>-11044</v>
      </c>
      <c r="T7" s="1594">
        <v>3100</v>
      </c>
      <c r="U7" s="1594">
        <v>7944</v>
      </c>
      <c r="V7" s="1594">
        <v>11044</v>
      </c>
      <c r="W7" s="1268" t="s">
        <v>554</v>
      </c>
      <c r="X7" s="1528"/>
      <c r="Y7" s="1528"/>
      <c r="Z7" s="1528"/>
    </row>
    <row r="8" spans="1:26" ht="14.85" customHeight="1">
      <c r="A8" s="1267" t="s">
        <v>555</v>
      </c>
      <c r="B8" s="1265">
        <v>19490</v>
      </c>
      <c r="C8" s="1265">
        <v>4683</v>
      </c>
      <c r="D8" s="1265">
        <v>24173</v>
      </c>
      <c r="E8" s="1265">
        <v>2929</v>
      </c>
      <c r="F8" s="1265">
        <v>27102</v>
      </c>
      <c r="G8" s="1265">
        <v>20136</v>
      </c>
      <c r="H8" s="1265">
        <v>1411</v>
      </c>
      <c r="I8" s="1265">
        <v>21547</v>
      </c>
      <c r="J8" s="1265">
        <v>17950</v>
      </c>
      <c r="K8" s="1265">
        <v>133</v>
      </c>
      <c r="L8" s="1265">
        <v>0</v>
      </c>
      <c r="M8" s="1265">
        <v>773</v>
      </c>
      <c r="N8" s="1265">
        <v>18856</v>
      </c>
      <c r="O8" s="1265">
        <v>-122</v>
      </c>
      <c r="P8" s="1265">
        <v>-422</v>
      </c>
      <c r="Q8" s="1265">
        <v>0</v>
      </c>
      <c r="R8" s="1265">
        <v>39859</v>
      </c>
      <c r="S8" s="1265">
        <v>-12757</v>
      </c>
      <c r="T8" s="1265">
        <v>3565</v>
      </c>
      <c r="U8" s="1265">
        <v>9192</v>
      </c>
      <c r="V8" s="1265">
        <v>12757</v>
      </c>
      <c r="W8" s="1269" t="s">
        <v>555</v>
      </c>
      <c r="X8" s="1528"/>
      <c r="Y8" s="1528"/>
      <c r="Z8" s="1528"/>
    </row>
    <row r="9" spans="1:26" ht="14.85" customHeight="1">
      <c r="A9" s="1266" t="s">
        <v>556</v>
      </c>
      <c r="B9" s="1594">
        <v>21930</v>
      </c>
      <c r="C9" s="1594">
        <v>5740</v>
      </c>
      <c r="D9" s="1594">
        <v>27670</v>
      </c>
      <c r="E9" s="1594">
        <v>3482</v>
      </c>
      <c r="F9" s="1594">
        <v>31152</v>
      </c>
      <c r="G9" s="1594">
        <v>21037</v>
      </c>
      <c r="H9" s="1594">
        <v>1218</v>
      </c>
      <c r="I9" s="1594">
        <v>22255</v>
      </c>
      <c r="J9" s="1594">
        <v>15847</v>
      </c>
      <c r="K9" s="1594">
        <v>313</v>
      </c>
      <c r="L9" s="1594">
        <v>0</v>
      </c>
      <c r="M9" s="1594">
        <v>733</v>
      </c>
      <c r="N9" s="1594">
        <v>16893</v>
      </c>
      <c r="O9" s="1594">
        <v>-6</v>
      </c>
      <c r="P9" s="1594">
        <v>-385</v>
      </c>
      <c r="Q9" s="1594">
        <v>0</v>
      </c>
      <c r="R9" s="1594">
        <v>38757</v>
      </c>
      <c r="S9" s="1594">
        <v>-7605</v>
      </c>
      <c r="T9" s="1594">
        <v>2759</v>
      </c>
      <c r="U9" s="1594">
        <v>4846</v>
      </c>
      <c r="V9" s="1594">
        <v>7605</v>
      </c>
      <c r="W9" s="1268" t="s">
        <v>556</v>
      </c>
      <c r="X9" s="1528"/>
      <c r="Y9" s="1528"/>
      <c r="Z9" s="1528"/>
    </row>
    <row r="10" spans="1:26" ht="14.85" customHeight="1">
      <c r="A10" s="1267" t="s">
        <v>557</v>
      </c>
      <c r="B10" s="1265">
        <v>24950</v>
      </c>
      <c r="C10" s="1265">
        <v>6170</v>
      </c>
      <c r="D10" s="1265">
        <v>31120</v>
      </c>
      <c r="E10" s="1265">
        <v>2447</v>
      </c>
      <c r="F10" s="1265">
        <v>33567</v>
      </c>
      <c r="G10" s="1265">
        <v>24255</v>
      </c>
      <c r="H10" s="1265">
        <v>1351</v>
      </c>
      <c r="I10" s="1265">
        <v>25606</v>
      </c>
      <c r="J10" s="1265">
        <v>17060</v>
      </c>
      <c r="K10" s="1265">
        <v>390</v>
      </c>
      <c r="L10" s="1265">
        <v>0</v>
      </c>
      <c r="M10" s="1265">
        <v>593</v>
      </c>
      <c r="N10" s="1265">
        <v>18043</v>
      </c>
      <c r="O10" s="1265">
        <v>-74</v>
      </c>
      <c r="P10" s="1265">
        <v>-1029</v>
      </c>
      <c r="Q10" s="1265">
        <v>0</v>
      </c>
      <c r="R10" s="1265">
        <v>42546</v>
      </c>
      <c r="S10" s="1265">
        <v>-8979</v>
      </c>
      <c r="T10" s="1265">
        <v>4543</v>
      </c>
      <c r="U10" s="1265">
        <v>4436</v>
      </c>
      <c r="V10" s="1265">
        <v>8979</v>
      </c>
      <c r="W10" s="1269" t="s">
        <v>557</v>
      </c>
      <c r="X10" s="1528"/>
      <c r="Y10" s="1528"/>
      <c r="Z10" s="1528"/>
    </row>
    <row r="11" spans="1:26" ht="14.85" customHeight="1">
      <c r="A11" s="1266" t="s">
        <v>558</v>
      </c>
      <c r="B11" s="1594">
        <v>28300</v>
      </c>
      <c r="C11" s="1594">
        <v>7100</v>
      </c>
      <c r="D11" s="1594">
        <v>35400</v>
      </c>
      <c r="E11" s="1594">
        <v>2663</v>
      </c>
      <c r="F11" s="1594">
        <v>38063</v>
      </c>
      <c r="G11" s="1594">
        <v>26807</v>
      </c>
      <c r="H11" s="1594">
        <v>1766</v>
      </c>
      <c r="I11" s="1594">
        <v>28573</v>
      </c>
      <c r="J11" s="1594">
        <v>19000</v>
      </c>
      <c r="K11" s="1594">
        <v>419</v>
      </c>
      <c r="L11" s="1594">
        <v>210</v>
      </c>
      <c r="M11" s="1594">
        <v>585</v>
      </c>
      <c r="N11" s="1594">
        <v>20214</v>
      </c>
      <c r="O11" s="1594">
        <v>508</v>
      </c>
      <c r="P11" s="1594">
        <v>-928</v>
      </c>
      <c r="Q11" s="1594">
        <v>1000</v>
      </c>
      <c r="R11" s="1594">
        <v>49367</v>
      </c>
      <c r="S11" s="1594">
        <v>-11304</v>
      </c>
      <c r="T11" s="1594">
        <v>5329</v>
      </c>
      <c r="U11" s="1594">
        <v>5975</v>
      </c>
      <c r="V11" s="1594">
        <v>11304</v>
      </c>
      <c r="W11" s="1268" t="s">
        <v>558</v>
      </c>
      <c r="X11" s="1528"/>
      <c r="Y11" s="1528"/>
      <c r="Z11" s="1528"/>
    </row>
    <row r="12" spans="1:26" ht="14.85" customHeight="1">
      <c r="A12" s="1267" t="s">
        <v>559</v>
      </c>
      <c r="B12" s="1265">
        <v>31950</v>
      </c>
      <c r="C12" s="1265">
        <v>7250</v>
      </c>
      <c r="D12" s="1265">
        <v>39200</v>
      </c>
      <c r="E12" s="1265">
        <v>2644</v>
      </c>
      <c r="F12" s="1265">
        <v>41844</v>
      </c>
      <c r="G12" s="1265">
        <v>31590</v>
      </c>
      <c r="H12" s="1265">
        <v>2080</v>
      </c>
      <c r="I12" s="1265">
        <v>33670</v>
      </c>
      <c r="J12" s="1265">
        <v>20500</v>
      </c>
      <c r="K12" s="1265">
        <v>595</v>
      </c>
      <c r="L12" s="1265">
        <v>994</v>
      </c>
      <c r="M12" s="1265">
        <v>587</v>
      </c>
      <c r="N12" s="1265">
        <v>22676</v>
      </c>
      <c r="O12" s="1265">
        <v>168</v>
      </c>
      <c r="P12" s="1265">
        <v>-1152</v>
      </c>
      <c r="Q12" s="1265">
        <v>270</v>
      </c>
      <c r="R12" s="1265">
        <v>55632</v>
      </c>
      <c r="S12" s="1265">
        <v>-13788</v>
      </c>
      <c r="T12" s="1265">
        <v>6187</v>
      </c>
      <c r="U12" s="1265">
        <v>7601</v>
      </c>
      <c r="V12" s="1265">
        <v>13788</v>
      </c>
      <c r="W12" s="1269" t="s">
        <v>559</v>
      </c>
      <c r="X12" s="1528"/>
      <c r="Y12" s="1528"/>
      <c r="Z12" s="1528"/>
    </row>
    <row r="13" spans="1:26" ht="14.85" customHeight="1">
      <c r="A13" s="1266" t="s">
        <v>564</v>
      </c>
      <c r="B13" s="1594">
        <v>36175</v>
      </c>
      <c r="C13" s="1594">
        <v>8693</v>
      </c>
      <c r="D13" s="1594">
        <v>44868</v>
      </c>
      <c r="E13" s="1594">
        <v>2476</v>
      </c>
      <c r="F13" s="1594">
        <v>47344</v>
      </c>
      <c r="G13" s="1594">
        <v>34805</v>
      </c>
      <c r="H13" s="1594">
        <v>2252</v>
      </c>
      <c r="I13" s="1594">
        <v>37057</v>
      </c>
      <c r="J13" s="1594">
        <v>21500</v>
      </c>
      <c r="K13" s="1594">
        <v>0</v>
      </c>
      <c r="L13" s="1594">
        <v>1363</v>
      </c>
      <c r="M13" s="1594">
        <v>763</v>
      </c>
      <c r="N13" s="1594">
        <v>23626</v>
      </c>
      <c r="O13" s="1594">
        <v>207</v>
      </c>
      <c r="P13" s="1594">
        <v>-32</v>
      </c>
      <c r="Q13" s="1594">
        <v>200</v>
      </c>
      <c r="R13" s="1594">
        <v>61058</v>
      </c>
      <c r="S13" s="1594">
        <v>-13714</v>
      </c>
      <c r="T13" s="1594">
        <v>5574</v>
      </c>
      <c r="U13" s="1594">
        <v>8140</v>
      </c>
      <c r="V13" s="1594">
        <v>13714</v>
      </c>
      <c r="W13" s="1268" t="s">
        <v>564</v>
      </c>
      <c r="X13" s="1528"/>
      <c r="Y13" s="1528"/>
      <c r="Z13" s="1528"/>
    </row>
    <row r="14" spans="1:26" ht="14.85" customHeight="1">
      <c r="A14" s="1267" t="s">
        <v>573</v>
      </c>
      <c r="B14" s="1265">
        <v>39247</v>
      </c>
      <c r="C14" s="1265">
        <v>10225</v>
      </c>
      <c r="D14" s="1265">
        <v>49472</v>
      </c>
      <c r="E14" s="1265">
        <v>2150</v>
      </c>
      <c r="F14" s="1265">
        <v>51622</v>
      </c>
      <c r="G14" s="1265">
        <v>42064</v>
      </c>
      <c r="H14" s="1265">
        <v>2348</v>
      </c>
      <c r="I14" s="1265">
        <v>44412</v>
      </c>
      <c r="J14" s="1265">
        <v>21600</v>
      </c>
      <c r="K14" s="1265">
        <v>0</v>
      </c>
      <c r="L14" s="1265">
        <v>1579</v>
      </c>
      <c r="M14" s="1265">
        <v>283</v>
      </c>
      <c r="N14" s="1265">
        <v>23462</v>
      </c>
      <c r="O14" s="1265">
        <v>388</v>
      </c>
      <c r="P14" s="1265">
        <v>-1455</v>
      </c>
      <c r="Q14" s="1265">
        <v>29</v>
      </c>
      <c r="R14" s="1265">
        <v>66836</v>
      </c>
      <c r="S14" s="1265">
        <v>-15214</v>
      </c>
      <c r="T14" s="1265">
        <v>5183</v>
      </c>
      <c r="U14" s="1265">
        <v>10031</v>
      </c>
      <c r="V14" s="1265">
        <v>15214</v>
      </c>
      <c r="W14" s="1269" t="s">
        <v>573</v>
      </c>
      <c r="X14" s="1528"/>
      <c r="Y14" s="1528"/>
      <c r="Z14" s="1528"/>
    </row>
    <row r="15" spans="1:26" ht="14.85" customHeight="1">
      <c r="A15" s="1266" t="s">
        <v>333</v>
      </c>
      <c r="B15" s="1594">
        <v>48012</v>
      </c>
      <c r="C15" s="1594">
        <v>12527</v>
      </c>
      <c r="D15" s="1594">
        <v>60539</v>
      </c>
      <c r="E15" s="1594">
        <v>4388</v>
      </c>
      <c r="F15" s="1594">
        <v>64927</v>
      </c>
      <c r="G15" s="1594">
        <v>52255</v>
      </c>
      <c r="H15" s="1594">
        <v>4734</v>
      </c>
      <c r="I15" s="1594">
        <v>56989</v>
      </c>
      <c r="J15" s="1594">
        <v>22500</v>
      </c>
      <c r="K15" s="1594">
        <v>549</v>
      </c>
      <c r="L15" s="1594">
        <v>496</v>
      </c>
      <c r="M15" s="1594">
        <v>804</v>
      </c>
      <c r="N15" s="1594">
        <v>24349</v>
      </c>
      <c r="O15" s="1594">
        <v>809</v>
      </c>
      <c r="P15" s="1594">
        <v>9761</v>
      </c>
      <c r="Q15" s="1594">
        <v>1700</v>
      </c>
      <c r="R15" s="1594">
        <v>93608</v>
      </c>
      <c r="S15" s="1594">
        <v>-28681</v>
      </c>
      <c r="T15" s="1594">
        <v>8756</v>
      </c>
      <c r="U15" s="1594">
        <v>19925</v>
      </c>
      <c r="V15" s="1594">
        <v>28681</v>
      </c>
      <c r="W15" s="1268" t="s">
        <v>333</v>
      </c>
      <c r="X15" s="1528"/>
      <c r="Y15" s="1528"/>
      <c r="Z15" s="1528"/>
    </row>
    <row r="16" spans="1:26" ht="14.85" customHeight="1">
      <c r="A16" s="1254" t="s">
        <v>85</v>
      </c>
      <c r="B16" s="1265">
        <v>55526</v>
      </c>
      <c r="C16" s="1265">
        <v>13654</v>
      </c>
      <c r="D16" s="1265">
        <v>69180</v>
      </c>
      <c r="E16" s="1265">
        <v>4929</v>
      </c>
      <c r="F16" s="1265">
        <v>74109</v>
      </c>
      <c r="G16" s="1265">
        <v>62676</v>
      </c>
      <c r="H16" s="1265">
        <v>4449</v>
      </c>
      <c r="I16" s="1265">
        <v>67125</v>
      </c>
      <c r="J16" s="1265">
        <v>23000</v>
      </c>
      <c r="K16" s="1265">
        <v>990</v>
      </c>
      <c r="L16" s="1265">
        <v>478</v>
      </c>
      <c r="M16" s="1265">
        <v>1234</v>
      </c>
      <c r="N16" s="1265">
        <v>25702</v>
      </c>
      <c r="O16" s="1265">
        <v>4</v>
      </c>
      <c r="P16" s="1265">
        <v>559</v>
      </c>
      <c r="Q16" s="1265">
        <v>750</v>
      </c>
      <c r="R16" s="1265">
        <v>94140</v>
      </c>
      <c r="S16" s="1265">
        <v>-20031</v>
      </c>
      <c r="T16" s="1265">
        <v>5833</v>
      </c>
      <c r="U16" s="1265">
        <v>14198</v>
      </c>
      <c r="V16" s="1265">
        <v>20031</v>
      </c>
      <c r="W16" s="1270" t="s">
        <v>85</v>
      </c>
      <c r="X16" s="1528"/>
      <c r="Y16" s="1528"/>
      <c r="Z16" s="1528"/>
    </row>
    <row r="17" spans="1:26" ht="14.85" customHeight="1">
      <c r="A17" s="1255" t="s">
        <v>81</v>
      </c>
      <c r="B17" s="1594">
        <v>63956</v>
      </c>
      <c r="C17" s="1594">
        <v>15528</v>
      </c>
      <c r="D17" s="1594">
        <v>79484</v>
      </c>
      <c r="E17" s="1594">
        <v>3742</v>
      </c>
      <c r="F17" s="1594">
        <v>83226</v>
      </c>
      <c r="G17" s="1594">
        <v>68711</v>
      </c>
      <c r="H17" s="1594">
        <v>8417</v>
      </c>
      <c r="I17" s="1594">
        <v>77128</v>
      </c>
      <c r="J17" s="1594">
        <v>28500</v>
      </c>
      <c r="K17" s="1594">
        <v>1180</v>
      </c>
      <c r="L17" s="1594">
        <v>1009</v>
      </c>
      <c r="M17" s="1594">
        <v>1126</v>
      </c>
      <c r="N17" s="1594">
        <v>31815</v>
      </c>
      <c r="O17" s="1594">
        <v>60</v>
      </c>
      <c r="P17" s="1594">
        <v>1188</v>
      </c>
      <c r="Q17" s="1594">
        <v>332</v>
      </c>
      <c r="R17" s="1594">
        <v>110523</v>
      </c>
      <c r="S17" s="1594">
        <v>-27297</v>
      </c>
      <c r="T17" s="1594">
        <v>9972</v>
      </c>
      <c r="U17" s="1594">
        <v>17325</v>
      </c>
      <c r="V17" s="1594">
        <v>27297</v>
      </c>
      <c r="W17" s="1271" t="s">
        <v>81</v>
      </c>
      <c r="X17" s="1528"/>
      <c r="Y17" s="1528"/>
      <c r="Z17" s="1528"/>
    </row>
    <row r="18" spans="1:26" ht="14.85" customHeight="1">
      <c r="A18" s="1262" t="s">
        <v>190</v>
      </c>
      <c r="B18" s="1265">
        <v>79052</v>
      </c>
      <c r="C18" s="1265">
        <v>16135</v>
      </c>
      <c r="D18" s="1265">
        <v>95187</v>
      </c>
      <c r="E18" s="1265">
        <v>4224</v>
      </c>
      <c r="F18" s="1265">
        <v>99411</v>
      </c>
      <c r="G18" s="1265">
        <v>77103</v>
      </c>
      <c r="H18" s="1265">
        <v>6074</v>
      </c>
      <c r="I18" s="1265">
        <v>83177</v>
      </c>
      <c r="J18" s="1265">
        <v>35880</v>
      </c>
      <c r="K18" s="1265">
        <v>1430</v>
      </c>
      <c r="L18" s="1265">
        <v>1011</v>
      </c>
      <c r="M18" s="1265">
        <v>1294</v>
      </c>
      <c r="N18" s="1265">
        <v>39615</v>
      </c>
      <c r="O18" s="1265">
        <v>351</v>
      </c>
      <c r="P18" s="1265">
        <v>6718</v>
      </c>
      <c r="Q18" s="1265">
        <v>150</v>
      </c>
      <c r="R18" s="1265">
        <v>130011</v>
      </c>
      <c r="S18" s="1265">
        <v>-30600</v>
      </c>
      <c r="T18" s="1265">
        <v>5783</v>
      </c>
      <c r="U18" s="1265">
        <v>24817</v>
      </c>
      <c r="V18" s="1265">
        <v>30600</v>
      </c>
      <c r="W18" s="1272" t="s">
        <v>190</v>
      </c>
      <c r="X18" s="1528"/>
      <c r="Y18" s="1528"/>
      <c r="Z18" s="1528"/>
    </row>
    <row r="19" spans="1:26" ht="14.85" customHeight="1">
      <c r="A19" s="1263" t="s">
        <v>731</v>
      </c>
      <c r="B19" s="1594">
        <v>96285</v>
      </c>
      <c r="C19" s="1594">
        <v>18600</v>
      </c>
      <c r="D19" s="1594">
        <v>114885</v>
      </c>
      <c r="E19" s="1594">
        <v>4460</v>
      </c>
      <c r="F19" s="1594">
        <v>119345</v>
      </c>
      <c r="G19" s="1594">
        <v>91823</v>
      </c>
      <c r="H19" s="1594">
        <v>9162</v>
      </c>
      <c r="I19" s="1594">
        <v>100985</v>
      </c>
      <c r="J19" s="1594">
        <v>41080</v>
      </c>
      <c r="K19" s="1594">
        <v>2142</v>
      </c>
      <c r="L19" s="1594">
        <v>1144</v>
      </c>
      <c r="M19" s="1594">
        <v>1285</v>
      </c>
      <c r="N19" s="1594">
        <v>45651</v>
      </c>
      <c r="O19" s="1594">
        <v>384</v>
      </c>
      <c r="P19" s="1594">
        <v>14193</v>
      </c>
      <c r="Q19" s="1594">
        <v>0</v>
      </c>
      <c r="R19" s="1594">
        <v>161213</v>
      </c>
      <c r="S19" s="1594">
        <v>-41868</v>
      </c>
      <c r="T19" s="1594">
        <v>7399</v>
      </c>
      <c r="U19" s="1594">
        <v>34469</v>
      </c>
      <c r="V19" s="1594">
        <v>41868</v>
      </c>
      <c r="W19" s="1273" t="s">
        <v>731</v>
      </c>
      <c r="X19" s="1528"/>
      <c r="Y19" s="1528"/>
      <c r="Z19" s="1528"/>
    </row>
    <row r="20" spans="1:26" ht="14.85" customHeight="1">
      <c r="A20" s="1262" t="s">
        <v>840</v>
      </c>
      <c r="B20" s="1265">
        <v>116824</v>
      </c>
      <c r="C20" s="1265">
        <v>22846</v>
      </c>
      <c r="D20" s="1265">
        <v>139670</v>
      </c>
      <c r="E20" s="1265">
        <v>5280</v>
      </c>
      <c r="F20" s="1265">
        <v>144950</v>
      </c>
      <c r="G20" s="1265">
        <v>102892</v>
      </c>
      <c r="H20" s="1265">
        <v>7735</v>
      </c>
      <c r="I20" s="1265">
        <v>110627</v>
      </c>
      <c r="J20" s="1265">
        <v>52366</v>
      </c>
      <c r="K20" s="1265">
        <v>3091</v>
      </c>
      <c r="L20" s="1265">
        <v>801</v>
      </c>
      <c r="M20" s="1265">
        <v>1493</v>
      </c>
      <c r="N20" s="1265">
        <v>57751</v>
      </c>
      <c r="O20" s="1265">
        <v>183</v>
      </c>
      <c r="P20" s="1265">
        <v>20765</v>
      </c>
      <c r="Q20" s="1265">
        <v>0</v>
      </c>
      <c r="R20" s="1265">
        <v>189326</v>
      </c>
      <c r="S20" s="1265">
        <v>-44376</v>
      </c>
      <c r="T20" s="1265">
        <v>11903</v>
      </c>
      <c r="U20" s="1265">
        <v>32473</v>
      </c>
      <c r="V20" s="1265">
        <v>44376</v>
      </c>
      <c r="W20" s="1272" t="s">
        <v>840</v>
      </c>
      <c r="X20" s="1528"/>
      <c r="Y20" s="1528"/>
      <c r="Z20" s="1528"/>
    </row>
    <row r="21" spans="1:26" ht="14.85" customHeight="1">
      <c r="A21" s="1263" t="s">
        <v>1019</v>
      </c>
      <c r="B21" s="1594">
        <v>130178</v>
      </c>
      <c r="C21" s="1594">
        <v>26493</v>
      </c>
      <c r="D21" s="1594">
        <v>156671</v>
      </c>
      <c r="E21" s="1594">
        <v>5956</v>
      </c>
      <c r="F21" s="1594">
        <v>162627</v>
      </c>
      <c r="G21" s="1594">
        <v>115998</v>
      </c>
      <c r="H21" s="1594">
        <v>18909</v>
      </c>
      <c r="I21" s="1594">
        <v>134907</v>
      </c>
      <c r="J21" s="1594">
        <v>60000</v>
      </c>
      <c r="K21" s="1594">
        <v>3058</v>
      </c>
      <c r="L21" s="1594">
        <v>893</v>
      </c>
      <c r="M21" s="1594">
        <v>1194</v>
      </c>
      <c r="N21" s="1594">
        <v>65145</v>
      </c>
      <c r="O21" s="1594">
        <v>188</v>
      </c>
      <c r="P21" s="1594">
        <v>15982</v>
      </c>
      <c r="Q21" s="1594">
        <v>0</v>
      </c>
      <c r="R21" s="1594">
        <v>216222</v>
      </c>
      <c r="S21" s="1594">
        <v>-53595</v>
      </c>
      <c r="T21" s="1594">
        <v>12613</v>
      </c>
      <c r="U21" s="1594">
        <v>40982</v>
      </c>
      <c r="V21" s="1594">
        <v>53595</v>
      </c>
      <c r="W21" s="1273" t="s">
        <v>1019</v>
      </c>
      <c r="X21" s="1528"/>
      <c r="Y21" s="1528"/>
      <c r="Z21" s="1528"/>
    </row>
    <row r="22" spans="1:26" ht="14.85" customHeight="1">
      <c r="A22" s="1262" t="s">
        <v>1070</v>
      </c>
      <c r="B22" s="1265">
        <v>140676</v>
      </c>
      <c r="C22" s="1265">
        <v>22695</v>
      </c>
      <c r="D22" s="1265">
        <v>163371</v>
      </c>
      <c r="E22" s="1265">
        <v>5674</v>
      </c>
      <c r="F22" s="1265">
        <v>169045</v>
      </c>
      <c r="G22" s="1265">
        <v>127371</v>
      </c>
      <c r="H22" s="1265">
        <v>22028</v>
      </c>
      <c r="I22" s="1265">
        <v>149399</v>
      </c>
      <c r="J22" s="1265">
        <v>75000</v>
      </c>
      <c r="K22" s="1265">
        <v>3317</v>
      </c>
      <c r="L22" s="1265">
        <v>786</v>
      </c>
      <c r="M22" s="1265">
        <v>1373</v>
      </c>
      <c r="N22" s="1265">
        <v>80476</v>
      </c>
      <c r="O22" s="1265">
        <v>157</v>
      </c>
      <c r="P22" s="1265">
        <v>9636</v>
      </c>
      <c r="Q22" s="1265">
        <v>0</v>
      </c>
      <c r="R22" s="1265">
        <v>239668</v>
      </c>
      <c r="S22" s="1265">
        <v>-70623</v>
      </c>
      <c r="T22" s="1265">
        <v>15909</v>
      </c>
      <c r="U22" s="1265">
        <v>54714</v>
      </c>
      <c r="V22" s="1265">
        <v>70623</v>
      </c>
      <c r="W22" s="1272" t="s">
        <v>1070</v>
      </c>
      <c r="X22" s="1528"/>
      <c r="Y22" s="1528"/>
      <c r="Z22" s="1528"/>
    </row>
    <row r="23" spans="1:26" ht="14.85" customHeight="1">
      <c r="A23" s="1263" t="s">
        <v>1193</v>
      </c>
      <c r="B23" s="1594">
        <v>155400</v>
      </c>
      <c r="C23" s="1594">
        <v>22000</v>
      </c>
      <c r="D23" s="1594">
        <v>177400</v>
      </c>
      <c r="E23" s="1594">
        <v>5027</v>
      </c>
      <c r="F23" s="1594">
        <v>182427</v>
      </c>
      <c r="G23" s="1594">
        <v>150379</v>
      </c>
      <c r="H23" s="1594">
        <v>13372</v>
      </c>
      <c r="I23" s="1594">
        <v>163751</v>
      </c>
      <c r="J23" s="1594">
        <v>91000</v>
      </c>
      <c r="K23" s="1594">
        <v>2687</v>
      </c>
      <c r="L23" s="1594">
        <v>585</v>
      </c>
      <c r="M23" s="1594">
        <v>1636</v>
      </c>
      <c r="N23" s="1594">
        <v>95908</v>
      </c>
      <c r="O23" s="1594">
        <v>201</v>
      </c>
      <c r="P23" s="1594">
        <v>4705</v>
      </c>
      <c r="Q23" s="1594">
        <v>0</v>
      </c>
      <c r="R23" s="1594">
        <v>264565</v>
      </c>
      <c r="S23" s="1594">
        <v>-82138</v>
      </c>
      <c r="T23" s="1594">
        <v>19963</v>
      </c>
      <c r="U23" s="1594">
        <v>62175</v>
      </c>
      <c r="V23" s="1594">
        <v>82138</v>
      </c>
      <c r="W23" s="1273" t="s">
        <v>1193</v>
      </c>
      <c r="X23" s="1528"/>
      <c r="Y23" s="1528"/>
      <c r="Z23" s="1528"/>
    </row>
    <row r="24" spans="1:26" ht="14.85" customHeight="1">
      <c r="A24" s="1262" t="s">
        <v>1225</v>
      </c>
      <c r="B24" s="1265">
        <v>192261</v>
      </c>
      <c r="C24" s="1265">
        <v>26239</v>
      </c>
      <c r="D24" s="1265">
        <v>218500</v>
      </c>
      <c r="E24" s="1265">
        <v>4694</v>
      </c>
      <c r="F24" s="1265">
        <v>223194</v>
      </c>
      <c r="G24" s="1265">
        <v>178154</v>
      </c>
      <c r="H24" s="1265">
        <v>14778</v>
      </c>
      <c r="I24" s="1265">
        <v>192932</v>
      </c>
      <c r="J24" s="1265">
        <v>110700</v>
      </c>
      <c r="K24" s="1265">
        <v>2987</v>
      </c>
      <c r="L24" s="1265">
        <v>370</v>
      </c>
      <c r="M24" s="1265">
        <v>1933</v>
      </c>
      <c r="N24" s="1265">
        <v>115990</v>
      </c>
      <c r="O24" s="1265">
        <v>561</v>
      </c>
      <c r="P24" s="1265">
        <v>7691</v>
      </c>
      <c r="Q24" s="1265">
        <v>0</v>
      </c>
      <c r="R24" s="1265">
        <v>317174</v>
      </c>
      <c r="S24" s="1265">
        <v>-93980</v>
      </c>
      <c r="T24" s="1265">
        <v>24077</v>
      </c>
      <c r="U24" s="1265">
        <v>69903</v>
      </c>
      <c r="V24" s="1265">
        <v>93980</v>
      </c>
      <c r="W24" s="1272" t="s">
        <v>1225</v>
      </c>
      <c r="X24" s="1528"/>
      <c r="Y24" s="1528"/>
      <c r="Z24" s="1528"/>
    </row>
    <row r="25" spans="1:26" ht="14.85" customHeight="1">
      <c r="A25" s="1263" t="s">
        <v>1350</v>
      </c>
      <c r="B25" s="1594">
        <v>232202</v>
      </c>
      <c r="C25" s="1594">
        <v>27252</v>
      </c>
      <c r="D25" s="1594">
        <v>259454</v>
      </c>
      <c r="E25" s="1594">
        <v>4457</v>
      </c>
      <c r="F25" s="1594">
        <v>263911</v>
      </c>
      <c r="G25" s="1594">
        <v>193828</v>
      </c>
      <c r="H25" s="1594">
        <v>16750</v>
      </c>
      <c r="I25" s="1594">
        <v>210578</v>
      </c>
      <c r="J25" s="1594">
        <v>148381</v>
      </c>
      <c r="K25" s="1594">
        <v>3140</v>
      </c>
      <c r="L25" s="1594">
        <v>261</v>
      </c>
      <c r="M25" s="1594">
        <v>1906</v>
      </c>
      <c r="N25" s="1594">
        <v>153688</v>
      </c>
      <c r="O25" s="1594">
        <v>3894</v>
      </c>
      <c r="P25" s="1594">
        <v>3335</v>
      </c>
      <c r="Q25" s="1594">
        <v>0</v>
      </c>
      <c r="R25" s="1594">
        <v>371495</v>
      </c>
      <c r="S25" s="1594">
        <v>-107584</v>
      </c>
      <c r="T25" s="1594">
        <v>41567</v>
      </c>
      <c r="U25" s="1594">
        <v>66017</v>
      </c>
      <c r="V25" s="1594">
        <v>107584</v>
      </c>
      <c r="W25" s="1273" t="s">
        <v>1350</v>
      </c>
      <c r="X25" s="1528"/>
      <c r="Y25" s="1528"/>
      <c r="Z25" s="1528"/>
    </row>
    <row r="26" spans="1:26" ht="14.85" customHeight="1">
      <c r="A26" s="1262" t="s">
        <v>1466</v>
      </c>
      <c r="B26" s="1265">
        <v>289600</v>
      </c>
      <c r="C26" s="1265">
        <v>27012</v>
      </c>
      <c r="D26" s="1265">
        <v>316612</v>
      </c>
      <c r="E26" s="1265">
        <v>3787</v>
      </c>
      <c r="F26" s="1265">
        <v>320399</v>
      </c>
      <c r="G26" s="1265">
        <v>247747</v>
      </c>
      <c r="H26" s="1265">
        <v>18981</v>
      </c>
      <c r="I26" s="1265">
        <v>266728</v>
      </c>
      <c r="J26" s="1265">
        <v>167000</v>
      </c>
      <c r="K26" s="1265">
        <v>4143</v>
      </c>
      <c r="L26" s="1265">
        <v>299</v>
      </c>
      <c r="M26" s="1265">
        <v>2007</v>
      </c>
      <c r="N26" s="1265">
        <v>173449</v>
      </c>
      <c r="O26" s="1265">
        <v>282</v>
      </c>
      <c r="P26" s="1265">
        <v>2082</v>
      </c>
      <c r="Q26" s="1265">
        <v>0</v>
      </c>
      <c r="R26" s="1265">
        <v>442541</v>
      </c>
      <c r="S26" s="1265">
        <v>-122142</v>
      </c>
      <c r="T26" s="1265">
        <v>43397</v>
      </c>
      <c r="U26" s="1265">
        <v>78745</v>
      </c>
      <c r="V26" s="1265">
        <v>122142</v>
      </c>
      <c r="W26" s="1272" t="s">
        <v>1466</v>
      </c>
      <c r="X26" s="1528"/>
      <c r="Y26" s="1528"/>
      <c r="Z26" s="1528"/>
    </row>
    <row r="27" spans="1:26" ht="14.85" customHeight="1">
      <c r="A27" s="1263" t="s">
        <v>1550</v>
      </c>
      <c r="B27" s="1594">
        <v>313068</v>
      </c>
      <c r="C27" s="1594">
        <v>35001</v>
      </c>
      <c r="D27" s="1594">
        <v>348069</v>
      </c>
      <c r="E27" s="1594">
        <v>3454</v>
      </c>
      <c r="F27" s="1594">
        <v>351523</v>
      </c>
      <c r="G27" s="1594">
        <v>274907</v>
      </c>
      <c r="H27" s="1594">
        <v>20373</v>
      </c>
      <c r="I27" s="1594">
        <v>295280</v>
      </c>
      <c r="J27" s="1594">
        <v>192921</v>
      </c>
      <c r="K27" s="1594">
        <v>4846</v>
      </c>
      <c r="L27" s="1594">
        <v>1833</v>
      </c>
      <c r="M27" s="1594">
        <v>2749</v>
      </c>
      <c r="N27" s="1594">
        <v>202349</v>
      </c>
      <c r="O27" s="1594">
        <v>654</v>
      </c>
      <c r="P27" s="1594">
        <v>3294</v>
      </c>
      <c r="Q27" s="1594">
        <v>0</v>
      </c>
      <c r="R27" s="1594">
        <v>501577</v>
      </c>
      <c r="S27" s="1594">
        <v>-150054</v>
      </c>
      <c r="T27" s="1594">
        <v>52709</v>
      </c>
      <c r="U27" s="1594">
        <v>97345</v>
      </c>
      <c r="V27" s="1594">
        <v>150054</v>
      </c>
      <c r="W27" s="1273" t="s">
        <v>1550</v>
      </c>
      <c r="X27" s="1528"/>
      <c r="Y27" s="1528"/>
      <c r="Z27" s="1528"/>
    </row>
    <row r="28" spans="1:26" ht="14.85" customHeight="1">
      <c r="A28" s="1262" t="s">
        <v>1606</v>
      </c>
      <c r="B28" s="1265">
        <v>316000</v>
      </c>
      <c r="C28" s="1265">
        <v>35532</v>
      </c>
      <c r="D28" s="1265">
        <v>351532</v>
      </c>
      <c r="E28" s="1265">
        <v>3985</v>
      </c>
      <c r="F28" s="1265">
        <v>355517</v>
      </c>
      <c r="G28" s="1265">
        <v>302547</v>
      </c>
      <c r="H28" s="1265">
        <v>21141</v>
      </c>
      <c r="I28" s="1265">
        <v>323688</v>
      </c>
      <c r="J28" s="1265">
        <v>197643</v>
      </c>
      <c r="K28" s="1265">
        <v>4610</v>
      </c>
      <c r="L28" s="1265">
        <v>3239</v>
      </c>
      <c r="M28" s="1265">
        <v>2532</v>
      </c>
      <c r="N28" s="1265">
        <v>208024</v>
      </c>
      <c r="O28" s="1265">
        <v>2553</v>
      </c>
      <c r="P28" s="1265">
        <v>4718</v>
      </c>
      <c r="Q28" s="1265">
        <v>0</v>
      </c>
      <c r="R28" s="1265">
        <v>538983</v>
      </c>
      <c r="S28" s="1265">
        <v>-183466</v>
      </c>
      <c r="T28" s="1265">
        <v>68414</v>
      </c>
      <c r="U28" s="1265">
        <v>115052</v>
      </c>
      <c r="V28" s="1265">
        <v>183466</v>
      </c>
      <c r="W28" s="1272" t="s">
        <v>1606</v>
      </c>
      <c r="X28" s="1528"/>
      <c r="Y28" s="1528"/>
      <c r="Z28" s="1528"/>
    </row>
    <row r="29" spans="1:26" ht="14.85" customHeight="1">
      <c r="A29" s="1263" t="s">
        <v>1927</v>
      </c>
      <c r="B29" s="1594">
        <v>346000</v>
      </c>
      <c r="C29" s="1594">
        <v>43000</v>
      </c>
      <c r="D29" s="1594">
        <v>389000</v>
      </c>
      <c r="E29" s="1594">
        <v>3192</v>
      </c>
      <c r="F29" s="1594">
        <v>392192</v>
      </c>
      <c r="G29" s="1594">
        <v>340572</v>
      </c>
      <c r="H29" s="1594">
        <v>26055</v>
      </c>
      <c r="I29" s="1594">
        <v>366627</v>
      </c>
      <c r="J29" s="1594">
        <v>209977</v>
      </c>
      <c r="K29" s="1594">
        <v>6336</v>
      </c>
      <c r="L29" s="1594">
        <v>3040</v>
      </c>
      <c r="M29" s="1594">
        <v>2595</v>
      </c>
      <c r="N29" s="1594">
        <v>221948</v>
      </c>
      <c r="O29" s="1594">
        <v>136</v>
      </c>
      <c r="P29" s="1594">
        <v>4789</v>
      </c>
      <c r="Q29" s="1594">
        <v>0</v>
      </c>
      <c r="R29" s="1594">
        <v>593500</v>
      </c>
      <c r="S29" s="1594">
        <v>-201308</v>
      </c>
      <c r="T29" s="1594">
        <v>77020</v>
      </c>
      <c r="U29" s="1594">
        <v>124288</v>
      </c>
      <c r="V29" s="1594">
        <v>201308</v>
      </c>
      <c r="W29" s="1273" t="s">
        <v>1927</v>
      </c>
      <c r="X29" s="1528"/>
      <c r="Y29" s="1528"/>
      <c r="Z29" s="1528"/>
    </row>
    <row r="30" spans="1:26" ht="14.85" customHeight="1">
      <c r="A30" s="1262" t="s">
        <v>2183</v>
      </c>
      <c r="B30" s="1265">
        <v>388000</v>
      </c>
      <c r="C30" s="1265">
        <v>45000</v>
      </c>
      <c r="D30" s="1265">
        <v>433000</v>
      </c>
      <c r="E30" s="1265">
        <v>3263</v>
      </c>
      <c r="F30" s="1265">
        <v>436263</v>
      </c>
      <c r="G30" s="1265">
        <v>390085</v>
      </c>
      <c r="H30" s="1265">
        <v>24198</v>
      </c>
      <c r="I30" s="1265">
        <v>414283</v>
      </c>
      <c r="J30" s="1265">
        <v>227566</v>
      </c>
      <c r="K30" s="1265">
        <v>7436</v>
      </c>
      <c r="L30" s="1265">
        <v>3732</v>
      </c>
      <c r="M30" s="1265">
        <v>2873</v>
      </c>
      <c r="N30" s="1265">
        <v>241607</v>
      </c>
      <c r="O30" s="1265">
        <v>1097</v>
      </c>
      <c r="P30" s="1265">
        <v>3520</v>
      </c>
      <c r="Q30" s="1265">
        <v>0</v>
      </c>
      <c r="R30" s="1265">
        <v>660507</v>
      </c>
      <c r="S30" s="1265">
        <v>-224244</v>
      </c>
      <c r="T30" s="1265">
        <v>83819</v>
      </c>
      <c r="U30" s="1265">
        <v>140425</v>
      </c>
      <c r="V30" s="1265">
        <v>224244</v>
      </c>
      <c r="W30" s="1272" t="s">
        <v>2183</v>
      </c>
      <c r="X30" s="1528"/>
      <c r="Y30" s="1528"/>
      <c r="Z30" s="1528"/>
    </row>
    <row r="31" spans="1:26" s="1528" customFormat="1" ht="14.85" customHeight="1">
      <c r="A31" s="1263" t="s">
        <v>2345</v>
      </c>
      <c r="B31" s="1594">
        <v>429000</v>
      </c>
      <c r="C31" s="1594">
        <v>49000</v>
      </c>
      <c r="D31" s="1594">
        <v>478000</v>
      </c>
      <c r="E31" s="1594">
        <v>3500</v>
      </c>
      <c r="F31" s="1594">
        <v>481500</v>
      </c>
      <c r="G31" s="1594">
        <v>434057</v>
      </c>
      <c r="H31" s="1594">
        <v>19170</v>
      </c>
      <c r="I31" s="1594">
        <v>453228</v>
      </c>
      <c r="J31" s="1594">
        <v>245000</v>
      </c>
      <c r="K31" s="1594">
        <v>7853</v>
      </c>
      <c r="L31" s="1594">
        <v>4378</v>
      </c>
      <c r="M31" s="1594">
        <v>2775</v>
      </c>
      <c r="N31" s="1594">
        <v>260007</v>
      </c>
      <c r="O31" s="1594">
        <v>-1234</v>
      </c>
      <c r="P31" s="1594">
        <v>2417</v>
      </c>
      <c r="Q31" s="1594">
        <v>0</v>
      </c>
      <c r="R31" s="1594">
        <v>714418</v>
      </c>
      <c r="S31" s="1594">
        <v>-232918</v>
      </c>
      <c r="T31" s="1594">
        <v>76293</v>
      </c>
      <c r="U31" s="1594">
        <v>156625</v>
      </c>
      <c r="V31" s="1594">
        <v>232918</v>
      </c>
      <c r="W31" s="1273" t="s">
        <v>2345</v>
      </c>
    </row>
    <row r="32" spans="1:26" s="1528" customFormat="1" ht="14.85" customHeight="1" thickBot="1">
      <c r="A32" s="1591" t="s">
        <v>2575</v>
      </c>
      <c r="B32" s="1595">
        <v>495000</v>
      </c>
      <c r="C32" s="1595">
        <v>46000</v>
      </c>
      <c r="D32" s="1595">
        <v>541000</v>
      </c>
      <c r="E32" s="1595">
        <v>4400</v>
      </c>
      <c r="F32" s="1595">
        <v>545400</v>
      </c>
      <c r="G32" s="1595">
        <v>468983</v>
      </c>
      <c r="H32" s="1595">
        <v>37989</v>
      </c>
      <c r="I32" s="1595">
        <v>506971</v>
      </c>
      <c r="J32" s="1595">
        <v>265000</v>
      </c>
      <c r="K32" s="1595">
        <v>7627</v>
      </c>
      <c r="L32" s="1595">
        <v>5943</v>
      </c>
      <c r="M32" s="1595">
        <v>2884</v>
      </c>
      <c r="N32" s="1595">
        <v>281453</v>
      </c>
      <c r="O32" s="1595">
        <v>119</v>
      </c>
      <c r="P32" s="1595">
        <v>8457</v>
      </c>
      <c r="Q32" s="1595">
        <v>0</v>
      </c>
      <c r="R32" s="1595">
        <v>797000</v>
      </c>
      <c r="S32" s="1595">
        <v>-251600</v>
      </c>
      <c r="T32" s="1595">
        <v>90700</v>
      </c>
      <c r="U32" s="1595">
        <v>160900</v>
      </c>
      <c r="V32" s="1595">
        <v>251600</v>
      </c>
      <c r="W32" s="1592" t="s">
        <v>2576</v>
      </c>
    </row>
    <row r="33" spans="1:26" s="1528" customFormat="1" ht="15">
      <c r="A33" s="1256" t="s">
        <v>1386</v>
      </c>
      <c r="B33" s="1257" t="s">
        <v>2225</v>
      </c>
      <c r="C33" s="1248"/>
      <c r="D33" s="1248"/>
      <c r="E33" s="1248"/>
      <c r="F33" s="1248"/>
      <c r="G33" s="1258" t="s">
        <v>2226</v>
      </c>
      <c r="H33" s="1259"/>
      <c r="I33" s="1248"/>
      <c r="J33" s="969"/>
      <c r="K33" s="969"/>
      <c r="L33" s="1260"/>
      <c r="M33" s="1260"/>
      <c r="N33" s="1260"/>
      <c r="O33" s="1260"/>
      <c r="P33" s="1260"/>
      <c r="Q33" s="1260"/>
      <c r="R33" s="1260"/>
      <c r="S33" s="1260"/>
      <c r="T33" s="1260"/>
      <c r="U33" s="1260"/>
      <c r="V33" s="1261"/>
      <c r="W33" s="1260"/>
    </row>
    <row r="34" spans="1:26">
      <c r="A34" s="1528"/>
      <c r="B34" s="1528"/>
      <c r="C34" s="1528"/>
      <c r="D34" s="1528"/>
      <c r="E34" s="1528"/>
      <c r="F34" s="1528"/>
      <c r="G34" s="1528"/>
      <c r="H34" s="1528"/>
      <c r="I34" s="1528"/>
      <c r="J34" s="1528"/>
      <c r="K34" s="1528"/>
      <c r="L34" s="1528"/>
      <c r="M34" s="1528"/>
      <c r="N34" s="1147"/>
      <c r="O34" s="1147"/>
      <c r="P34" s="1528"/>
      <c r="Q34" s="1528"/>
      <c r="R34" s="1528"/>
      <c r="S34" s="1528"/>
      <c r="T34" s="1528"/>
      <c r="U34" s="1528"/>
      <c r="V34" s="1528"/>
      <c r="W34" s="1528"/>
      <c r="X34" s="1528"/>
      <c r="Y34" s="1528"/>
      <c r="Z34" s="1528"/>
    </row>
    <row r="35" spans="1:26">
      <c r="A35" s="1528"/>
      <c r="B35" s="1528"/>
      <c r="C35" s="1528"/>
      <c r="D35" s="1528"/>
      <c r="E35" s="1528"/>
      <c r="F35" s="1528"/>
      <c r="G35" s="1528"/>
      <c r="H35" s="1528"/>
      <c r="I35" s="1528"/>
      <c r="J35" s="1528"/>
      <c r="K35" s="1528"/>
      <c r="L35" s="1147"/>
      <c r="M35" s="1147"/>
      <c r="N35" s="1528"/>
      <c r="O35" s="1528"/>
      <c r="P35" s="1528"/>
      <c r="Q35" s="1528"/>
      <c r="R35" s="1528"/>
      <c r="S35" s="1528"/>
      <c r="T35" s="1528"/>
      <c r="U35" s="1528"/>
      <c r="V35" s="1528"/>
      <c r="W35" s="1528"/>
      <c r="X35" s="1528"/>
      <c r="Y35" s="1528"/>
      <c r="Z35" s="1528"/>
    </row>
    <row r="36" spans="1:26">
      <c r="A36" s="1528"/>
      <c r="B36" s="1528"/>
      <c r="C36" s="1528"/>
      <c r="D36" s="1528"/>
      <c r="E36" s="1528"/>
      <c r="F36" s="1528"/>
      <c r="G36" s="1528"/>
      <c r="H36" s="1528"/>
      <c r="I36" s="1528"/>
      <c r="J36" s="1528"/>
      <c r="K36" s="1528"/>
      <c r="L36" s="1528"/>
      <c r="M36" s="1528"/>
      <c r="N36" s="1528"/>
      <c r="O36" s="1528"/>
      <c r="P36" s="1528"/>
      <c r="Q36" s="1528"/>
      <c r="R36" s="1528"/>
      <c r="S36" s="1528"/>
      <c r="T36" s="1528"/>
      <c r="U36" s="1528"/>
      <c r="V36" s="1528"/>
      <c r="W36" s="1528"/>
      <c r="X36" s="1528"/>
      <c r="Y36" s="1528"/>
      <c r="Z36" s="1528"/>
    </row>
  </sheetData>
  <customSheetViews>
    <customSheetView guid="{A374FC54-96E3-45F0-9C12-8450400C12DF}">
      <selection activeCell="Z13" sqref="Z13"/>
      <pageMargins left="0.7" right="0.7" top="0.75" bottom="0.75" header="0.3" footer="0.3"/>
      <pageSetup paperSize="132" firstPageNumber="112" orientation="portrait" useFirstPageNumber="1" r:id="rId1"/>
      <headerFooter differentFirst="1">
        <oddFooter>&amp;C&amp;"Times New Roman,Regular"&amp;8&amp;P</oddFooter>
        <evenFooter>&amp;C&amp;8&amp;P</evenFooter>
        <firstFooter>&amp;C&amp;8&amp;P</firstFooter>
      </headerFooter>
    </customSheetView>
  </customSheetViews>
  <mergeCells count="9">
    <mergeCell ref="W4:W6"/>
    <mergeCell ref="I1:K1"/>
    <mergeCell ref="L1:M1"/>
    <mergeCell ref="N1:P1"/>
    <mergeCell ref="A4:A6"/>
    <mergeCell ref="B4:F4"/>
    <mergeCell ref="G4:R4"/>
    <mergeCell ref="S4:S5"/>
    <mergeCell ref="T4:V4"/>
  </mergeCells>
  <pageMargins left="0.7" right="0.7" top="0.75" bottom="0.75" header="0.3" footer="0.3"/>
  <pageSetup paperSize="448" firstPageNumber="116" orientation="portrait" useFirstPageNumber="1" r:id="rId2"/>
  <headerFooter differentFirst="1">
    <oddFooter>&amp;C&amp;"Times New Roman,Regular"&amp;8&amp;P</oddFooter>
    <evenFooter>&amp;C&amp;8&amp;P</evenFooter>
    <firstFooter>&amp;C&amp;8&amp;P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39"/>
  <dimension ref="B1:H39"/>
  <sheetViews>
    <sheetView topLeftCell="A10" workbookViewId="0">
      <selection activeCell="K22" sqref="K22"/>
    </sheetView>
  </sheetViews>
  <sheetFormatPr defaultRowHeight="12.75"/>
  <cols>
    <col min="1" max="1" width="5.140625" customWidth="1"/>
    <col min="2" max="2" width="11.85546875" customWidth="1"/>
    <col min="3" max="3" width="3.85546875" customWidth="1"/>
    <col min="4" max="4" width="15" customWidth="1"/>
    <col min="5" max="5" width="5.85546875" customWidth="1"/>
    <col min="6" max="6" width="10.42578125" customWidth="1"/>
    <col min="7" max="7" width="4" customWidth="1"/>
    <col min="8" max="8" width="19.5703125" customWidth="1"/>
  </cols>
  <sheetData>
    <row r="1" spans="2:8" ht="15.75">
      <c r="B1" s="2582" t="s">
        <v>330</v>
      </c>
      <c r="C1" s="2582"/>
      <c r="D1" s="2582"/>
      <c r="E1" s="2582"/>
      <c r="F1" s="2582"/>
      <c r="G1" s="2582"/>
      <c r="H1" s="2582"/>
    </row>
    <row r="2" spans="2:8" s="4" customFormat="1" ht="12">
      <c r="B2" s="2583" t="s">
        <v>1320</v>
      </c>
      <c r="C2" s="2583"/>
      <c r="D2" s="2583"/>
      <c r="E2" s="2583"/>
      <c r="F2" s="2583"/>
      <c r="G2" s="2583"/>
      <c r="H2" s="2583"/>
    </row>
    <row r="3" spans="2:8">
      <c r="B3" s="179"/>
      <c r="C3" s="179"/>
      <c r="D3" s="179"/>
      <c r="E3" s="179"/>
      <c r="F3" s="179"/>
      <c r="G3" s="179"/>
      <c r="H3" s="179"/>
    </row>
    <row r="4" spans="2:8">
      <c r="B4" s="1055"/>
      <c r="C4" s="1055"/>
      <c r="D4" s="1055"/>
      <c r="E4" s="1055"/>
      <c r="F4" s="1055"/>
      <c r="G4" s="1055"/>
      <c r="H4" s="1055"/>
    </row>
    <row r="5" spans="2:8" ht="15" customHeight="1">
      <c r="B5" s="180" t="s">
        <v>392</v>
      </c>
      <c r="C5" s="181" t="s">
        <v>393</v>
      </c>
      <c r="D5" s="1055" t="s">
        <v>394</v>
      </c>
      <c r="E5" s="1055"/>
      <c r="F5" s="1055" t="s">
        <v>395</v>
      </c>
      <c r="G5" s="1055" t="s">
        <v>393</v>
      </c>
      <c r="H5" s="1055" t="s">
        <v>396</v>
      </c>
    </row>
    <row r="6" spans="2:8" ht="15" customHeight="1">
      <c r="B6" s="1055"/>
      <c r="C6" s="181" t="s">
        <v>393</v>
      </c>
      <c r="D6" s="181" t="s">
        <v>397</v>
      </c>
      <c r="E6" s="181"/>
      <c r="F6" s="181"/>
      <c r="G6" s="181" t="s">
        <v>393</v>
      </c>
      <c r="H6" s="181" t="s">
        <v>398</v>
      </c>
    </row>
    <row r="7" spans="2:8" ht="15" customHeight="1">
      <c r="B7" s="1055"/>
      <c r="C7" s="1055"/>
      <c r="D7" s="181"/>
      <c r="E7" s="181"/>
      <c r="F7" s="181"/>
      <c r="G7" s="181"/>
      <c r="H7" s="181"/>
    </row>
    <row r="8" spans="2:8" ht="15" customHeight="1">
      <c r="B8" s="181" t="s">
        <v>399</v>
      </c>
      <c r="C8" s="181" t="s">
        <v>393</v>
      </c>
      <c r="D8" s="181" t="s">
        <v>400</v>
      </c>
      <c r="E8" s="181"/>
      <c r="F8" s="181" t="s">
        <v>401</v>
      </c>
      <c r="G8" s="181" t="s">
        <v>393</v>
      </c>
      <c r="H8" s="181" t="s">
        <v>402</v>
      </c>
    </row>
    <row r="9" spans="2:8" ht="15" customHeight="1">
      <c r="B9" s="1055"/>
      <c r="C9" s="181"/>
      <c r="D9" s="181"/>
      <c r="E9" s="181"/>
      <c r="F9" s="181"/>
      <c r="G9" s="181" t="s">
        <v>393</v>
      </c>
      <c r="H9" s="181" t="s">
        <v>404</v>
      </c>
    </row>
    <row r="10" spans="2:8" ht="15" customHeight="1">
      <c r="B10" s="1055"/>
      <c r="C10" s="181"/>
      <c r="D10" s="181"/>
      <c r="E10" s="181"/>
      <c r="F10" s="181"/>
      <c r="G10" s="181"/>
      <c r="H10" s="181"/>
    </row>
    <row r="11" spans="2:8" ht="15" customHeight="1">
      <c r="B11" s="181" t="s">
        <v>405</v>
      </c>
      <c r="C11" s="181" t="s">
        <v>393</v>
      </c>
      <c r="D11" s="181" t="s">
        <v>406</v>
      </c>
      <c r="E11" s="181"/>
      <c r="F11" s="181" t="s">
        <v>407</v>
      </c>
      <c r="G11" s="181" t="s">
        <v>393</v>
      </c>
      <c r="H11" s="181" t="s">
        <v>408</v>
      </c>
    </row>
    <row r="12" spans="2:8" ht="15" customHeight="1">
      <c r="B12" s="181" t="s">
        <v>409</v>
      </c>
      <c r="C12" s="181" t="s">
        <v>393</v>
      </c>
      <c r="D12" s="181" t="s">
        <v>410</v>
      </c>
      <c r="E12" s="181"/>
      <c r="F12" s="181"/>
      <c r="G12" s="181" t="s">
        <v>393</v>
      </c>
      <c r="H12" s="181" t="s">
        <v>411</v>
      </c>
    </row>
    <row r="13" spans="2:8" ht="15" customHeight="1">
      <c r="B13" s="181"/>
      <c r="C13" s="181"/>
      <c r="D13" s="181"/>
      <c r="E13" s="181"/>
      <c r="F13" s="181"/>
      <c r="G13" s="181"/>
      <c r="H13" s="181"/>
    </row>
    <row r="14" spans="2:8" ht="15" customHeight="1">
      <c r="B14" s="181"/>
      <c r="C14" s="181"/>
      <c r="D14" s="181"/>
      <c r="E14" s="181"/>
      <c r="F14" s="181" t="s">
        <v>412</v>
      </c>
      <c r="G14" s="181" t="s">
        <v>393</v>
      </c>
      <c r="H14" s="181" t="s">
        <v>413</v>
      </c>
    </row>
    <row r="15" spans="2:8" ht="15" customHeight="1">
      <c r="B15" s="181" t="s">
        <v>414</v>
      </c>
      <c r="C15" s="181" t="s">
        <v>393</v>
      </c>
      <c r="D15" s="181" t="s">
        <v>415</v>
      </c>
      <c r="E15" s="181"/>
      <c r="F15" s="181"/>
      <c r="G15" s="181" t="s">
        <v>393</v>
      </c>
      <c r="H15" s="181" t="s">
        <v>416</v>
      </c>
    </row>
    <row r="16" spans="2:8" ht="15" customHeight="1">
      <c r="B16" s="181"/>
      <c r="C16" s="181" t="s">
        <v>393</v>
      </c>
      <c r="D16" s="181" t="s">
        <v>417</v>
      </c>
      <c r="E16" s="181"/>
      <c r="F16" s="181"/>
      <c r="G16" s="181"/>
      <c r="H16" s="181"/>
    </row>
    <row r="17" spans="2:8" ht="15" customHeight="1">
      <c r="B17" s="181"/>
      <c r="C17" s="181"/>
      <c r="E17" s="181"/>
      <c r="F17" s="181" t="s">
        <v>418</v>
      </c>
      <c r="G17" s="181" t="s">
        <v>393</v>
      </c>
      <c r="H17" s="181" t="s">
        <v>419</v>
      </c>
    </row>
    <row r="18" spans="2:8" ht="15" customHeight="1">
      <c r="B18" s="182" t="s">
        <v>420</v>
      </c>
      <c r="C18" s="181" t="s">
        <v>393</v>
      </c>
      <c r="D18" s="181" t="s">
        <v>423</v>
      </c>
      <c r="E18" s="181"/>
      <c r="F18" s="181" t="s">
        <v>421</v>
      </c>
      <c r="G18" s="181" t="s">
        <v>393</v>
      </c>
      <c r="H18" s="181" t="s">
        <v>422</v>
      </c>
    </row>
    <row r="19" spans="2:8" ht="15" customHeight="1">
      <c r="B19" s="2"/>
      <c r="C19" s="181" t="s">
        <v>393</v>
      </c>
      <c r="D19" s="182" t="s">
        <v>1210</v>
      </c>
      <c r="E19" s="181"/>
      <c r="F19" s="181" t="s">
        <v>480</v>
      </c>
      <c r="G19" s="181" t="s">
        <v>393</v>
      </c>
      <c r="H19" s="181" t="s">
        <v>424</v>
      </c>
    </row>
    <row r="20" spans="2:8" ht="15" customHeight="1">
      <c r="B20" s="181" t="s">
        <v>425</v>
      </c>
      <c r="C20" s="181" t="s">
        <v>393</v>
      </c>
      <c r="D20" s="181" t="s">
        <v>426</v>
      </c>
      <c r="E20" s="181"/>
      <c r="F20" s="181" t="s">
        <v>427</v>
      </c>
      <c r="G20" s="181" t="s">
        <v>393</v>
      </c>
      <c r="H20" s="181" t="s">
        <v>428</v>
      </c>
    </row>
    <row r="21" spans="2:8" ht="15" customHeight="1">
      <c r="B21" s="181"/>
      <c r="C21" s="181" t="s">
        <v>393</v>
      </c>
      <c r="D21" s="181" t="s">
        <v>429</v>
      </c>
      <c r="E21" s="181"/>
      <c r="F21" s="181" t="s">
        <v>430</v>
      </c>
      <c r="G21" s="181" t="s">
        <v>393</v>
      </c>
      <c r="H21" s="181" t="s">
        <v>431</v>
      </c>
    </row>
    <row r="22" spans="2:8" ht="15" customHeight="1">
      <c r="B22" s="181"/>
      <c r="C22" s="181" t="s">
        <v>393</v>
      </c>
      <c r="D22" s="181" t="s">
        <v>432</v>
      </c>
      <c r="E22" s="181"/>
      <c r="F22" s="181"/>
      <c r="G22" s="181" t="s">
        <v>393</v>
      </c>
      <c r="H22" s="181" t="s">
        <v>435</v>
      </c>
    </row>
    <row r="23" spans="2:8" ht="15" customHeight="1">
      <c r="B23" s="181"/>
      <c r="C23" s="181" t="s">
        <v>393</v>
      </c>
      <c r="D23" s="181" t="s">
        <v>436</v>
      </c>
      <c r="E23" s="181"/>
      <c r="F23" s="181"/>
      <c r="G23" s="181"/>
      <c r="H23" s="181"/>
    </row>
    <row r="24" spans="2:8" ht="15" customHeight="1">
      <c r="B24" s="181"/>
      <c r="C24" s="181"/>
      <c r="D24" s="181"/>
      <c r="E24" s="181"/>
      <c r="F24" s="181" t="s">
        <v>478</v>
      </c>
      <c r="G24" s="181" t="s">
        <v>393</v>
      </c>
      <c r="H24" s="181" t="s">
        <v>440</v>
      </c>
    </row>
    <row r="25" spans="2:8" ht="15" customHeight="1">
      <c r="B25" s="181" t="s">
        <v>441</v>
      </c>
      <c r="C25" s="181" t="s">
        <v>393</v>
      </c>
      <c r="D25" s="181" t="s">
        <v>442</v>
      </c>
      <c r="E25" s="181"/>
      <c r="F25" s="181"/>
      <c r="G25" s="181" t="s">
        <v>393</v>
      </c>
      <c r="H25" s="181" t="s">
        <v>443</v>
      </c>
    </row>
    <row r="26" spans="2:8" ht="15" customHeight="1">
      <c r="B26" s="181"/>
      <c r="C26" s="181" t="s">
        <v>393</v>
      </c>
      <c r="D26" s="181" t="s">
        <v>444</v>
      </c>
      <c r="E26" s="181"/>
      <c r="F26" s="181"/>
      <c r="G26" s="181" t="s">
        <v>393</v>
      </c>
      <c r="H26" s="181" t="s">
        <v>445</v>
      </c>
    </row>
    <row r="27" spans="2:8" ht="15" customHeight="1">
      <c r="B27" s="181"/>
      <c r="C27" s="183" t="s">
        <v>393</v>
      </c>
      <c r="D27" s="183" t="s">
        <v>446</v>
      </c>
      <c r="E27" s="181"/>
      <c r="F27" s="181"/>
      <c r="G27" s="181"/>
      <c r="H27" s="181"/>
    </row>
    <row r="28" spans="2:8" ht="15" customHeight="1">
      <c r="B28" s="181"/>
      <c r="C28" s="181"/>
      <c r="D28" s="181"/>
      <c r="E28" s="181"/>
      <c r="F28" s="181" t="s">
        <v>447</v>
      </c>
      <c r="G28" s="181" t="s">
        <v>393</v>
      </c>
      <c r="H28" s="181" t="s">
        <v>448</v>
      </c>
    </row>
    <row r="29" spans="2:8" ht="15" customHeight="1">
      <c r="B29" s="181" t="s">
        <v>449</v>
      </c>
      <c r="C29" s="181" t="s">
        <v>393</v>
      </c>
      <c r="D29" s="181" t="s">
        <v>450</v>
      </c>
      <c r="E29" s="181"/>
      <c r="F29" s="181" t="s">
        <v>451</v>
      </c>
      <c r="G29" s="181" t="s">
        <v>393</v>
      </c>
      <c r="H29" s="181" t="s">
        <v>452</v>
      </c>
    </row>
    <row r="30" spans="2:8" ht="15" customHeight="1">
      <c r="B30" s="181"/>
      <c r="C30" s="181" t="s">
        <v>393</v>
      </c>
      <c r="D30" s="181" t="s">
        <v>453</v>
      </c>
      <c r="E30" s="181"/>
      <c r="F30" s="181"/>
      <c r="G30" s="181" t="s">
        <v>393</v>
      </c>
      <c r="H30" s="181" t="s">
        <v>454</v>
      </c>
    </row>
    <row r="31" spans="2:8" ht="15" customHeight="1">
      <c r="B31" s="181"/>
      <c r="C31" s="181"/>
      <c r="D31" s="181"/>
      <c r="E31" s="181"/>
      <c r="F31" s="181"/>
      <c r="G31" s="181" t="s">
        <v>393</v>
      </c>
      <c r="H31" s="181" t="s">
        <v>479</v>
      </c>
    </row>
    <row r="32" spans="2:8" ht="15" customHeight="1">
      <c r="B32" s="181" t="s">
        <v>455</v>
      </c>
      <c r="C32" s="181" t="s">
        <v>393</v>
      </c>
      <c r="D32" s="181" t="s">
        <v>456</v>
      </c>
      <c r="E32" s="181"/>
      <c r="F32" s="181"/>
      <c r="G32" s="181" t="s">
        <v>393</v>
      </c>
      <c r="H32" s="181" t="s">
        <v>329</v>
      </c>
    </row>
    <row r="33" spans="2:8" ht="15" customHeight="1">
      <c r="B33" s="181"/>
      <c r="C33" s="181" t="s">
        <v>393</v>
      </c>
      <c r="D33" s="181" t="s">
        <v>457</v>
      </c>
      <c r="E33" s="181"/>
    </row>
    <row r="34" spans="2:8" ht="15" customHeight="1">
      <c r="B34" s="181"/>
      <c r="C34" s="181" t="s">
        <v>393</v>
      </c>
      <c r="D34" s="181" t="s">
        <v>460</v>
      </c>
      <c r="E34" s="181"/>
      <c r="F34" s="181" t="s">
        <v>458</v>
      </c>
      <c r="G34" s="181" t="s">
        <v>393</v>
      </c>
      <c r="H34" s="181" t="s">
        <v>459</v>
      </c>
    </row>
    <row r="35" spans="2:8" ht="15" customHeight="1">
      <c r="B35" s="181"/>
      <c r="C35" s="181"/>
      <c r="D35" s="181"/>
      <c r="E35" s="181"/>
      <c r="F35" s="181" t="s">
        <v>327</v>
      </c>
      <c r="G35" s="181" t="s">
        <v>393</v>
      </c>
      <c r="H35" s="181" t="s">
        <v>328</v>
      </c>
    </row>
    <row r="36" spans="2:8" ht="15" customHeight="1">
      <c r="B36" s="181" t="s">
        <v>461</v>
      </c>
      <c r="C36" s="181" t="s">
        <v>393</v>
      </c>
      <c r="D36" s="181" t="s">
        <v>462</v>
      </c>
      <c r="E36" s="181"/>
      <c r="F36" s="181" t="s">
        <v>734</v>
      </c>
      <c r="G36" s="181" t="s">
        <v>393</v>
      </c>
      <c r="H36" s="181" t="s">
        <v>326</v>
      </c>
    </row>
    <row r="37" spans="2:8" ht="15" customHeight="1" thickBot="1">
      <c r="B37" s="341"/>
      <c r="C37" s="341"/>
      <c r="D37" s="342"/>
      <c r="E37" s="342"/>
      <c r="F37" s="342"/>
      <c r="G37" s="342"/>
      <c r="H37" s="342"/>
    </row>
    <row r="38" spans="2:8" ht="15" customHeight="1">
      <c r="B38" s="2584" t="s">
        <v>1321</v>
      </c>
      <c r="C38" s="2584"/>
      <c r="D38" s="2584"/>
      <c r="E38" s="2584"/>
      <c r="F38" s="2584"/>
      <c r="G38" s="2584"/>
      <c r="H38" s="2584"/>
    </row>
    <row r="39" spans="2:8">
      <c r="B39" s="2"/>
      <c r="C39" s="2"/>
      <c r="D39" s="2"/>
      <c r="E39" s="2"/>
      <c r="F39" s="2"/>
      <c r="G39" s="2"/>
      <c r="H39" s="2"/>
    </row>
  </sheetData>
  <customSheetViews>
    <customSheetView guid="{A374FC54-96E3-45F0-9C12-8450400C12DF}" topLeftCell="A18">
      <selection activeCell="K40" sqref="K40"/>
      <pageMargins left="0.70866141732283505" right="0.70866141732283505" top="0.74803149606299202" bottom="0.74803149606299202" header="0.31496062992126" footer="0.31496062992126"/>
      <pageSetup paperSize="132" firstPageNumber="114" orientation="portrait" useFirstPageNumber="1" r:id="rId1"/>
      <headerFooter differentFirst="1">
        <oddFooter>&amp;C&amp;"Times New Roman,Regular"&amp;8&amp;P</oddFooter>
        <firstFooter>&amp;C&amp;"Times New Roman,Regular"&amp;8 114</firstFooter>
      </headerFooter>
    </customSheetView>
  </customSheetViews>
  <mergeCells count="3">
    <mergeCell ref="B1:H1"/>
    <mergeCell ref="B2:H2"/>
    <mergeCell ref="B38:H38"/>
  </mergeCells>
  <pageMargins left="0.70866141732283505" right="0.70866141732283505" top="0.74803149606299202" bottom="0.74803149606299202" header="0.31496062992126" footer="0.31496062992126"/>
  <pageSetup paperSize="448" firstPageNumber="118" orientation="portrait" useFirstPageNumber="1" r:id="rId2"/>
  <headerFooter differentFirst="1">
    <oddFooter>&amp;C&amp;"Times New Roman,Regular"&amp;8&amp;P</oddFooter>
    <firstFooter>&amp;C&amp;"Times New Roman,Regular"&amp;8 118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S82"/>
  <sheetViews>
    <sheetView zoomScale="160" zoomScaleNormal="160" workbookViewId="0">
      <pane xSplit="1" ySplit="8" topLeftCell="C50" activePane="bottomRight" state="frozen"/>
      <selection activeCell="F85" sqref="F85"/>
      <selection pane="topRight" activeCell="F85" sqref="F85"/>
      <selection pane="bottomLeft" activeCell="F85" sqref="F85"/>
      <selection pane="bottomRight" activeCell="G61" sqref="G61"/>
    </sheetView>
  </sheetViews>
  <sheetFormatPr defaultColWidth="9.140625" defaultRowHeight="11.25"/>
  <cols>
    <col min="1" max="1" width="8.5703125" style="8" customWidth="1"/>
    <col min="2" max="2" width="9.5703125" style="8" customWidth="1"/>
    <col min="3" max="3" width="10.140625" style="8" customWidth="1"/>
    <col min="4" max="4" width="12" style="8" bestFit="1" customWidth="1"/>
    <col min="5" max="5" width="10.85546875" style="8" customWidth="1"/>
    <col min="6" max="6" width="10.28515625" style="8" customWidth="1"/>
    <col min="7" max="7" width="8" style="8" customWidth="1"/>
    <col min="8" max="8" width="9.140625" style="8"/>
    <col min="9" max="9" width="9.140625" style="8" customWidth="1"/>
    <col min="10" max="10" width="10" style="8" customWidth="1"/>
    <col min="11" max="11" width="10.28515625" style="8" customWidth="1"/>
    <col min="12" max="12" width="10.5703125" style="8" customWidth="1"/>
    <col min="13" max="13" width="9.28515625" style="8" customWidth="1"/>
    <col min="14" max="14" width="9.140625" style="8" customWidth="1"/>
    <col min="15" max="15" width="9.28515625" style="8" customWidth="1"/>
    <col min="16" max="16" width="9" style="8" customWidth="1"/>
    <col min="17" max="16384" width="9.140625" style="8"/>
  </cols>
  <sheetData>
    <row r="1" spans="1:16" s="33" customFormat="1" ht="15" customHeight="1">
      <c r="A1" s="2012"/>
      <c r="B1" s="2012"/>
      <c r="C1" s="2012"/>
      <c r="D1" s="2012"/>
      <c r="E1" s="2012"/>
      <c r="F1" s="2012"/>
      <c r="G1" s="2001" t="s">
        <v>377</v>
      </c>
      <c r="H1" s="2001"/>
      <c r="I1" s="2006" t="s">
        <v>1372</v>
      </c>
      <c r="J1" s="2006"/>
      <c r="K1" s="34"/>
      <c r="L1" s="34"/>
      <c r="M1" s="34"/>
      <c r="N1" s="34"/>
      <c r="O1" s="2001" t="s">
        <v>194</v>
      </c>
      <c r="P1" s="2001"/>
    </row>
    <row r="2" spans="1:16" ht="12" customHeight="1">
      <c r="A2" s="43"/>
      <c r="O2" s="2002" t="s">
        <v>24</v>
      </c>
      <c r="P2" s="2003"/>
    </row>
    <row r="3" spans="1:16" s="169" customFormat="1" ht="15" customHeight="1">
      <c r="A3" s="1924" t="s">
        <v>917</v>
      </c>
      <c r="B3" s="2010" t="s">
        <v>488</v>
      </c>
      <c r="C3" s="2010"/>
      <c r="D3" s="2020"/>
      <c r="E3" s="2009" t="s">
        <v>314</v>
      </c>
      <c r="F3" s="2010"/>
      <c r="G3" s="2010"/>
      <c r="H3" s="2010"/>
      <c r="I3" s="2010" t="s">
        <v>575</v>
      </c>
      <c r="J3" s="2010"/>
      <c r="K3" s="2010"/>
      <c r="L3" s="1341"/>
      <c r="M3" s="1996" t="s">
        <v>920</v>
      </c>
      <c r="N3" s="1996" t="s">
        <v>921</v>
      </c>
      <c r="O3" s="2004" t="s">
        <v>1373</v>
      </c>
      <c r="P3" s="1924" t="s">
        <v>917</v>
      </c>
    </row>
    <row r="4" spans="1:16" s="169" customFormat="1" ht="15" customHeight="1">
      <c r="A4" s="1925"/>
      <c r="B4" s="2021" t="s">
        <v>127</v>
      </c>
      <c r="C4" s="1996" t="s">
        <v>128</v>
      </c>
      <c r="D4" s="1996" t="s">
        <v>1025</v>
      </c>
      <c r="E4" s="2013" t="s">
        <v>180</v>
      </c>
      <c r="F4" s="2014"/>
      <c r="G4" s="2014"/>
      <c r="H4" s="2014"/>
      <c r="I4" s="2014"/>
      <c r="J4" s="2015"/>
      <c r="K4" s="2007" t="s">
        <v>919</v>
      </c>
      <c r="L4" s="1996" t="s">
        <v>583</v>
      </c>
      <c r="M4" s="1997"/>
      <c r="N4" s="1997"/>
      <c r="O4" s="2005"/>
      <c r="P4" s="1925"/>
    </row>
    <row r="5" spans="1:16" s="169" customFormat="1" ht="15" customHeight="1">
      <c r="A5" s="1925"/>
      <c r="B5" s="2022"/>
      <c r="C5" s="1997"/>
      <c r="D5" s="1997"/>
      <c r="E5" s="2017" t="s">
        <v>490</v>
      </c>
      <c r="F5" s="2018"/>
      <c r="G5" s="2019"/>
      <c r="H5" s="2023" t="s">
        <v>183</v>
      </c>
      <c r="I5" s="2024"/>
      <c r="J5" s="2021"/>
      <c r="K5" s="2008"/>
      <c r="L5" s="1997"/>
      <c r="M5" s="1997"/>
      <c r="N5" s="1997"/>
      <c r="O5" s="2005"/>
      <c r="P5" s="1925"/>
    </row>
    <row r="6" spans="1:16" s="169" customFormat="1" ht="15" customHeight="1">
      <c r="A6" s="1925"/>
      <c r="B6" s="2022"/>
      <c r="C6" s="1997"/>
      <c r="D6" s="1997"/>
      <c r="E6" s="1996" t="s">
        <v>127</v>
      </c>
      <c r="F6" s="1996" t="s">
        <v>128</v>
      </c>
      <c r="G6" s="2004" t="s">
        <v>1360</v>
      </c>
      <c r="H6" s="1900" t="s">
        <v>127</v>
      </c>
      <c r="I6" s="1900" t="s">
        <v>128</v>
      </c>
      <c r="J6" s="2025" t="s">
        <v>918</v>
      </c>
      <c r="K6" s="2008"/>
      <c r="L6" s="1997"/>
      <c r="M6" s="1997"/>
      <c r="N6" s="1997"/>
      <c r="O6" s="2005"/>
      <c r="P6" s="1925"/>
    </row>
    <row r="7" spans="1:16" s="169" customFormat="1" ht="15" customHeight="1">
      <c r="A7" s="1925"/>
      <c r="B7" s="2022"/>
      <c r="C7" s="1997"/>
      <c r="D7" s="1997"/>
      <c r="E7" s="1997"/>
      <c r="F7" s="1997"/>
      <c r="G7" s="2005"/>
      <c r="H7" s="1901"/>
      <c r="I7" s="1901"/>
      <c r="J7" s="2026"/>
      <c r="K7" s="2008"/>
      <c r="L7" s="2016"/>
      <c r="M7" s="1997"/>
      <c r="N7" s="1997"/>
      <c r="O7" s="2005"/>
      <c r="P7" s="1925"/>
    </row>
    <row r="8" spans="1:16" s="12" customFormat="1" ht="15" customHeight="1">
      <c r="A8" s="1926"/>
      <c r="B8" s="44">
        <v>1</v>
      </c>
      <c r="C8" s="44">
        <v>2</v>
      </c>
      <c r="D8" s="44">
        <v>3</v>
      </c>
      <c r="E8" s="44">
        <v>4</v>
      </c>
      <c r="F8" s="44">
        <v>5</v>
      </c>
      <c r="G8" s="44">
        <v>6</v>
      </c>
      <c r="H8" s="44">
        <v>7</v>
      </c>
      <c r="I8" s="44">
        <v>8</v>
      </c>
      <c r="J8" s="44">
        <v>9</v>
      </c>
      <c r="K8" s="44">
        <v>10</v>
      </c>
      <c r="L8" s="44">
        <v>11</v>
      </c>
      <c r="M8" s="44">
        <v>12</v>
      </c>
      <c r="N8" s="44">
        <v>13</v>
      </c>
      <c r="O8" s="44">
        <v>14</v>
      </c>
      <c r="P8" s="1926"/>
    </row>
    <row r="9" spans="1:16" ht="11.45" customHeight="1">
      <c r="A9" s="308" t="s">
        <v>81</v>
      </c>
      <c r="B9" s="465">
        <v>61181</v>
      </c>
      <c r="C9" s="298">
        <v>5868.8</v>
      </c>
      <c r="D9" s="298">
        <f t="shared" ref="D9:D11" si="0">B9+C9</f>
        <v>67049.8</v>
      </c>
      <c r="E9" s="513">
        <v>21471.200000000001</v>
      </c>
      <c r="F9" s="513">
        <v>32781.699999999997</v>
      </c>
      <c r="G9" s="298">
        <f t="shared" ref="G9:G10" si="1">E9+F9</f>
        <v>54252.899999999994</v>
      </c>
      <c r="H9" s="298">
        <v>830.7</v>
      </c>
      <c r="I9" s="513">
        <v>11983.2</v>
      </c>
      <c r="J9" s="298">
        <f t="shared" ref="J9:J10" si="2">H9+I9</f>
        <v>12813.900000000001</v>
      </c>
      <c r="K9" s="294">
        <v>270760.8</v>
      </c>
      <c r="L9" s="289">
        <f t="shared" ref="L9:L10" si="3">G9+J9+K9</f>
        <v>337827.6</v>
      </c>
      <c r="M9" s="513">
        <v>-41846</v>
      </c>
      <c r="N9" s="289">
        <f t="shared" ref="N9" si="4">L9+M9</f>
        <v>295981.59999999998</v>
      </c>
      <c r="O9" s="294">
        <v>363031.2</v>
      </c>
      <c r="P9" s="309" t="s">
        <v>81</v>
      </c>
    </row>
    <row r="10" spans="1:16" s="164" customFormat="1" ht="11.45" customHeight="1">
      <c r="A10" s="510" t="s">
        <v>190</v>
      </c>
      <c r="B10" s="464">
        <v>61342.1</v>
      </c>
      <c r="C10" s="27">
        <v>9231.2999999999993</v>
      </c>
      <c r="D10" s="27">
        <f t="shared" si="0"/>
        <v>70573.399999999994</v>
      </c>
      <c r="E10" s="494">
        <v>31710.5</v>
      </c>
      <c r="F10" s="494">
        <v>41517.4</v>
      </c>
      <c r="G10" s="27">
        <f t="shared" si="1"/>
        <v>73227.899999999994</v>
      </c>
      <c r="H10" s="27">
        <v>776.7</v>
      </c>
      <c r="I10" s="494">
        <v>16175.7</v>
      </c>
      <c r="J10" s="27">
        <f t="shared" si="2"/>
        <v>16952.400000000001</v>
      </c>
      <c r="K10" s="255">
        <v>340712.7</v>
      </c>
      <c r="L10" s="230">
        <f t="shared" si="3"/>
        <v>430893</v>
      </c>
      <c r="M10" s="494">
        <v>-60946.400000000001</v>
      </c>
      <c r="N10" s="230">
        <v>369946.5</v>
      </c>
      <c r="O10" s="255">
        <v>440519.9</v>
      </c>
      <c r="P10" s="505" t="s">
        <v>190</v>
      </c>
    </row>
    <row r="11" spans="1:16" s="164" customFormat="1" ht="11.45" customHeight="1">
      <c r="A11" s="308" t="s">
        <v>731</v>
      </c>
      <c r="B11" s="465">
        <v>68930.100000000006</v>
      </c>
      <c r="C11" s="298">
        <v>9888.6</v>
      </c>
      <c r="D11" s="298">
        <f t="shared" si="0"/>
        <v>78818.700000000012</v>
      </c>
      <c r="E11" s="513">
        <v>37854.9</v>
      </c>
      <c r="F11" s="513">
        <v>53873.9</v>
      </c>
      <c r="G11" s="298">
        <v>91728.9</v>
      </c>
      <c r="H11" s="298">
        <v>1181.9000000000001</v>
      </c>
      <c r="I11" s="513">
        <v>14160.2</v>
      </c>
      <c r="J11" s="298">
        <v>15342.1</v>
      </c>
      <c r="K11" s="294">
        <v>407901.60000000003</v>
      </c>
      <c r="L11" s="289">
        <v>514972.60000000003</v>
      </c>
      <c r="M11" s="513">
        <v>-76681.7</v>
      </c>
      <c r="N11" s="289">
        <v>438290.80000000005</v>
      </c>
      <c r="O11" s="294">
        <v>517109.50000000006</v>
      </c>
      <c r="P11" s="309" t="s">
        <v>731</v>
      </c>
    </row>
    <row r="12" spans="1:16" s="164" customFormat="1" ht="11.45" customHeight="1">
      <c r="A12" s="510" t="s">
        <v>840</v>
      </c>
      <c r="B12" s="464">
        <v>103246</v>
      </c>
      <c r="C12" s="27">
        <v>10004.200000000001</v>
      </c>
      <c r="D12" s="27">
        <v>113250.2</v>
      </c>
      <c r="E12" s="494">
        <v>27069</v>
      </c>
      <c r="F12" s="494">
        <v>83055.600000000006</v>
      </c>
      <c r="G12" s="27">
        <v>110124.6</v>
      </c>
      <c r="H12" s="27">
        <v>1354.5</v>
      </c>
      <c r="I12" s="494">
        <v>8100.8</v>
      </c>
      <c r="J12" s="27">
        <v>9455.2999999999993</v>
      </c>
      <c r="K12" s="255">
        <v>452157.2</v>
      </c>
      <c r="L12" s="230">
        <v>571737.1</v>
      </c>
      <c r="M12" s="494">
        <v>-81481.7</v>
      </c>
      <c r="N12" s="230">
        <f>L12+M12</f>
        <v>490255.39999999997</v>
      </c>
      <c r="O12" s="230">
        <f>D12+N12</f>
        <v>603505.6</v>
      </c>
      <c r="P12" s="505" t="s">
        <v>840</v>
      </c>
    </row>
    <row r="13" spans="1:16" s="255" customFormat="1" ht="11.45" customHeight="1">
      <c r="A13" s="287" t="s">
        <v>1019</v>
      </c>
      <c r="B13" s="289">
        <v>147496.6</v>
      </c>
      <c r="C13" s="289">
        <v>12560</v>
      </c>
      <c r="D13" s="289">
        <v>160056.6</v>
      </c>
      <c r="E13" s="289">
        <v>3840.6</v>
      </c>
      <c r="F13" s="289">
        <v>113688.8</v>
      </c>
      <c r="G13" s="289">
        <v>117529.40000000001</v>
      </c>
      <c r="H13" s="289">
        <v>1202.7</v>
      </c>
      <c r="I13" s="289">
        <v>11534.2</v>
      </c>
      <c r="J13" s="289">
        <v>12736.900000000001</v>
      </c>
      <c r="K13" s="289">
        <v>507639.9</v>
      </c>
      <c r="L13" s="289">
        <v>637906.20000000007</v>
      </c>
      <c r="M13" s="289">
        <v>-97339.3</v>
      </c>
      <c r="N13" s="289">
        <v>540566.9</v>
      </c>
      <c r="O13" s="289">
        <v>700623.5</v>
      </c>
      <c r="P13" s="378" t="s">
        <v>1019</v>
      </c>
    </row>
    <row r="14" spans="1:16" s="255" customFormat="1" ht="11.45" customHeight="1">
      <c r="A14" s="228" t="s">
        <v>1070</v>
      </c>
      <c r="B14" s="469">
        <v>177401.3</v>
      </c>
      <c r="C14" s="469">
        <v>11827.5</v>
      </c>
      <c r="D14" s="468">
        <v>189228.79999999999</v>
      </c>
      <c r="E14" s="468">
        <v>810.5</v>
      </c>
      <c r="F14" s="468">
        <v>109446.8</v>
      </c>
      <c r="G14" s="468">
        <v>110257.3</v>
      </c>
      <c r="H14" s="468">
        <v>2160.8000000000002</v>
      </c>
      <c r="I14" s="468">
        <v>14509</v>
      </c>
      <c r="J14" s="468">
        <v>16669.8</v>
      </c>
      <c r="K14" s="468">
        <v>574599.4</v>
      </c>
      <c r="L14" s="468">
        <v>701526.5</v>
      </c>
      <c r="M14" s="468">
        <v>-103141.2</v>
      </c>
      <c r="N14" s="468">
        <v>598385.30000000005</v>
      </c>
      <c r="O14" s="468">
        <v>787614.10000000009</v>
      </c>
      <c r="P14" s="401" t="s">
        <v>1070</v>
      </c>
    </row>
    <row r="15" spans="1:16" s="95" customFormat="1" ht="11.45" customHeight="1">
      <c r="A15" s="326" t="s">
        <v>1193</v>
      </c>
      <c r="B15" s="289">
        <v>218904.1</v>
      </c>
      <c r="C15" s="289">
        <v>14231.5</v>
      </c>
      <c r="D15" s="289">
        <v>233135.6</v>
      </c>
      <c r="E15" s="289">
        <v>13373.7</v>
      </c>
      <c r="F15" s="289">
        <v>100845.9</v>
      </c>
      <c r="G15" s="289">
        <v>114219.59999999999</v>
      </c>
      <c r="H15" s="289">
        <v>2015.5</v>
      </c>
      <c r="I15" s="289">
        <v>14035.6</v>
      </c>
      <c r="J15" s="289">
        <v>16051.1</v>
      </c>
      <c r="K15" s="289">
        <v>671009.30000000005</v>
      </c>
      <c r="L15" s="289">
        <v>801280</v>
      </c>
      <c r="M15" s="289">
        <v>-118037.8</v>
      </c>
      <c r="N15" s="289">
        <v>683242.2</v>
      </c>
      <c r="O15" s="289">
        <v>916377.79999999993</v>
      </c>
      <c r="P15" s="355" t="s">
        <v>1193</v>
      </c>
    </row>
    <row r="16" spans="1:16" s="250" customFormat="1" ht="11.45" customHeight="1">
      <c r="A16" s="253" t="s">
        <v>1225</v>
      </c>
      <c r="B16" s="230">
        <v>252027</v>
      </c>
      <c r="C16" s="230">
        <v>14670</v>
      </c>
      <c r="D16" s="230">
        <v>266697</v>
      </c>
      <c r="E16" s="230">
        <v>12977.7</v>
      </c>
      <c r="F16" s="230">
        <v>84355.8</v>
      </c>
      <c r="G16" s="230">
        <v>97333.5</v>
      </c>
      <c r="H16" s="230">
        <v>2157.8000000000002</v>
      </c>
      <c r="I16" s="230">
        <v>15122.4</v>
      </c>
      <c r="J16" s="230">
        <v>17280.2</v>
      </c>
      <c r="K16" s="230">
        <v>776056.5</v>
      </c>
      <c r="L16" s="230">
        <v>890670.2</v>
      </c>
      <c r="M16" s="230">
        <v>-141291.1</v>
      </c>
      <c r="N16" s="230">
        <v>749379.1</v>
      </c>
      <c r="O16" s="230">
        <v>1016076.1</v>
      </c>
      <c r="P16" s="379" t="s">
        <v>1225</v>
      </c>
    </row>
    <row r="17" spans="1:19" s="250" customFormat="1" ht="11.45" customHeight="1">
      <c r="A17" s="326" t="s">
        <v>1350</v>
      </c>
      <c r="B17" s="289">
        <v>253509.8</v>
      </c>
      <c r="C17" s="289">
        <v>11164.6</v>
      </c>
      <c r="D17" s="289">
        <v>264674.39999999997</v>
      </c>
      <c r="E17" s="289">
        <v>22572.2</v>
      </c>
      <c r="F17" s="289">
        <v>72322.7</v>
      </c>
      <c r="G17" s="289">
        <v>94894.9</v>
      </c>
      <c r="H17" s="289">
        <v>2367.8000000000002</v>
      </c>
      <c r="I17" s="289">
        <v>16832.3</v>
      </c>
      <c r="J17" s="289">
        <v>19200.099999999999</v>
      </c>
      <c r="K17" s="289">
        <v>907531.6</v>
      </c>
      <c r="L17" s="289">
        <v>1021626.6</v>
      </c>
      <c r="M17" s="289">
        <v>-176320</v>
      </c>
      <c r="N17" s="289">
        <v>845306.6</v>
      </c>
      <c r="O17" s="289">
        <v>1109981</v>
      </c>
      <c r="P17" s="355" t="s">
        <v>1350</v>
      </c>
    </row>
    <row r="18" spans="1:19" s="263" customFormat="1" ht="11.45" customHeight="1">
      <c r="A18" s="162" t="s">
        <v>1466</v>
      </c>
      <c r="B18" s="230">
        <v>257195.4</v>
      </c>
      <c r="C18" s="230">
        <v>15204.1</v>
      </c>
      <c r="D18" s="230">
        <v>272399.5</v>
      </c>
      <c r="E18" s="230">
        <v>31189</v>
      </c>
      <c r="F18" s="230">
        <v>82084.399999999994</v>
      </c>
      <c r="G18" s="230">
        <v>113273.4</v>
      </c>
      <c r="H18" s="230">
        <v>2380.4</v>
      </c>
      <c r="I18" s="230">
        <v>20975.200000000001</v>
      </c>
      <c r="J18" s="230">
        <v>23355.600000000002</v>
      </c>
      <c r="K18" s="230">
        <v>1010255.7</v>
      </c>
      <c r="L18" s="230">
        <v>1146884.7</v>
      </c>
      <c r="M18" s="230">
        <v>-199672.7</v>
      </c>
      <c r="N18" s="230">
        <v>947212</v>
      </c>
      <c r="O18" s="230">
        <v>1219611.5</v>
      </c>
      <c r="P18" s="209" t="s">
        <v>1466</v>
      </c>
    </row>
    <row r="19" spans="1:19" s="164" customFormat="1" ht="11.45" customHeight="1">
      <c r="A19" s="304" t="s">
        <v>1550</v>
      </c>
      <c r="B19" s="289">
        <v>290174.90000000002</v>
      </c>
      <c r="C19" s="289">
        <v>11295.3</v>
      </c>
      <c r="D19" s="289">
        <v>301470.2</v>
      </c>
      <c r="E19" s="289">
        <v>37114.9</v>
      </c>
      <c r="F19" s="289">
        <v>139033.60000000001</v>
      </c>
      <c r="G19" s="289">
        <v>176148.5</v>
      </c>
      <c r="H19" s="289">
        <v>2551.9</v>
      </c>
      <c r="I19" s="289">
        <v>26663.200000000001</v>
      </c>
      <c r="J19" s="289">
        <v>29215.100000000002</v>
      </c>
      <c r="K19" s="289">
        <v>1097271</v>
      </c>
      <c r="L19" s="289">
        <v>1302634.6000000001</v>
      </c>
      <c r="M19" s="289">
        <v>-230369.8</v>
      </c>
      <c r="N19" s="289">
        <v>1072264.8</v>
      </c>
      <c r="O19" s="289">
        <v>1373735</v>
      </c>
      <c r="P19" s="305" t="s">
        <v>1550</v>
      </c>
    </row>
    <row r="20" spans="1:19" s="162" customFormat="1" ht="11.45" customHeight="1">
      <c r="A20" s="162" t="s">
        <v>1606</v>
      </c>
      <c r="B20" s="230">
        <v>366917.3</v>
      </c>
      <c r="C20" s="230">
        <v>15420.2</v>
      </c>
      <c r="D20" s="230">
        <v>382337.5</v>
      </c>
      <c r="E20" s="230">
        <v>17285.5</v>
      </c>
      <c r="F20" s="230">
        <v>203740.4</v>
      </c>
      <c r="G20" s="230">
        <v>221025.9</v>
      </c>
      <c r="H20" s="230">
        <v>3218.1</v>
      </c>
      <c r="I20" s="230">
        <v>26799.7</v>
      </c>
      <c r="J20" s="230">
        <v>30017.8</v>
      </c>
      <c r="K20" s="230">
        <v>1188855.3999999999</v>
      </c>
      <c r="L20" s="230">
        <v>1439899.0999999999</v>
      </c>
      <c r="M20" s="230">
        <v>-261341.3</v>
      </c>
      <c r="N20" s="230">
        <v>1178557.7999999998</v>
      </c>
      <c r="O20" s="230">
        <v>1560895.2999999998</v>
      </c>
      <c r="P20" s="209" t="s">
        <v>1606</v>
      </c>
    </row>
    <row r="21" spans="1:19" s="162" customFormat="1" ht="11.45" customHeight="1">
      <c r="A21" s="999" t="s">
        <v>1927</v>
      </c>
      <c r="B21" s="337">
        <v>347757.7</v>
      </c>
      <c r="C21" s="337">
        <v>16541.099999999999</v>
      </c>
      <c r="D21" s="337">
        <v>364298.8</v>
      </c>
      <c r="E21" s="337">
        <v>54930</v>
      </c>
      <c r="F21" s="337">
        <v>228384.5</v>
      </c>
      <c r="G21" s="337">
        <v>283314.5</v>
      </c>
      <c r="H21" s="337">
        <v>3435.6</v>
      </c>
      <c r="I21" s="337">
        <v>33763.300000000003</v>
      </c>
      <c r="J21" s="337">
        <v>37198.9</v>
      </c>
      <c r="K21" s="337">
        <v>1351235.5</v>
      </c>
      <c r="L21" s="337">
        <v>1671748.9</v>
      </c>
      <c r="M21" s="337">
        <v>-327925.40000000002</v>
      </c>
      <c r="N21" s="337">
        <v>1343823.5</v>
      </c>
      <c r="O21" s="337">
        <v>1708122.3</v>
      </c>
      <c r="P21" s="307" t="s">
        <v>1927</v>
      </c>
      <c r="Q21" s="748"/>
      <c r="S21" s="748"/>
    </row>
    <row r="22" spans="1:19" s="253" customFormat="1" ht="11.45" customHeight="1">
      <c r="A22" s="891" t="s">
        <v>2183</v>
      </c>
      <c r="B22" s="344">
        <f>B34</f>
        <v>287497.5</v>
      </c>
      <c r="C22" s="344">
        <f t="shared" ref="C22:O22" si="5">C34</f>
        <v>29230.799999999999</v>
      </c>
      <c r="D22" s="344">
        <f t="shared" si="5"/>
        <v>316728.3</v>
      </c>
      <c r="E22" s="344">
        <f t="shared" si="5"/>
        <v>157411.9</v>
      </c>
      <c r="F22" s="344">
        <f t="shared" si="5"/>
        <v>229938</v>
      </c>
      <c r="G22" s="344">
        <f t="shared" si="5"/>
        <v>387349.9</v>
      </c>
      <c r="H22" s="344">
        <f t="shared" si="5"/>
        <v>3893.4</v>
      </c>
      <c r="I22" s="344">
        <f t="shared" si="5"/>
        <v>41271.300000000003</v>
      </c>
      <c r="J22" s="344">
        <f t="shared" si="5"/>
        <v>45164.700000000004</v>
      </c>
      <c r="K22" s="344">
        <f t="shared" si="5"/>
        <v>1494254.6</v>
      </c>
      <c r="L22" s="344">
        <f t="shared" si="5"/>
        <v>1926769.2000000002</v>
      </c>
      <c r="M22" s="344">
        <f t="shared" si="5"/>
        <v>-356329.4</v>
      </c>
      <c r="N22" s="344">
        <f t="shared" si="5"/>
        <v>1570439.8000000003</v>
      </c>
      <c r="O22" s="344">
        <f t="shared" si="5"/>
        <v>1887168.1000000003</v>
      </c>
      <c r="P22" s="362" t="s">
        <v>2183</v>
      </c>
      <c r="Q22" s="1436"/>
      <c r="R22" s="1436"/>
    </row>
    <row r="23" spans="1:19" s="162" customFormat="1" ht="11.45" customHeight="1">
      <c r="A23" s="312" t="s">
        <v>565</v>
      </c>
      <c r="B23" s="289">
        <v>341807.3</v>
      </c>
      <c r="C23" s="289">
        <v>15759.5</v>
      </c>
      <c r="D23" s="289">
        <f t="shared" ref="D23:D55" si="6">B23+C23</f>
        <v>357566.8</v>
      </c>
      <c r="E23" s="289">
        <v>52719.199999999997</v>
      </c>
      <c r="F23" s="289">
        <v>229042.5</v>
      </c>
      <c r="G23" s="289">
        <f t="shared" ref="G23:G55" si="7">E23+F23</f>
        <v>281761.7</v>
      </c>
      <c r="H23" s="289">
        <v>3428.2</v>
      </c>
      <c r="I23" s="289">
        <v>34708</v>
      </c>
      <c r="J23" s="289">
        <f t="shared" ref="J23:J55" si="8">H23+I23</f>
        <v>38136.199999999997</v>
      </c>
      <c r="K23" s="289">
        <f>5937.6+1346628.8</f>
        <v>1352566.4000000001</v>
      </c>
      <c r="L23" s="289">
        <f t="shared" ref="L23:L41" si="9">G23+J23+K23</f>
        <v>1672464.3000000003</v>
      </c>
      <c r="M23" s="289">
        <v>-322100.7</v>
      </c>
      <c r="N23" s="289">
        <f t="shared" ref="N23:N34" si="10">L23+M23</f>
        <v>1350363.6000000003</v>
      </c>
      <c r="O23" s="289">
        <f t="shared" ref="O23:O34" si="11">D23+N23</f>
        <v>1707930.4000000004</v>
      </c>
      <c r="P23" s="305" t="s">
        <v>565</v>
      </c>
      <c r="Q23" s="748"/>
      <c r="R23" s="748"/>
    </row>
    <row r="24" spans="1:19" s="162" customFormat="1" ht="11.45" customHeight="1">
      <c r="A24" s="142" t="s">
        <v>566</v>
      </c>
      <c r="B24" s="230">
        <v>323765.90000000002</v>
      </c>
      <c r="C24" s="230">
        <v>16646.2</v>
      </c>
      <c r="D24" s="230">
        <f t="shared" si="6"/>
        <v>340412.10000000003</v>
      </c>
      <c r="E24" s="230">
        <v>61832.1</v>
      </c>
      <c r="F24" s="230">
        <v>226595.3</v>
      </c>
      <c r="G24" s="230">
        <f t="shared" si="7"/>
        <v>288427.39999999997</v>
      </c>
      <c r="H24" s="230">
        <v>3426.3</v>
      </c>
      <c r="I24" s="230">
        <v>35190.400000000001</v>
      </c>
      <c r="J24" s="230">
        <f t="shared" si="8"/>
        <v>38616.700000000004</v>
      </c>
      <c r="K24" s="230">
        <f>5989+1356488.9</f>
        <v>1362477.9</v>
      </c>
      <c r="L24" s="230">
        <f t="shared" si="9"/>
        <v>1689522</v>
      </c>
      <c r="M24" s="230">
        <v>-319120</v>
      </c>
      <c r="N24" s="230">
        <f t="shared" si="10"/>
        <v>1370402</v>
      </c>
      <c r="O24" s="230">
        <f t="shared" si="11"/>
        <v>1710814.1</v>
      </c>
      <c r="P24" s="209" t="s">
        <v>566</v>
      </c>
      <c r="Q24" s="748"/>
      <c r="R24" s="748"/>
    </row>
    <row r="25" spans="1:19" s="162" customFormat="1" ht="11.45" customHeight="1">
      <c r="A25" s="312" t="s">
        <v>560</v>
      </c>
      <c r="B25" s="289">
        <v>319037.09999999998</v>
      </c>
      <c r="C25" s="289">
        <v>16403.7</v>
      </c>
      <c r="D25" s="289">
        <f t="shared" si="6"/>
        <v>335440.8</v>
      </c>
      <c r="E25" s="289">
        <v>71663.399999999994</v>
      </c>
      <c r="F25" s="289">
        <v>220828.7</v>
      </c>
      <c r="G25" s="289">
        <f t="shared" si="7"/>
        <v>292492.09999999998</v>
      </c>
      <c r="H25" s="289">
        <v>3632.8</v>
      </c>
      <c r="I25" s="289">
        <v>34534.699999999997</v>
      </c>
      <c r="J25" s="289">
        <f t="shared" si="8"/>
        <v>38167.5</v>
      </c>
      <c r="K25" s="289">
        <f>6018.9+1373394.3</f>
        <v>1379413.2</v>
      </c>
      <c r="L25" s="289">
        <f t="shared" si="9"/>
        <v>1710072.7999999998</v>
      </c>
      <c r="M25" s="289">
        <v>-322686.09999999998</v>
      </c>
      <c r="N25" s="289">
        <f t="shared" si="10"/>
        <v>1387386.6999999997</v>
      </c>
      <c r="O25" s="289">
        <f t="shared" si="11"/>
        <v>1722827.4999999998</v>
      </c>
      <c r="P25" s="305" t="s">
        <v>560</v>
      </c>
      <c r="Q25" s="748"/>
      <c r="R25" s="748"/>
    </row>
    <row r="26" spans="1:19" s="162" customFormat="1" ht="11.45" customHeight="1">
      <c r="A26" s="142" t="s">
        <v>567</v>
      </c>
      <c r="B26" s="230">
        <v>309740.2</v>
      </c>
      <c r="C26" s="230">
        <v>16736.2</v>
      </c>
      <c r="D26" s="230">
        <f t="shared" si="6"/>
        <v>326476.40000000002</v>
      </c>
      <c r="E26" s="230">
        <v>83478.7</v>
      </c>
      <c r="F26" s="230">
        <v>221666.6</v>
      </c>
      <c r="G26" s="230">
        <f t="shared" si="7"/>
        <v>305145.3</v>
      </c>
      <c r="H26" s="230">
        <v>3631.7</v>
      </c>
      <c r="I26" s="230">
        <v>35160.5</v>
      </c>
      <c r="J26" s="230">
        <f t="shared" si="8"/>
        <v>38792.199999999997</v>
      </c>
      <c r="K26" s="230">
        <f>6147.8+1383000.6</f>
        <v>1389148.4000000001</v>
      </c>
      <c r="L26" s="230">
        <f t="shared" si="9"/>
        <v>1733085.9000000001</v>
      </c>
      <c r="M26" s="230">
        <v>-332793.09999999998</v>
      </c>
      <c r="N26" s="230">
        <f t="shared" si="10"/>
        <v>1400292.8000000003</v>
      </c>
      <c r="O26" s="230">
        <f t="shared" si="11"/>
        <v>1726769.2000000002</v>
      </c>
      <c r="P26" s="209" t="s">
        <v>567</v>
      </c>
      <c r="Q26" s="748"/>
      <c r="R26" s="748"/>
    </row>
    <row r="27" spans="1:19" s="162" customFormat="1" ht="11.45" customHeight="1">
      <c r="A27" s="312" t="s">
        <v>568</v>
      </c>
      <c r="B27" s="289">
        <v>300465.40000000002</v>
      </c>
      <c r="C27" s="289">
        <v>18595.5</v>
      </c>
      <c r="D27" s="289">
        <f t="shared" si="6"/>
        <v>319060.90000000002</v>
      </c>
      <c r="E27" s="289">
        <v>91786.4</v>
      </c>
      <c r="F27" s="289">
        <v>207446.3</v>
      </c>
      <c r="G27" s="289">
        <f t="shared" si="7"/>
        <v>299232.69999999995</v>
      </c>
      <c r="H27" s="289">
        <v>3638.6</v>
      </c>
      <c r="I27" s="289">
        <v>35788.1</v>
      </c>
      <c r="J27" s="289">
        <f t="shared" si="8"/>
        <v>39426.699999999997</v>
      </c>
      <c r="K27" s="289">
        <f>6277.2+1400437.3</f>
        <v>1406714.5</v>
      </c>
      <c r="L27" s="289">
        <f t="shared" si="9"/>
        <v>1745373.9</v>
      </c>
      <c r="M27" s="289">
        <v>-323962.40000000002</v>
      </c>
      <c r="N27" s="289">
        <f t="shared" si="10"/>
        <v>1421411.5</v>
      </c>
      <c r="O27" s="289">
        <f t="shared" si="11"/>
        <v>1740472.4</v>
      </c>
      <c r="P27" s="305" t="s">
        <v>568</v>
      </c>
      <c r="Q27" s="748"/>
      <c r="R27" s="748"/>
    </row>
    <row r="28" spans="1:19" s="162" customFormat="1" ht="11.45" customHeight="1">
      <c r="A28" s="142" t="s">
        <v>561</v>
      </c>
      <c r="B28" s="230">
        <v>297498.09999999998</v>
      </c>
      <c r="C28" s="230">
        <v>21899</v>
      </c>
      <c r="D28" s="230">
        <f t="shared" si="6"/>
        <v>319397.09999999998</v>
      </c>
      <c r="E28" s="230">
        <v>105344.2</v>
      </c>
      <c r="F28" s="230">
        <v>188275.20000000001</v>
      </c>
      <c r="G28" s="230">
        <f t="shared" si="7"/>
        <v>293619.40000000002</v>
      </c>
      <c r="H28" s="230">
        <v>3645.5</v>
      </c>
      <c r="I28" s="230">
        <v>38363.9</v>
      </c>
      <c r="J28" s="230">
        <f t="shared" si="8"/>
        <v>42009.4</v>
      </c>
      <c r="K28" s="230">
        <f>6257.8+1419875.8</f>
        <v>1426133.6</v>
      </c>
      <c r="L28" s="230">
        <f t="shared" si="9"/>
        <v>1761762.4000000001</v>
      </c>
      <c r="M28" s="230">
        <v>-323190.90000000002</v>
      </c>
      <c r="N28" s="230">
        <f t="shared" si="10"/>
        <v>1438571.5</v>
      </c>
      <c r="O28" s="230">
        <f t="shared" si="11"/>
        <v>1757968.6</v>
      </c>
      <c r="P28" s="209" t="s">
        <v>561</v>
      </c>
      <c r="Q28" s="748"/>
      <c r="R28" s="748"/>
    </row>
    <row r="29" spans="1:19" s="162" customFormat="1" ht="11.45" customHeight="1">
      <c r="A29" s="312" t="s">
        <v>569</v>
      </c>
      <c r="B29" s="289">
        <v>290992.7</v>
      </c>
      <c r="C29" s="289">
        <v>23312.5</v>
      </c>
      <c r="D29" s="289">
        <f t="shared" si="6"/>
        <v>314305.2</v>
      </c>
      <c r="E29" s="289">
        <v>107439.6</v>
      </c>
      <c r="F29" s="289">
        <v>196149.5</v>
      </c>
      <c r="G29" s="289">
        <f t="shared" si="7"/>
        <v>303589.09999999998</v>
      </c>
      <c r="H29" s="289">
        <v>3614.9</v>
      </c>
      <c r="I29" s="289">
        <v>39949.1</v>
      </c>
      <c r="J29" s="289">
        <f t="shared" si="8"/>
        <v>43564</v>
      </c>
      <c r="K29" s="289">
        <f>6555.8+1419470.4</f>
        <v>1426026.2</v>
      </c>
      <c r="L29" s="289">
        <f t="shared" si="9"/>
        <v>1773179.2999999998</v>
      </c>
      <c r="M29" s="289">
        <v>-336043.9</v>
      </c>
      <c r="N29" s="289">
        <f t="shared" si="10"/>
        <v>1437135.4</v>
      </c>
      <c r="O29" s="289">
        <f t="shared" si="11"/>
        <v>1751440.5999999999</v>
      </c>
      <c r="P29" s="305" t="s">
        <v>569</v>
      </c>
      <c r="Q29" s="748"/>
      <c r="R29" s="748"/>
    </row>
    <row r="30" spans="1:19" s="162" customFormat="1" ht="11.45" customHeight="1">
      <c r="A30" s="142" t="s">
        <v>570</v>
      </c>
      <c r="B30" s="230">
        <v>285063.40000000002</v>
      </c>
      <c r="C30" s="230">
        <v>27639.3</v>
      </c>
      <c r="D30" s="230">
        <f t="shared" si="6"/>
        <v>312702.7</v>
      </c>
      <c r="E30" s="230">
        <v>108685.3</v>
      </c>
      <c r="F30" s="230">
        <v>201181.1</v>
      </c>
      <c r="G30" s="230">
        <f t="shared" si="7"/>
        <v>309866.40000000002</v>
      </c>
      <c r="H30" s="230">
        <v>3620.2</v>
      </c>
      <c r="I30" s="230">
        <v>39629.4</v>
      </c>
      <c r="J30" s="230">
        <f t="shared" si="8"/>
        <v>43249.599999999999</v>
      </c>
      <c r="K30" s="230">
        <f>6931.4+1427137.9</f>
        <v>1434069.2999999998</v>
      </c>
      <c r="L30" s="230">
        <f t="shared" si="9"/>
        <v>1787185.2999999998</v>
      </c>
      <c r="M30" s="230">
        <v>-336856</v>
      </c>
      <c r="N30" s="230">
        <f t="shared" si="10"/>
        <v>1450329.2999999998</v>
      </c>
      <c r="O30" s="230">
        <f t="shared" si="11"/>
        <v>1763031.9999999998</v>
      </c>
      <c r="P30" s="209" t="s">
        <v>570</v>
      </c>
      <c r="Q30" s="748"/>
      <c r="R30" s="748"/>
    </row>
    <row r="31" spans="1:19" s="162" customFormat="1" ht="11.45" customHeight="1">
      <c r="A31" s="312" t="s">
        <v>562</v>
      </c>
      <c r="B31" s="289">
        <v>282017.7</v>
      </c>
      <c r="C31" s="289">
        <v>27064.799999999999</v>
      </c>
      <c r="D31" s="289">
        <f t="shared" si="6"/>
        <v>309082.5</v>
      </c>
      <c r="E31" s="289">
        <v>111798.3</v>
      </c>
      <c r="F31" s="289">
        <v>212763.6</v>
      </c>
      <c r="G31" s="289">
        <f t="shared" si="7"/>
        <v>324561.90000000002</v>
      </c>
      <c r="H31" s="289">
        <v>3625.7</v>
      </c>
      <c r="I31" s="289">
        <v>40961.4</v>
      </c>
      <c r="J31" s="289">
        <f t="shared" si="8"/>
        <v>44587.1</v>
      </c>
      <c r="K31" s="289">
        <f>7193.1+1439615.2</f>
        <v>1446808.3</v>
      </c>
      <c r="L31" s="289">
        <f t="shared" si="9"/>
        <v>1815957.3</v>
      </c>
      <c r="M31" s="289">
        <v>-346380</v>
      </c>
      <c r="N31" s="289">
        <f t="shared" si="10"/>
        <v>1469577.3</v>
      </c>
      <c r="O31" s="289">
        <f t="shared" si="11"/>
        <v>1778659.8</v>
      </c>
      <c r="P31" s="305" t="s">
        <v>562</v>
      </c>
      <c r="Q31" s="748"/>
      <c r="R31" s="748"/>
    </row>
    <row r="32" spans="1:19" s="162" customFormat="1" ht="11.45" customHeight="1">
      <c r="A32" s="142" t="s">
        <v>571</v>
      </c>
      <c r="B32" s="230">
        <v>275843.59999999998</v>
      </c>
      <c r="C32" s="230">
        <v>28367</v>
      </c>
      <c r="D32" s="230">
        <f t="shared" si="6"/>
        <v>304210.59999999998</v>
      </c>
      <c r="E32" s="230">
        <v>136213.9</v>
      </c>
      <c r="F32" s="230">
        <v>218943.8</v>
      </c>
      <c r="G32" s="230">
        <f t="shared" si="7"/>
        <v>355157.69999999995</v>
      </c>
      <c r="H32" s="230">
        <v>3882.7</v>
      </c>
      <c r="I32" s="230">
        <v>40388.699999999997</v>
      </c>
      <c r="J32" s="230">
        <f t="shared" si="8"/>
        <v>44271.399999999994</v>
      </c>
      <c r="K32" s="230">
        <f>7365.5+1450034</f>
        <v>1457399.5</v>
      </c>
      <c r="L32" s="230">
        <f t="shared" si="9"/>
        <v>1856828.6</v>
      </c>
      <c r="M32" s="230">
        <v>-348848.1</v>
      </c>
      <c r="N32" s="230">
        <f t="shared" si="10"/>
        <v>1507980.5</v>
      </c>
      <c r="O32" s="230">
        <f t="shared" si="11"/>
        <v>1812191.1</v>
      </c>
      <c r="P32" s="209" t="s">
        <v>571</v>
      </c>
      <c r="Q32" s="748"/>
      <c r="R32" s="748"/>
    </row>
    <row r="33" spans="1:18" s="162" customFormat="1" ht="11.45" customHeight="1">
      <c r="A33" s="312" t="s">
        <v>572</v>
      </c>
      <c r="B33" s="289">
        <v>275075.40000000002</v>
      </c>
      <c r="C33" s="289">
        <v>25521.599999999999</v>
      </c>
      <c r="D33" s="289">
        <f t="shared" si="6"/>
        <v>300597</v>
      </c>
      <c r="E33" s="289">
        <v>132882.4</v>
      </c>
      <c r="F33" s="289">
        <v>228303.7</v>
      </c>
      <c r="G33" s="289">
        <f t="shared" si="7"/>
        <v>361186.1</v>
      </c>
      <c r="H33" s="289">
        <v>3886.5</v>
      </c>
      <c r="I33" s="289">
        <v>41065.199999999997</v>
      </c>
      <c r="J33" s="289">
        <f t="shared" si="8"/>
        <v>44951.7</v>
      </c>
      <c r="K33" s="289">
        <f>7530.5+1462793.1</f>
        <v>1470323.6</v>
      </c>
      <c r="L33" s="289">
        <f t="shared" si="9"/>
        <v>1876461.4000000001</v>
      </c>
      <c r="M33" s="289">
        <v>-357148.8</v>
      </c>
      <c r="N33" s="289">
        <f t="shared" si="10"/>
        <v>1519312.6</v>
      </c>
      <c r="O33" s="289">
        <f t="shared" si="11"/>
        <v>1819909.6</v>
      </c>
      <c r="P33" s="305" t="s">
        <v>572</v>
      </c>
      <c r="Q33" s="748"/>
      <c r="R33" s="748"/>
    </row>
    <row r="34" spans="1:18" s="162" customFormat="1" ht="11.45" customHeight="1">
      <c r="A34" s="142" t="s">
        <v>563</v>
      </c>
      <c r="B34" s="230">
        <v>287497.5</v>
      </c>
      <c r="C34" s="230">
        <v>29230.799999999999</v>
      </c>
      <c r="D34" s="230">
        <f t="shared" si="6"/>
        <v>316728.3</v>
      </c>
      <c r="E34" s="230">
        <v>157411.9</v>
      </c>
      <c r="F34" s="230">
        <v>229938</v>
      </c>
      <c r="G34" s="230">
        <f t="shared" si="7"/>
        <v>387349.9</v>
      </c>
      <c r="H34" s="230">
        <v>3893.4</v>
      </c>
      <c r="I34" s="230">
        <v>41271.300000000003</v>
      </c>
      <c r="J34" s="230">
        <f t="shared" si="8"/>
        <v>45164.700000000004</v>
      </c>
      <c r="K34" s="230">
        <f>7350+1486904.6</f>
        <v>1494254.6</v>
      </c>
      <c r="L34" s="230">
        <f t="shared" si="9"/>
        <v>1926769.2000000002</v>
      </c>
      <c r="M34" s="230">
        <v>-356329.4</v>
      </c>
      <c r="N34" s="230">
        <f t="shared" si="10"/>
        <v>1570439.8000000003</v>
      </c>
      <c r="O34" s="230">
        <f t="shared" si="11"/>
        <v>1887168.1000000003</v>
      </c>
      <c r="P34" s="209" t="s">
        <v>563</v>
      </c>
      <c r="Q34" s="748"/>
      <c r="R34" s="748"/>
    </row>
    <row r="35" spans="1:18" s="162" customFormat="1" ht="11.45" customHeight="1">
      <c r="A35" s="1516" t="s">
        <v>2344</v>
      </c>
      <c r="B35" s="337">
        <f>B47</f>
        <v>245780.7</v>
      </c>
      <c r="C35" s="337">
        <f t="shared" ref="C35:O35" si="12">C47</f>
        <v>45348.3</v>
      </c>
      <c r="D35" s="337">
        <f t="shared" si="12"/>
        <v>291129</v>
      </c>
      <c r="E35" s="337">
        <f t="shared" si="12"/>
        <v>145932.20000000001</v>
      </c>
      <c r="F35" s="337">
        <f t="shared" si="12"/>
        <v>278944.90000000002</v>
      </c>
      <c r="G35" s="337">
        <f t="shared" si="12"/>
        <v>424877.10000000003</v>
      </c>
      <c r="H35" s="337">
        <f t="shared" si="12"/>
        <v>4208.5</v>
      </c>
      <c r="I35" s="337">
        <f t="shared" si="12"/>
        <v>45210.6</v>
      </c>
      <c r="J35" s="337">
        <f t="shared" si="12"/>
        <v>49419.1</v>
      </c>
      <c r="K35" s="337">
        <f t="shared" si="12"/>
        <v>1641228.7</v>
      </c>
      <c r="L35" s="337">
        <f t="shared" si="12"/>
        <v>2115524.9</v>
      </c>
      <c r="M35" s="337">
        <f t="shared" si="12"/>
        <v>-373419.9</v>
      </c>
      <c r="N35" s="337">
        <f t="shared" si="12"/>
        <v>1742105</v>
      </c>
      <c r="O35" s="337">
        <f t="shared" si="12"/>
        <v>2033234</v>
      </c>
      <c r="P35" s="361" t="s">
        <v>2344</v>
      </c>
      <c r="Q35" s="748"/>
      <c r="R35" s="748"/>
    </row>
    <row r="36" spans="1:18" s="162" customFormat="1" ht="11.45" customHeight="1">
      <c r="A36" s="142" t="s">
        <v>565</v>
      </c>
      <c r="B36" s="230">
        <v>284091</v>
      </c>
      <c r="C36" s="230">
        <v>35034.6</v>
      </c>
      <c r="D36" s="230">
        <f t="shared" si="6"/>
        <v>319125.59999999998</v>
      </c>
      <c r="E36" s="230">
        <v>147689</v>
      </c>
      <c r="F36" s="230">
        <v>241998.3</v>
      </c>
      <c r="G36" s="230">
        <f t="shared" si="7"/>
        <v>389687.3</v>
      </c>
      <c r="H36" s="230">
        <v>3786.5</v>
      </c>
      <c r="I36" s="230">
        <v>41250.9</v>
      </c>
      <c r="J36" s="230">
        <f t="shared" si="8"/>
        <v>45037.4</v>
      </c>
      <c r="K36" s="230">
        <f>7308.8+1478136.6</f>
        <v>1485445.4000000001</v>
      </c>
      <c r="L36" s="230">
        <f t="shared" si="9"/>
        <v>1920170.1</v>
      </c>
      <c r="M36" s="230">
        <v>-365045.9</v>
      </c>
      <c r="N36" s="230">
        <f t="shared" ref="N36:N42" si="13">L36+M36</f>
        <v>1555124.2000000002</v>
      </c>
      <c r="O36" s="230">
        <f t="shared" ref="O36:O42" si="14">D36+N36</f>
        <v>1874249.8000000003</v>
      </c>
      <c r="P36" s="209" t="s">
        <v>565</v>
      </c>
      <c r="Q36" s="748"/>
      <c r="R36" s="748"/>
    </row>
    <row r="37" spans="1:18" s="162" customFormat="1" ht="11.45" customHeight="1">
      <c r="A37" s="312" t="s">
        <v>566</v>
      </c>
      <c r="B37" s="289">
        <v>272944.3</v>
      </c>
      <c r="C37" s="289">
        <v>33275.199999999997</v>
      </c>
      <c r="D37" s="289">
        <f t="shared" si="6"/>
        <v>306219.5</v>
      </c>
      <c r="E37" s="289">
        <v>135934.20000000001</v>
      </c>
      <c r="F37" s="289">
        <v>245945.5</v>
      </c>
      <c r="G37" s="289">
        <f t="shared" si="7"/>
        <v>381879.7</v>
      </c>
      <c r="H37" s="289">
        <v>3680.1</v>
      </c>
      <c r="I37" s="289">
        <v>41751.300000000003</v>
      </c>
      <c r="J37" s="289">
        <f t="shared" si="8"/>
        <v>45431.4</v>
      </c>
      <c r="K37" s="289">
        <f>7542+1487714.7</f>
        <v>1495256.7</v>
      </c>
      <c r="L37" s="289">
        <f t="shared" si="9"/>
        <v>1922567.8</v>
      </c>
      <c r="M37" s="289">
        <v>-351922.2</v>
      </c>
      <c r="N37" s="289">
        <f t="shared" si="13"/>
        <v>1570645.6</v>
      </c>
      <c r="O37" s="289">
        <f t="shared" si="14"/>
        <v>1876865.1</v>
      </c>
      <c r="P37" s="305" t="s">
        <v>566</v>
      </c>
      <c r="Q37" s="748"/>
      <c r="R37" s="748"/>
    </row>
    <row r="38" spans="1:18" s="162" customFormat="1" ht="11.45" customHeight="1">
      <c r="A38" s="142" t="s">
        <v>560</v>
      </c>
      <c r="B38" s="230">
        <v>258977.5</v>
      </c>
      <c r="C38" s="230">
        <v>34340.5</v>
      </c>
      <c r="D38" s="230">
        <f t="shared" si="6"/>
        <v>293318</v>
      </c>
      <c r="E38" s="230">
        <v>129039.7</v>
      </c>
      <c r="F38" s="230">
        <v>241881.2</v>
      </c>
      <c r="G38" s="230">
        <f t="shared" si="7"/>
        <v>370920.9</v>
      </c>
      <c r="H38" s="230">
        <v>3928.4</v>
      </c>
      <c r="I38" s="230">
        <v>42667.5</v>
      </c>
      <c r="J38" s="230">
        <f t="shared" si="8"/>
        <v>46595.9</v>
      </c>
      <c r="K38" s="230">
        <f>7748.6+1505305.4</f>
        <v>1513054</v>
      </c>
      <c r="L38" s="230">
        <f t="shared" si="9"/>
        <v>1930570.8</v>
      </c>
      <c r="M38" s="230">
        <v>-346643</v>
      </c>
      <c r="N38" s="230">
        <f t="shared" si="13"/>
        <v>1583927.8</v>
      </c>
      <c r="O38" s="230">
        <f t="shared" si="14"/>
        <v>1877245.8</v>
      </c>
      <c r="P38" s="209" t="s">
        <v>560</v>
      </c>
      <c r="Q38" s="748"/>
      <c r="R38" s="748"/>
    </row>
    <row r="39" spans="1:18" s="162" customFormat="1" ht="11.45" customHeight="1">
      <c r="A39" s="312" t="s">
        <v>567</v>
      </c>
      <c r="B39" s="289">
        <v>248074.3</v>
      </c>
      <c r="C39" s="289">
        <v>33027</v>
      </c>
      <c r="D39" s="289">
        <f t="shared" si="6"/>
        <v>281101.3</v>
      </c>
      <c r="E39" s="289">
        <v>127546.1</v>
      </c>
      <c r="F39" s="289">
        <v>240770.8</v>
      </c>
      <c r="G39" s="289">
        <f t="shared" si="7"/>
        <v>368316.9</v>
      </c>
      <c r="H39" s="289">
        <v>3934.3</v>
      </c>
      <c r="I39" s="289">
        <v>42863</v>
      </c>
      <c r="J39" s="289">
        <f t="shared" si="8"/>
        <v>46797.3</v>
      </c>
      <c r="K39" s="289">
        <f>9203.2+1520116.6</f>
        <v>1529319.8</v>
      </c>
      <c r="L39" s="289">
        <f t="shared" si="9"/>
        <v>1944434</v>
      </c>
      <c r="M39" s="289">
        <v>-342998.8</v>
      </c>
      <c r="N39" s="289">
        <f t="shared" si="13"/>
        <v>1601435.2</v>
      </c>
      <c r="O39" s="289">
        <f t="shared" si="14"/>
        <v>1882536.5</v>
      </c>
      <c r="P39" s="305" t="s">
        <v>567</v>
      </c>
      <c r="Q39" s="748"/>
      <c r="R39" s="748"/>
    </row>
    <row r="40" spans="1:18" s="162" customFormat="1" ht="11.45" customHeight="1">
      <c r="A40" s="142" t="s">
        <v>568</v>
      </c>
      <c r="B40" s="230">
        <v>235600.5</v>
      </c>
      <c r="C40" s="230">
        <v>30070.799999999999</v>
      </c>
      <c r="D40" s="230">
        <f t="shared" si="6"/>
        <v>265671.3</v>
      </c>
      <c r="E40" s="230">
        <v>132232.70000000001</v>
      </c>
      <c r="F40" s="230">
        <v>231759.7</v>
      </c>
      <c r="G40" s="230">
        <f t="shared" si="7"/>
        <v>363992.4</v>
      </c>
      <c r="H40" s="230">
        <v>3943</v>
      </c>
      <c r="I40" s="230">
        <v>43719.3</v>
      </c>
      <c r="J40" s="230">
        <f t="shared" si="8"/>
        <v>47662.3</v>
      </c>
      <c r="K40" s="230">
        <f>9203+1536738.2</f>
        <v>1545941.2</v>
      </c>
      <c r="L40" s="230">
        <f t="shared" si="9"/>
        <v>1957595.9</v>
      </c>
      <c r="M40" s="230">
        <v>-333844.09999999998</v>
      </c>
      <c r="N40" s="230">
        <f t="shared" si="13"/>
        <v>1623751.7999999998</v>
      </c>
      <c r="O40" s="230">
        <f t="shared" si="14"/>
        <v>1889423.0999999999</v>
      </c>
      <c r="P40" s="209" t="s">
        <v>568</v>
      </c>
      <c r="Q40" s="748"/>
      <c r="R40" s="748"/>
    </row>
    <row r="41" spans="1:18" s="162" customFormat="1" ht="11.45" customHeight="1">
      <c r="A41" s="312" t="s">
        <v>561</v>
      </c>
      <c r="B41" s="289">
        <v>248198.9</v>
      </c>
      <c r="C41" s="289">
        <v>29264.9</v>
      </c>
      <c r="D41" s="289">
        <f t="shared" si="6"/>
        <v>277463.8</v>
      </c>
      <c r="E41" s="289">
        <v>126706.8</v>
      </c>
      <c r="F41" s="289">
        <v>224951.6</v>
      </c>
      <c r="G41" s="289">
        <f t="shared" si="7"/>
        <v>351658.4</v>
      </c>
      <c r="H41" s="289">
        <v>4201.8999999999996</v>
      </c>
      <c r="I41" s="289">
        <v>44691.6</v>
      </c>
      <c r="J41" s="289">
        <f t="shared" si="8"/>
        <v>48893.5</v>
      </c>
      <c r="K41" s="289">
        <f>8390.5+1562279.9</f>
        <v>1570670.4</v>
      </c>
      <c r="L41" s="289">
        <f t="shared" si="9"/>
        <v>1971222.2999999998</v>
      </c>
      <c r="M41" s="289">
        <v>-339538.3</v>
      </c>
      <c r="N41" s="289">
        <f t="shared" si="13"/>
        <v>1631683.9999999998</v>
      </c>
      <c r="O41" s="289">
        <f t="shared" si="14"/>
        <v>1909147.7999999998</v>
      </c>
      <c r="P41" s="305" t="s">
        <v>561</v>
      </c>
      <c r="Q41" s="748"/>
      <c r="R41" s="748"/>
    </row>
    <row r="42" spans="1:18" s="162" customFormat="1" ht="11.45" customHeight="1">
      <c r="A42" s="142" t="s">
        <v>569</v>
      </c>
      <c r="B42" s="230">
        <v>232550.2</v>
      </c>
      <c r="C42" s="230">
        <v>34239</v>
      </c>
      <c r="D42" s="230">
        <f t="shared" si="6"/>
        <v>266789.2</v>
      </c>
      <c r="E42" s="230">
        <v>125862.2</v>
      </c>
      <c r="F42" s="230">
        <v>241881.4</v>
      </c>
      <c r="G42" s="230">
        <f t="shared" si="7"/>
        <v>367743.6</v>
      </c>
      <c r="H42" s="230">
        <v>4173.6000000000004</v>
      </c>
      <c r="I42" s="230">
        <v>43567.9</v>
      </c>
      <c r="J42" s="230">
        <f t="shared" si="8"/>
        <v>47741.5</v>
      </c>
      <c r="K42" s="230">
        <f>8308.3+1559634.9</f>
        <v>1567943.2</v>
      </c>
      <c r="L42" s="230">
        <f t="shared" ref="L42:L55" si="15">G42+J42+K42</f>
        <v>1983428.2999999998</v>
      </c>
      <c r="M42" s="230">
        <v>-347337.2</v>
      </c>
      <c r="N42" s="230">
        <f t="shared" si="13"/>
        <v>1636091.0999999999</v>
      </c>
      <c r="O42" s="230">
        <f t="shared" si="14"/>
        <v>1902880.2999999998</v>
      </c>
      <c r="P42" s="209" t="s">
        <v>569</v>
      </c>
      <c r="Q42" s="748"/>
      <c r="R42" s="748"/>
    </row>
    <row r="43" spans="1:18" s="162" customFormat="1" ht="11.45" customHeight="1">
      <c r="A43" s="312" t="s">
        <v>570</v>
      </c>
      <c r="B43" s="289">
        <v>229743.6</v>
      </c>
      <c r="C43" s="289">
        <v>32834.699999999997</v>
      </c>
      <c r="D43" s="289">
        <f t="shared" si="6"/>
        <v>262578.3</v>
      </c>
      <c r="E43" s="289">
        <v>123109.8</v>
      </c>
      <c r="F43" s="289">
        <v>256392.6</v>
      </c>
      <c r="G43" s="289">
        <f t="shared" si="7"/>
        <v>379502.4</v>
      </c>
      <c r="H43" s="289">
        <v>4182.5</v>
      </c>
      <c r="I43" s="289">
        <v>43487.4</v>
      </c>
      <c r="J43" s="289">
        <f t="shared" si="8"/>
        <v>47669.9</v>
      </c>
      <c r="K43" s="289">
        <f>8445.2+1568491.3</f>
        <v>1576936.5</v>
      </c>
      <c r="L43" s="289">
        <f t="shared" si="15"/>
        <v>2004108.8</v>
      </c>
      <c r="M43" s="289">
        <v>-346881.5</v>
      </c>
      <c r="N43" s="289">
        <f t="shared" ref="N43:N47" si="16">L43+M43</f>
        <v>1657227.3</v>
      </c>
      <c r="O43" s="289">
        <f t="shared" ref="O43:O47" si="17">D43+N43</f>
        <v>1919805.6</v>
      </c>
      <c r="P43" s="305" t="s">
        <v>570</v>
      </c>
      <c r="Q43" s="748"/>
      <c r="R43" s="748"/>
    </row>
    <row r="44" spans="1:18" s="162" customFormat="1" ht="11.45" customHeight="1">
      <c r="A44" s="142" t="s">
        <v>562</v>
      </c>
      <c r="B44" s="230">
        <v>226890.9</v>
      </c>
      <c r="C44" s="230">
        <v>32545</v>
      </c>
      <c r="D44" s="230">
        <f t="shared" si="6"/>
        <v>259435.9</v>
      </c>
      <c r="E44" s="230">
        <v>127810.1</v>
      </c>
      <c r="F44" s="230">
        <v>262591.3</v>
      </c>
      <c r="G44" s="230">
        <f t="shared" si="7"/>
        <v>390401.4</v>
      </c>
      <c r="H44" s="230">
        <v>4186.8</v>
      </c>
      <c r="I44" s="230">
        <v>43330.9</v>
      </c>
      <c r="J44" s="230">
        <f t="shared" si="8"/>
        <v>47517.700000000004</v>
      </c>
      <c r="K44" s="230">
        <f>8529.7+1590000.1</f>
        <v>1598529.8</v>
      </c>
      <c r="L44" s="230">
        <f t="shared" si="15"/>
        <v>2036448.9000000001</v>
      </c>
      <c r="M44" s="230">
        <v>-358642.9</v>
      </c>
      <c r="N44" s="230">
        <f t="shared" si="16"/>
        <v>1677806</v>
      </c>
      <c r="O44" s="230">
        <f t="shared" si="17"/>
        <v>1937241.9</v>
      </c>
      <c r="P44" s="209" t="s">
        <v>562</v>
      </c>
      <c r="Q44" s="748"/>
      <c r="R44" s="748"/>
    </row>
    <row r="45" spans="1:18" s="162" customFormat="1" ht="11.45" customHeight="1">
      <c r="A45" s="312" t="s">
        <v>571</v>
      </c>
      <c r="B45" s="289">
        <v>219734.5</v>
      </c>
      <c r="C45" s="289">
        <v>28363</v>
      </c>
      <c r="D45" s="289">
        <f t="shared" si="6"/>
        <v>248097.5</v>
      </c>
      <c r="E45" s="289">
        <v>137437.79999999999</v>
      </c>
      <c r="F45" s="289">
        <v>277715.40000000002</v>
      </c>
      <c r="G45" s="289">
        <f t="shared" si="7"/>
        <v>415153.2</v>
      </c>
      <c r="H45" s="289">
        <v>4194</v>
      </c>
      <c r="I45" s="289">
        <v>43648.3</v>
      </c>
      <c r="J45" s="289">
        <f t="shared" si="8"/>
        <v>47842.3</v>
      </c>
      <c r="K45" s="289">
        <f>8446.5+1593194.7</f>
        <v>1601641.2</v>
      </c>
      <c r="L45" s="289">
        <f t="shared" si="15"/>
        <v>2064636.7</v>
      </c>
      <c r="M45" s="289">
        <v>-365902.1</v>
      </c>
      <c r="N45" s="289">
        <f t="shared" si="16"/>
        <v>1698734.6</v>
      </c>
      <c r="O45" s="289">
        <f t="shared" si="17"/>
        <v>1946832.1</v>
      </c>
      <c r="P45" s="305" t="s">
        <v>571</v>
      </c>
      <c r="Q45" s="748"/>
      <c r="R45" s="748"/>
    </row>
    <row r="46" spans="1:18" s="162" customFormat="1" ht="11.45" customHeight="1">
      <c r="A46" s="142" t="s">
        <v>572</v>
      </c>
      <c r="B46" s="230">
        <v>231124.4</v>
      </c>
      <c r="C46" s="230">
        <v>33176.1</v>
      </c>
      <c r="D46" s="230">
        <f t="shared" si="6"/>
        <v>264300.5</v>
      </c>
      <c r="E46" s="230">
        <v>141383.70000000001</v>
      </c>
      <c r="F46" s="230">
        <v>283125.5</v>
      </c>
      <c r="G46" s="230">
        <f t="shared" si="7"/>
        <v>424509.2</v>
      </c>
      <c r="H46" s="230">
        <v>4201.3</v>
      </c>
      <c r="I46" s="230">
        <v>44153.2</v>
      </c>
      <c r="J46" s="230">
        <f t="shared" si="8"/>
        <v>48354.5</v>
      </c>
      <c r="K46" s="230">
        <f>8753.2+1613704.9</f>
        <v>1622458.0999999999</v>
      </c>
      <c r="L46" s="230">
        <f t="shared" si="15"/>
        <v>2095321.7999999998</v>
      </c>
      <c r="M46" s="230">
        <v>-387817.8</v>
      </c>
      <c r="N46" s="230">
        <f t="shared" si="16"/>
        <v>1707503.9999999998</v>
      </c>
      <c r="O46" s="230">
        <f t="shared" si="17"/>
        <v>1971804.4999999998</v>
      </c>
      <c r="P46" s="209" t="s">
        <v>572</v>
      </c>
      <c r="Q46" s="748"/>
      <c r="R46" s="748"/>
    </row>
    <row r="47" spans="1:18" s="162" customFormat="1" ht="11.45" customHeight="1">
      <c r="A47" s="312" t="s">
        <v>563</v>
      </c>
      <c r="B47" s="289">
        <v>245780.7</v>
      </c>
      <c r="C47" s="289">
        <v>45348.3</v>
      </c>
      <c r="D47" s="289">
        <f t="shared" si="6"/>
        <v>291129</v>
      </c>
      <c r="E47" s="289">
        <v>145932.20000000001</v>
      </c>
      <c r="F47" s="289">
        <v>278944.90000000002</v>
      </c>
      <c r="G47" s="289">
        <f t="shared" si="7"/>
        <v>424877.10000000003</v>
      </c>
      <c r="H47" s="289">
        <v>4208.5</v>
      </c>
      <c r="I47" s="289">
        <v>45210.6</v>
      </c>
      <c r="J47" s="289">
        <f t="shared" si="8"/>
        <v>49419.1</v>
      </c>
      <c r="K47" s="289">
        <f>8781.9+1632446.8</f>
        <v>1641228.7</v>
      </c>
      <c r="L47" s="289">
        <f t="shared" si="15"/>
        <v>2115524.9</v>
      </c>
      <c r="M47" s="289">
        <v>-373419.9</v>
      </c>
      <c r="N47" s="289">
        <f t="shared" si="16"/>
        <v>1742105</v>
      </c>
      <c r="O47" s="289">
        <f t="shared" si="17"/>
        <v>2033234</v>
      </c>
      <c r="P47" s="305" t="s">
        <v>563</v>
      </c>
      <c r="Q47" s="748"/>
      <c r="R47" s="748"/>
    </row>
    <row r="48" spans="1:18" s="162" customFormat="1" ht="11.45" customHeight="1">
      <c r="A48" s="891" t="s">
        <v>2680</v>
      </c>
      <c r="B48" s="230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474" t="s">
        <v>2680</v>
      </c>
      <c r="Q48" s="748"/>
      <c r="R48" s="748"/>
    </row>
    <row r="49" spans="1:18" s="162" customFormat="1" ht="11.45" customHeight="1">
      <c r="A49" s="312" t="s">
        <v>565</v>
      </c>
      <c r="B49" s="289">
        <v>238927.1</v>
      </c>
      <c r="C49" s="289">
        <v>44133.4</v>
      </c>
      <c r="D49" s="289">
        <f t="shared" si="6"/>
        <v>283060.5</v>
      </c>
      <c r="E49" s="289">
        <v>146699.6</v>
      </c>
      <c r="F49" s="289">
        <v>290888.8</v>
      </c>
      <c r="G49" s="289">
        <f t="shared" si="7"/>
        <v>437588.4</v>
      </c>
      <c r="H49" s="289">
        <v>4206.3</v>
      </c>
      <c r="I49" s="289">
        <v>45730.3</v>
      </c>
      <c r="J49" s="289">
        <f t="shared" si="8"/>
        <v>49936.600000000006</v>
      </c>
      <c r="K49" s="289">
        <f>8804.3+1627111.4</f>
        <v>1635915.7</v>
      </c>
      <c r="L49" s="289">
        <f t="shared" si="15"/>
        <v>2123440.7000000002</v>
      </c>
      <c r="M49" s="289">
        <v>-380276.7</v>
      </c>
      <c r="N49" s="289">
        <f t="shared" ref="N49" si="18">L49+M49</f>
        <v>1743164.0000000002</v>
      </c>
      <c r="O49" s="289">
        <f t="shared" ref="O49" si="19">D49+N49</f>
        <v>2026224.5000000002</v>
      </c>
      <c r="P49" s="305" t="s">
        <v>565</v>
      </c>
      <c r="Q49" s="748"/>
      <c r="R49" s="748"/>
    </row>
    <row r="50" spans="1:18" s="162" customFormat="1" ht="11.45" customHeight="1">
      <c r="A50" s="142" t="s">
        <v>566</v>
      </c>
      <c r="B50" s="230">
        <v>231618.7</v>
      </c>
      <c r="C50" s="230">
        <v>40573.1</v>
      </c>
      <c r="D50" s="230">
        <f t="shared" si="6"/>
        <v>272191.8</v>
      </c>
      <c r="E50" s="230">
        <v>127517.6</v>
      </c>
      <c r="F50" s="230">
        <v>298715.7</v>
      </c>
      <c r="G50" s="230">
        <f t="shared" si="7"/>
        <v>426233.30000000005</v>
      </c>
      <c r="H50" s="230">
        <v>3799.5</v>
      </c>
      <c r="I50" s="230">
        <v>45074.8</v>
      </c>
      <c r="J50" s="230">
        <f t="shared" si="8"/>
        <v>48874.3</v>
      </c>
      <c r="K50" s="230">
        <f>8681.3+1634021.3</f>
        <v>1642702.6</v>
      </c>
      <c r="L50" s="230">
        <f t="shared" si="15"/>
        <v>2117810.2000000002</v>
      </c>
      <c r="M50" s="230">
        <v>-365677.2</v>
      </c>
      <c r="N50" s="230">
        <f t="shared" ref="N50:N51" si="20">L50+M50</f>
        <v>1752133.0000000002</v>
      </c>
      <c r="O50" s="230">
        <f t="shared" ref="O50:O51" si="21">D50+N50</f>
        <v>2024324.8000000003</v>
      </c>
      <c r="P50" s="209" t="s">
        <v>566</v>
      </c>
      <c r="Q50" s="748"/>
      <c r="R50" s="748"/>
    </row>
    <row r="51" spans="1:18" s="162" customFormat="1" ht="11.45" customHeight="1">
      <c r="A51" s="312" t="s">
        <v>560</v>
      </c>
      <c r="B51" s="289">
        <v>231666.3</v>
      </c>
      <c r="C51" s="289">
        <v>33430.400000000001</v>
      </c>
      <c r="D51" s="289">
        <f t="shared" si="6"/>
        <v>265096.7</v>
      </c>
      <c r="E51" s="289">
        <v>103832.7</v>
      </c>
      <c r="F51" s="289">
        <v>302981.09999999998</v>
      </c>
      <c r="G51" s="289">
        <f t="shared" si="7"/>
        <v>406813.8</v>
      </c>
      <c r="H51" s="289">
        <v>3786.1</v>
      </c>
      <c r="I51" s="289">
        <v>43455.9</v>
      </c>
      <c r="J51" s="289">
        <f t="shared" si="8"/>
        <v>47242</v>
      </c>
      <c r="K51" s="289">
        <f>9289.2+1642954.9</f>
        <v>1652244.0999999999</v>
      </c>
      <c r="L51" s="289">
        <f t="shared" si="15"/>
        <v>2106299.9</v>
      </c>
      <c r="M51" s="289">
        <v>-346247.9</v>
      </c>
      <c r="N51" s="289">
        <f t="shared" si="20"/>
        <v>1760052</v>
      </c>
      <c r="O51" s="289">
        <f t="shared" si="21"/>
        <v>2025148.7</v>
      </c>
      <c r="P51" s="305" t="s">
        <v>560</v>
      </c>
      <c r="Q51" s="748"/>
      <c r="R51" s="748"/>
    </row>
    <row r="52" spans="1:18" s="162" customFormat="1" ht="11.45" customHeight="1">
      <c r="A52" s="142" t="s">
        <v>567</v>
      </c>
      <c r="B52" s="230">
        <v>228522.6</v>
      </c>
      <c r="C52" s="230">
        <v>21744.6</v>
      </c>
      <c r="D52" s="230">
        <f t="shared" si="6"/>
        <v>250267.2</v>
      </c>
      <c r="E52" s="230">
        <v>106212.1</v>
      </c>
      <c r="F52" s="230">
        <v>321060.2</v>
      </c>
      <c r="G52" s="230">
        <f t="shared" si="7"/>
        <v>427272.30000000005</v>
      </c>
      <c r="H52" s="230">
        <v>3789.7</v>
      </c>
      <c r="I52" s="230">
        <v>43684.5</v>
      </c>
      <c r="J52" s="230">
        <f t="shared" si="8"/>
        <v>47474.2</v>
      </c>
      <c r="K52" s="230">
        <f>8910.5+1647321.9</f>
        <v>1656232.4</v>
      </c>
      <c r="L52" s="230">
        <f t="shared" si="15"/>
        <v>2130978.9</v>
      </c>
      <c r="M52" s="230">
        <v>-347735.1</v>
      </c>
      <c r="N52" s="230">
        <f t="shared" ref="N52:N53" si="22">L52+M52</f>
        <v>1783243.7999999998</v>
      </c>
      <c r="O52" s="230">
        <f t="shared" ref="O52:O53" si="23">D52+N52</f>
        <v>2033510.9999999998</v>
      </c>
      <c r="P52" s="209" t="s">
        <v>567</v>
      </c>
      <c r="Q52" s="748"/>
      <c r="R52" s="748"/>
    </row>
    <row r="53" spans="1:18" s="162" customFormat="1" ht="11.45" customHeight="1">
      <c r="A53" s="312" t="s">
        <v>568</v>
      </c>
      <c r="B53" s="289">
        <v>223881.5</v>
      </c>
      <c r="C53" s="289">
        <v>22581.200000000001</v>
      </c>
      <c r="D53" s="289">
        <f t="shared" si="6"/>
        <v>246462.7</v>
      </c>
      <c r="E53" s="289">
        <v>107981.5</v>
      </c>
      <c r="F53" s="289">
        <v>330666</v>
      </c>
      <c r="G53" s="289">
        <f t="shared" si="7"/>
        <v>438647.5</v>
      </c>
      <c r="H53" s="289">
        <v>3796.2</v>
      </c>
      <c r="I53" s="289">
        <v>44065</v>
      </c>
      <c r="J53" s="289">
        <f t="shared" si="8"/>
        <v>47861.2</v>
      </c>
      <c r="K53" s="289">
        <f>9505.7+1654818.5</f>
        <v>1664324.2</v>
      </c>
      <c r="L53" s="289">
        <f t="shared" si="15"/>
        <v>2150832.9</v>
      </c>
      <c r="M53" s="289">
        <v>-356510.6</v>
      </c>
      <c r="N53" s="289">
        <f t="shared" si="22"/>
        <v>1794322.2999999998</v>
      </c>
      <c r="O53" s="289">
        <f t="shared" si="23"/>
        <v>2040784.9999999998</v>
      </c>
      <c r="P53" s="305" t="s">
        <v>568</v>
      </c>
      <c r="Q53" s="748"/>
      <c r="R53" s="748"/>
    </row>
    <row r="54" spans="1:18" s="162" customFormat="1" ht="11.45" customHeight="1">
      <c r="A54" s="142" t="s">
        <v>561</v>
      </c>
      <c r="B54" s="230">
        <v>235750.8</v>
      </c>
      <c r="C54" s="230">
        <v>19525.599999999999</v>
      </c>
      <c r="D54" s="230">
        <f t="shared" si="6"/>
        <v>255276.4</v>
      </c>
      <c r="E54" s="230">
        <v>89973.6</v>
      </c>
      <c r="F54" s="230">
        <v>325599.5</v>
      </c>
      <c r="G54" s="230">
        <f t="shared" si="7"/>
        <v>415573.1</v>
      </c>
      <c r="H54" s="230">
        <v>6903.5</v>
      </c>
      <c r="I54" s="230">
        <v>43426.2</v>
      </c>
      <c r="J54" s="230">
        <f t="shared" si="8"/>
        <v>50329.7</v>
      </c>
      <c r="K54" s="230">
        <f>9426.5+1675844.7</f>
        <v>1685271.2</v>
      </c>
      <c r="L54" s="230">
        <f t="shared" si="15"/>
        <v>2151174</v>
      </c>
      <c r="M54" s="230">
        <v>-352768.5</v>
      </c>
      <c r="N54" s="230">
        <f t="shared" ref="N54:N55" si="24">L54+M54</f>
        <v>1798405.5</v>
      </c>
      <c r="O54" s="230">
        <f t="shared" ref="O54:O55" si="25">D54+N54</f>
        <v>2053681.9</v>
      </c>
      <c r="P54" s="209" t="s">
        <v>561</v>
      </c>
      <c r="Q54" s="748"/>
      <c r="R54" s="748"/>
    </row>
    <row r="55" spans="1:18" s="162" customFormat="1" ht="11.45" customHeight="1" thickBot="1">
      <c r="A55" s="1352" t="s">
        <v>569</v>
      </c>
      <c r="B55" s="1468">
        <v>238082.6</v>
      </c>
      <c r="C55" s="1468">
        <v>21792.3</v>
      </c>
      <c r="D55" s="1468">
        <f t="shared" si="6"/>
        <v>259874.9</v>
      </c>
      <c r="E55" s="1468">
        <v>88103.8</v>
      </c>
      <c r="F55" s="1468">
        <v>346257.5</v>
      </c>
      <c r="G55" s="1468">
        <f t="shared" si="7"/>
        <v>434361.3</v>
      </c>
      <c r="H55" s="1468">
        <v>7121.8</v>
      </c>
      <c r="I55" s="1468">
        <v>43054.3</v>
      </c>
      <c r="J55" s="1468">
        <f t="shared" si="8"/>
        <v>50176.100000000006</v>
      </c>
      <c r="K55" s="1468">
        <f>9606.6+1670503.4</f>
        <v>1680110</v>
      </c>
      <c r="L55" s="1468">
        <f t="shared" si="15"/>
        <v>2164647.4</v>
      </c>
      <c r="M55" s="1468">
        <v>-368489.5</v>
      </c>
      <c r="N55" s="1468">
        <f t="shared" si="24"/>
        <v>1796157.9</v>
      </c>
      <c r="O55" s="1468">
        <f t="shared" si="25"/>
        <v>2056032.7999999998</v>
      </c>
      <c r="P55" s="1762" t="s">
        <v>569</v>
      </c>
      <c r="Q55" s="748"/>
      <c r="R55" s="748"/>
    </row>
    <row r="56" spans="1:18" ht="10.5" customHeight="1">
      <c r="A56" s="573" t="s">
        <v>195</v>
      </c>
      <c r="B56" s="1998" t="s">
        <v>2290</v>
      </c>
      <c r="C56" s="1998"/>
      <c r="D56" s="1998"/>
      <c r="E56" s="1998"/>
      <c r="F56" s="1998"/>
      <c r="G56" s="1998"/>
      <c r="H56" s="1998"/>
      <c r="I56" s="573" t="s">
        <v>197</v>
      </c>
      <c r="J56" s="1998" t="s">
        <v>1038</v>
      </c>
      <c r="K56" s="1998"/>
      <c r="L56" s="1998"/>
      <c r="M56" s="1998"/>
      <c r="N56" s="1998"/>
      <c r="O56" s="1998"/>
      <c r="P56" s="1998"/>
      <c r="Q56" s="748"/>
      <c r="R56" s="38"/>
    </row>
    <row r="57" spans="1:18" ht="11.25" customHeight="1">
      <c r="A57" s="37"/>
      <c r="B57" s="1999" t="s">
        <v>1332</v>
      </c>
      <c r="C57" s="1999"/>
      <c r="D57" s="1999"/>
      <c r="E57" s="694"/>
      <c r="F57" s="1205"/>
      <c r="G57" s="1205" t="s">
        <v>1348</v>
      </c>
      <c r="H57" s="694"/>
      <c r="J57" s="2000" t="s">
        <v>1256</v>
      </c>
      <c r="K57" s="2000"/>
      <c r="L57" s="2000"/>
      <c r="M57" s="2000"/>
      <c r="N57" s="2000"/>
      <c r="O57" s="2000"/>
      <c r="P57" s="2000"/>
    </row>
    <row r="58" spans="1:18" ht="12.75" customHeight="1">
      <c r="B58" s="1517"/>
      <c r="C58" s="1517"/>
      <c r="D58" s="1517"/>
      <c r="E58" s="1231"/>
      <c r="F58" s="1231"/>
      <c r="G58" s="1231"/>
      <c r="H58" s="1513"/>
      <c r="I58" s="45" t="s">
        <v>196</v>
      </c>
      <c r="J58" s="2011" t="s">
        <v>1257</v>
      </c>
      <c r="K58" s="2011"/>
      <c r="L58" s="2011"/>
      <c r="M58" s="2011"/>
      <c r="N58" s="2011"/>
      <c r="Q58" s="164"/>
    </row>
    <row r="59" spans="1:18" ht="12.75" customHeight="1">
      <c r="F59" s="1231"/>
      <c r="G59" s="1231"/>
      <c r="J59" s="38"/>
      <c r="L59" s="38"/>
      <c r="M59" s="38"/>
      <c r="N59" s="38"/>
      <c r="O59" s="38"/>
      <c r="P59" s="38"/>
      <c r="Q59" s="490"/>
    </row>
    <row r="60" spans="1:18">
      <c r="C60" s="230"/>
      <c r="D60" s="38"/>
      <c r="E60" s="38"/>
      <c r="F60" s="1231"/>
      <c r="G60" s="1231"/>
      <c r="H60" s="38"/>
      <c r="I60" s="38"/>
      <c r="J60" s="38"/>
      <c r="K60" s="38"/>
      <c r="L60" s="38"/>
      <c r="M60" s="38"/>
      <c r="N60" s="38"/>
      <c r="O60" s="38"/>
      <c r="Q60" s="164"/>
    </row>
    <row r="61" spans="1:18">
      <c r="C61" s="230"/>
      <c r="E61" s="38"/>
      <c r="F61" s="1231"/>
      <c r="G61" s="1231"/>
      <c r="H61" s="38"/>
      <c r="J61" s="38"/>
      <c r="L61" s="38"/>
      <c r="M61" s="38"/>
      <c r="Q61" s="164"/>
    </row>
    <row r="62" spans="1:18">
      <c r="C62" s="230"/>
      <c r="E62" s="38"/>
      <c r="F62" s="1231"/>
      <c r="G62" s="1231"/>
      <c r="H62" s="38"/>
      <c r="L62" s="38"/>
      <c r="M62" s="38"/>
      <c r="O62" s="38"/>
      <c r="P62" s="490"/>
      <c r="Q62" s="164"/>
    </row>
    <row r="63" spans="1:18">
      <c r="B63" s="38"/>
      <c r="C63" s="230"/>
      <c r="D63" s="38"/>
      <c r="E63" s="38"/>
      <c r="F63" s="1231"/>
      <c r="G63" s="1231"/>
      <c r="H63" s="38"/>
      <c r="I63" s="38"/>
      <c r="J63" s="38"/>
      <c r="K63" s="38"/>
      <c r="L63" s="38"/>
      <c r="M63" s="38"/>
      <c r="N63" s="38"/>
      <c r="O63" s="38"/>
      <c r="P63" s="490"/>
    </row>
    <row r="64" spans="1:18">
      <c r="C64" s="230"/>
      <c r="D64" s="38"/>
      <c r="E64" s="85"/>
      <c r="F64" s="1231"/>
      <c r="G64" s="1231"/>
      <c r="H64" s="38"/>
      <c r="I64" s="85"/>
      <c r="J64" s="38"/>
      <c r="K64" s="38"/>
      <c r="L64" s="85"/>
      <c r="M64" s="85"/>
      <c r="O64" s="490"/>
      <c r="P64" s="490"/>
    </row>
    <row r="65" spans="2:16">
      <c r="D65" s="38"/>
      <c r="E65" s="85"/>
      <c r="G65" s="1231"/>
      <c r="J65" s="38"/>
      <c r="K65" s="85"/>
      <c r="L65" s="38"/>
      <c r="O65" s="175"/>
      <c r="P65" s="164"/>
    </row>
    <row r="66" spans="2:16">
      <c r="D66" s="85"/>
      <c r="G66" s="1231"/>
      <c r="H66" s="38"/>
      <c r="I66" s="38"/>
      <c r="K66" s="38"/>
      <c r="L66" s="85"/>
      <c r="M66" s="85"/>
    </row>
    <row r="67" spans="2:16">
      <c r="G67" s="1231"/>
      <c r="J67" s="38"/>
      <c r="K67" s="85"/>
      <c r="L67" s="38"/>
      <c r="M67" s="85"/>
    </row>
    <row r="68" spans="2:16">
      <c r="G68" s="1231"/>
      <c r="J68" s="38"/>
    </row>
    <row r="69" spans="2:16">
      <c r="G69" s="1231"/>
    </row>
    <row r="70" spans="2:16">
      <c r="G70" s="1231"/>
      <c r="L70" s="38"/>
      <c r="M70" s="85"/>
    </row>
    <row r="71" spans="2:16">
      <c r="G71" s="1231"/>
    </row>
    <row r="72" spans="2:16">
      <c r="B72" s="38"/>
      <c r="C72" s="38"/>
      <c r="D72" s="38"/>
      <c r="E72" s="38"/>
      <c r="F72" s="38"/>
      <c r="G72" s="1231"/>
      <c r="H72" s="38"/>
      <c r="I72" s="38"/>
      <c r="J72" s="38"/>
      <c r="K72" s="38"/>
      <c r="L72" s="38"/>
      <c r="M72" s="38"/>
      <c r="N72" s="38"/>
      <c r="O72" s="38"/>
      <c r="P72" s="38"/>
    </row>
    <row r="73" spans="2:16">
      <c r="B73" s="38"/>
      <c r="C73" s="38"/>
      <c r="D73" s="38"/>
      <c r="E73" s="38"/>
      <c r="F73" s="38"/>
      <c r="G73" s="1231"/>
      <c r="H73" s="38"/>
      <c r="I73" s="38"/>
      <c r="J73" s="38"/>
      <c r="K73" s="38"/>
      <c r="L73" s="38"/>
      <c r="M73" s="38"/>
      <c r="N73" s="38"/>
      <c r="O73" s="38"/>
      <c r="P73" s="38"/>
    </row>
    <row r="74" spans="2:16">
      <c r="B74" s="38"/>
      <c r="C74" s="38"/>
      <c r="D74" s="38"/>
      <c r="E74" s="38"/>
      <c r="F74" s="38"/>
      <c r="G74" s="1231"/>
      <c r="H74" s="38"/>
      <c r="I74" s="38"/>
      <c r="J74" s="38"/>
      <c r="K74" s="38"/>
      <c r="L74" s="38"/>
      <c r="M74" s="38"/>
      <c r="N74" s="38"/>
      <c r="O74" s="38"/>
      <c r="P74" s="38"/>
    </row>
    <row r="75" spans="2:16">
      <c r="B75" s="38"/>
      <c r="C75" s="38"/>
      <c r="D75" s="38"/>
      <c r="E75" s="38"/>
      <c r="F75" s="38"/>
      <c r="G75" s="1231"/>
      <c r="H75" s="38"/>
      <c r="I75" s="38"/>
      <c r="J75" s="38"/>
      <c r="K75" s="38"/>
      <c r="L75" s="38"/>
      <c r="M75" s="38"/>
      <c r="N75" s="38"/>
      <c r="O75" s="38"/>
      <c r="P75" s="38"/>
    </row>
    <row r="76" spans="2:16">
      <c r="B76" s="38"/>
      <c r="C76" s="38"/>
      <c r="D76" s="38"/>
      <c r="E76" s="38"/>
      <c r="F76" s="38"/>
      <c r="G76" s="1231"/>
      <c r="H76" s="38"/>
      <c r="I76" s="38"/>
      <c r="J76" s="38"/>
      <c r="K76" s="38"/>
      <c r="L76" s="38"/>
      <c r="M76" s="38"/>
      <c r="N76" s="38"/>
      <c r="O76" s="38"/>
      <c r="P76" s="38"/>
    </row>
    <row r="77" spans="2:16">
      <c r="B77" s="38"/>
      <c r="C77" s="38"/>
      <c r="D77" s="38"/>
      <c r="E77" s="38"/>
      <c r="F77" s="38"/>
      <c r="G77" s="1231"/>
      <c r="H77" s="38"/>
      <c r="I77" s="38"/>
      <c r="J77" s="38"/>
      <c r="K77" s="38"/>
      <c r="L77" s="38"/>
      <c r="M77" s="38"/>
      <c r="N77" s="38"/>
      <c r="O77" s="38"/>
      <c r="P77" s="38"/>
    </row>
    <row r="78" spans="2:16">
      <c r="B78" s="38"/>
      <c r="C78" s="38"/>
      <c r="D78" s="38"/>
      <c r="E78" s="38"/>
      <c r="F78" s="38"/>
      <c r="G78" s="1231"/>
      <c r="H78" s="38"/>
      <c r="I78" s="38"/>
      <c r="J78" s="38"/>
      <c r="K78" s="38"/>
      <c r="L78" s="38"/>
      <c r="M78" s="38"/>
      <c r="N78" s="38"/>
      <c r="O78" s="38"/>
      <c r="P78" s="38"/>
    </row>
    <row r="79" spans="2:16">
      <c r="B79" s="38"/>
      <c r="C79" s="38"/>
      <c r="D79" s="38"/>
      <c r="E79" s="38"/>
      <c r="F79" s="38"/>
      <c r="G79" s="1231"/>
      <c r="H79" s="38"/>
      <c r="I79" s="38"/>
      <c r="J79" s="38"/>
      <c r="K79" s="38"/>
      <c r="L79" s="38"/>
      <c r="M79" s="38"/>
      <c r="N79" s="38"/>
      <c r="O79" s="38"/>
      <c r="P79" s="38"/>
    </row>
    <row r="80" spans="2:16">
      <c r="B80" s="38"/>
      <c r="C80" s="38"/>
      <c r="D80" s="38"/>
      <c r="E80" s="38"/>
      <c r="F80" s="38"/>
      <c r="G80" s="1231"/>
      <c r="H80" s="38"/>
      <c r="I80" s="38"/>
      <c r="J80" s="38"/>
      <c r="K80" s="38"/>
      <c r="L80" s="38"/>
      <c r="M80" s="38"/>
      <c r="N80" s="38"/>
      <c r="O80" s="38"/>
      <c r="P80" s="38"/>
    </row>
    <row r="81" spans="2:16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2:16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</sheetData>
  <customSheetViews>
    <customSheetView guid="{A374FC54-96E3-45F0-9C12-8450400C12DF}" scale="170">
      <pane xSplit="1" ySplit="8" topLeftCell="D45" activePane="bottomRight" state="frozen"/>
      <selection pane="bottomRight" activeCell="L47" sqref="L47:L49"/>
      <pageMargins left="0.62992125984252001" right="0.511811023622047" top="0.261811024" bottom="0" header="0" footer="0.196850393700787"/>
      <pageSetup paperSize="132" firstPageNumber="12" orientation="portrait" useFirstPageNumber="1" r:id="rId1"/>
      <headerFooter alignWithMargins="0">
        <oddFooter>&amp;C&amp;"Times New Roman,Regular"&amp;8&amp;P</oddFooter>
      </headerFooter>
    </customSheetView>
  </customSheetViews>
  <mergeCells count="33">
    <mergeCell ref="J58:N58"/>
    <mergeCell ref="A1:C1"/>
    <mergeCell ref="E4:J4"/>
    <mergeCell ref="G6:G7"/>
    <mergeCell ref="D1:F1"/>
    <mergeCell ref="L4:L7"/>
    <mergeCell ref="E5:G5"/>
    <mergeCell ref="E6:E7"/>
    <mergeCell ref="F6:F7"/>
    <mergeCell ref="B3:D3"/>
    <mergeCell ref="D4:D7"/>
    <mergeCell ref="B4:B7"/>
    <mergeCell ref="H5:J5"/>
    <mergeCell ref="J6:J7"/>
    <mergeCell ref="I3:K3"/>
    <mergeCell ref="A3:A8"/>
    <mergeCell ref="O1:P1"/>
    <mergeCell ref="O2:P2"/>
    <mergeCell ref="O3:O7"/>
    <mergeCell ref="G1:H1"/>
    <mergeCell ref="M3:M7"/>
    <mergeCell ref="I1:J1"/>
    <mergeCell ref="N3:N7"/>
    <mergeCell ref="P3:P8"/>
    <mergeCell ref="K4:K7"/>
    <mergeCell ref="H6:H7"/>
    <mergeCell ref="I6:I7"/>
    <mergeCell ref="E3:H3"/>
    <mergeCell ref="C4:C7"/>
    <mergeCell ref="J56:P56"/>
    <mergeCell ref="B56:H56"/>
    <mergeCell ref="B57:D57"/>
    <mergeCell ref="J57:P57"/>
  </mergeCells>
  <phoneticPr fontId="0" type="noConversion"/>
  <pageMargins left="0.62992125984252001" right="0.511811023622047" top="0.261811024" bottom="0" header="0" footer="0.196850393700787"/>
  <pageSetup paperSize="448" firstPageNumber="12" orientation="portrait" useFirstPageNumber="1" r:id="rId2"/>
  <headerFooter alignWithMargins="0">
    <oddFooter>&amp;C&amp;"Times New Roman,Regular"&amp;8&amp;P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:T71"/>
  <sheetViews>
    <sheetView zoomScale="120" zoomScaleNormal="120" workbookViewId="0">
      <pane xSplit="1" ySplit="5" topLeftCell="B37" activePane="bottomRight" state="frozen"/>
      <selection activeCell="F85" sqref="F85"/>
      <selection pane="topRight" activeCell="F85" sqref="F85"/>
      <selection pane="bottomLeft" activeCell="F85" sqref="F85"/>
      <selection pane="bottomRight" activeCell="K58" sqref="K58"/>
    </sheetView>
  </sheetViews>
  <sheetFormatPr defaultColWidth="9.140625" defaultRowHeight="12.75"/>
  <cols>
    <col min="1" max="1" width="11.140625" style="438" customWidth="1"/>
    <col min="2" max="2" width="13.7109375" style="438" customWidth="1"/>
    <col min="3" max="3" width="12.85546875" style="438" customWidth="1"/>
    <col min="4" max="4" width="13" style="438" customWidth="1"/>
    <col min="5" max="5" width="13.42578125" style="438" customWidth="1"/>
    <col min="6" max="6" width="13" style="438" customWidth="1"/>
    <col min="7" max="8" width="12.7109375" style="438" customWidth="1"/>
    <col min="9" max="10" width="13.28515625" style="438" customWidth="1"/>
    <col min="11" max="11" width="14.42578125" style="438" customWidth="1"/>
    <col min="12" max="12" width="11.85546875" style="438" customWidth="1"/>
    <col min="13" max="13" width="12.140625" style="438" customWidth="1"/>
    <col min="14" max="14" width="10.7109375" style="438" customWidth="1"/>
    <col min="15" max="15" width="11" style="438" customWidth="1"/>
    <col min="16" max="16384" width="9.140625" style="438"/>
  </cols>
  <sheetData>
    <row r="1" spans="1:17" s="166" customFormat="1" ht="15.75">
      <c r="D1" s="2035" t="s">
        <v>815</v>
      </c>
      <c r="E1" s="2035"/>
      <c r="F1" s="2035"/>
      <c r="G1" s="2039" t="s">
        <v>439</v>
      </c>
      <c r="H1" s="2039"/>
      <c r="I1" s="2039"/>
      <c r="K1" s="2035" t="s">
        <v>331</v>
      </c>
      <c r="L1" s="2035"/>
    </row>
    <row r="2" spans="1:17" s="169" customFormat="1" ht="10.5" customHeight="1">
      <c r="F2" s="1651"/>
      <c r="K2" s="2040" t="s">
        <v>220</v>
      </c>
      <c r="L2" s="2040"/>
      <c r="N2" s="166"/>
      <c r="O2" s="166"/>
    </row>
    <row r="3" spans="1:17" s="171" customFormat="1" ht="22.5" customHeight="1">
      <c r="A3" s="2030" t="s">
        <v>922</v>
      </c>
      <c r="B3" s="2033" t="s">
        <v>198</v>
      </c>
      <c r="C3" s="1900" t="s">
        <v>925</v>
      </c>
      <c r="D3" s="2036" t="s">
        <v>387</v>
      </c>
      <c r="E3" s="2037"/>
      <c r="F3" s="2038"/>
      <c r="G3" s="2036" t="s">
        <v>389</v>
      </c>
      <c r="H3" s="2037"/>
      <c r="I3" s="2038"/>
      <c r="J3" s="1900" t="s">
        <v>781</v>
      </c>
      <c r="K3" s="1900" t="s">
        <v>924</v>
      </c>
      <c r="L3" s="2030" t="s">
        <v>923</v>
      </c>
      <c r="N3" s="166"/>
      <c r="O3" s="166"/>
    </row>
    <row r="4" spans="1:17" s="171" customFormat="1" ht="22.5" customHeight="1">
      <c r="A4" s="2031"/>
      <c r="B4" s="2034"/>
      <c r="C4" s="1902"/>
      <c r="D4" s="1650" t="s">
        <v>388</v>
      </c>
      <c r="E4" s="1650" t="s">
        <v>484</v>
      </c>
      <c r="F4" s="1650" t="s">
        <v>483</v>
      </c>
      <c r="G4" s="1650" t="s">
        <v>388</v>
      </c>
      <c r="H4" s="1650" t="s">
        <v>484</v>
      </c>
      <c r="I4" s="1650" t="s">
        <v>483</v>
      </c>
      <c r="J4" s="1902"/>
      <c r="K4" s="1902"/>
      <c r="L4" s="2031"/>
      <c r="N4" s="166"/>
      <c r="O4" s="166"/>
    </row>
    <row r="5" spans="1:17" s="515" customFormat="1" ht="12" customHeight="1">
      <c r="A5" s="2032"/>
      <c r="B5" s="1653">
        <v>1</v>
      </c>
      <c r="C5" s="514">
        <v>2</v>
      </c>
      <c r="D5" s="514">
        <v>3</v>
      </c>
      <c r="E5" s="514">
        <v>4</v>
      </c>
      <c r="F5" s="514" t="s">
        <v>199</v>
      </c>
      <c r="G5" s="514">
        <v>6</v>
      </c>
      <c r="H5" s="514">
        <v>7</v>
      </c>
      <c r="I5" s="514" t="s">
        <v>200</v>
      </c>
      <c r="J5" s="514">
        <v>9</v>
      </c>
      <c r="K5" s="514" t="s">
        <v>390</v>
      </c>
      <c r="L5" s="2032"/>
      <c r="N5" s="166"/>
      <c r="O5" s="166"/>
    </row>
    <row r="6" spans="1:17" ht="11.45" customHeight="1">
      <c r="A6" s="1176" t="s">
        <v>81</v>
      </c>
      <c r="B6" s="463">
        <v>54252.9</v>
      </c>
      <c r="C6" s="463">
        <v>12.3</v>
      </c>
      <c r="D6" s="463">
        <v>1765.4</v>
      </c>
      <c r="E6" s="463">
        <v>9474.7999999999993</v>
      </c>
      <c r="F6" s="498">
        <f t="shared" ref="F6:F7" si="0">D6+E6</f>
        <v>11240.199999999999</v>
      </c>
      <c r="G6" s="463">
        <v>11036.2</v>
      </c>
      <c r="H6" s="463">
        <v>205147.4</v>
      </c>
      <c r="I6" s="498">
        <f t="shared" ref="I6:I7" si="1">G6+H6</f>
        <v>216183.6</v>
      </c>
      <c r="J6" s="463">
        <v>56138.6</v>
      </c>
      <c r="K6" s="498">
        <f t="shared" ref="K6:K7" si="2">B6+C6+F6+I6+J6</f>
        <v>337827.6</v>
      </c>
      <c r="L6" s="1224" t="s">
        <v>81</v>
      </c>
      <c r="N6" s="166"/>
      <c r="O6" s="166"/>
      <c r="P6" s="166"/>
      <c r="Q6" s="166"/>
    </row>
    <row r="7" spans="1:17" ht="11.45" customHeight="1">
      <c r="A7" s="1223" t="s">
        <v>190</v>
      </c>
      <c r="B7" s="468">
        <v>73227.899999999994</v>
      </c>
      <c r="C7" s="468">
        <v>9.4</v>
      </c>
      <c r="D7" s="468">
        <v>2162.1</v>
      </c>
      <c r="E7" s="468">
        <v>9681.2999999999993</v>
      </c>
      <c r="F7" s="509">
        <f t="shared" si="0"/>
        <v>11843.4</v>
      </c>
      <c r="G7" s="468">
        <v>14780.8</v>
      </c>
      <c r="H7" s="468">
        <v>261545.2</v>
      </c>
      <c r="I7" s="509">
        <f t="shared" si="1"/>
        <v>276326</v>
      </c>
      <c r="J7" s="468">
        <v>69486.3</v>
      </c>
      <c r="K7" s="509">
        <f t="shared" si="2"/>
        <v>430892.99999999994</v>
      </c>
      <c r="L7" s="1225" t="s">
        <v>190</v>
      </c>
      <c r="N7" s="166"/>
      <c r="O7" s="166"/>
      <c r="P7" s="169"/>
      <c r="Q7" s="169"/>
    </row>
    <row r="8" spans="1:17" ht="11.45" customHeight="1">
      <c r="A8" s="1176" t="s">
        <v>731</v>
      </c>
      <c r="B8" s="463">
        <v>91728.8</v>
      </c>
      <c r="C8" s="463">
        <v>5.8</v>
      </c>
      <c r="D8" s="463">
        <v>2558.6</v>
      </c>
      <c r="E8" s="463">
        <v>11158.6</v>
      </c>
      <c r="F8" s="498">
        <v>13717.2</v>
      </c>
      <c r="G8" s="463">
        <v>12777.7</v>
      </c>
      <c r="H8" s="463">
        <v>320176.90000000002</v>
      </c>
      <c r="I8" s="498">
        <v>332954.60000000003</v>
      </c>
      <c r="J8" s="463">
        <v>76566.2</v>
      </c>
      <c r="K8" s="498">
        <v>514972.60000000003</v>
      </c>
      <c r="L8" s="1224" t="s">
        <v>731</v>
      </c>
      <c r="N8" s="166"/>
      <c r="O8" s="166"/>
      <c r="P8" s="171"/>
      <c r="Q8" s="171"/>
    </row>
    <row r="9" spans="1:17" ht="11.45" customHeight="1">
      <c r="A9" s="1223" t="s">
        <v>840</v>
      </c>
      <c r="B9" s="468">
        <v>110124.6</v>
      </c>
      <c r="C9" s="468">
        <v>2.2999999999999998</v>
      </c>
      <c r="D9" s="468">
        <v>3509.3</v>
      </c>
      <c r="E9" s="468">
        <v>14227.8</v>
      </c>
      <c r="F9" s="509">
        <v>17737.099999999999</v>
      </c>
      <c r="G9" s="468">
        <v>5943.7</v>
      </c>
      <c r="H9" s="468">
        <v>354128.7</v>
      </c>
      <c r="I9" s="509">
        <v>360072.4</v>
      </c>
      <c r="J9" s="468">
        <v>83800.7</v>
      </c>
      <c r="K9" s="509">
        <v>571737.1</v>
      </c>
      <c r="L9" s="1225" t="s">
        <v>840</v>
      </c>
      <c r="N9" s="166"/>
      <c r="O9" s="166"/>
      <c r="P9" s="171"/>
      <c r="Q9" s="171"/>
    </row>
    <row r="10" spans="1:17" s="354" customFormat="1" ht="11.45" customHeight="1">
      <c r="A10" s="287" t="s">
        <v>1019</v>
      </c>
      <c r="B10" s="463">
        <v>117529.4</v>
      </c>
      <c r="C10" s="463">
        <v>0</v>
      </c>
      <c r="D10" s="463">
        <v>5279.8</v>
      </c>
      <c r="E10" s="463">
        <v>17064.3</v>
      </c>
      <c r="F10" s="463">
        <v>22344.1</v>
      </c>
      <c r="G10" s="463">
        <v>7457.2</v>
      </c>
      <c r="H10" s="463">
        <v>396366.5</v>
      </c>
      <c r="I10" s="463">
        <v>403823.7</v>
      </c>
      <c r="J10" s="463">
        <v>94209.1</v>
      </c>
      <c r="K10" s="463">
        <v>637906.29999999993</v>
      </c>
      <c r="L10" s="378" t="s">
        <v>1019</v>
      </c>
      <c r="N10" s="166"/>
      <c r="O10" s="166"/>
      <c r="P10" s="515"/>
      <c r="Q10" s="515"/>
    </row>
    <row r="11" spans="1:17" s="354" customFormat="1" ht="11.45" customHeight="1">
      <c r="A11" s="228" t="s">
        <v>1070</v>
      </c>
      <c r="B11" s="468">
        <v>110257.3</v>
      </c>
      <c r="C11" s="468">
        <v>0</v>
      </c>
      <c r="D11" s="468">
        <v>5366.6</v>
      </c>
      <c r="E11" s="468">
        <v>21902.2</v>
      </c>
      <c r="F11" s="468">
        <v>27268.799999999999</v>
      </c>
      <c r="G11" s="468">
        <v>11303.2</v>
      </c>
      <c r="H11" s="468">
        <v>447518.7</v>
      </c>
      <c r="I11" s="468">
        <v>458821.8</v>
      </c>
      <c r="J11" s="468">
        <v>105178.6</v>
      </c>
      <c r="K11" s="468">
        <v>701526.5</v>
      </c>
      <c r="L11" s="401" t="s">
        <v>1070</v>
      </c>
      <c r="N11" s="166"/>
      <c r="O11" s="166"/>
      <c r="P11" s="166"/>
      <c r="Q11" s="166"/>
    </row>
    <row r="12" spans="1:17" s="354" customFormat="1" ht="11.45" customHeight="1">
      <c r="A12" s="287" t="s">
        <v>1193</v>
      </c>
      <c r="B12" s="463">
        <v>114219.6</v>
      </c>
      <c r="C12" s="463">
        <v>0</v>
      </c>
      <c r="D12" s="463">
        <v>6923.8</v>
      </c>
      <c r="E12" s="463">
        <v>26923.7</v>
      </c>
      <c r="F12" s="463">
        <v>33847.5</v>
      </c>
      <c r="G12" s="463">
        <v>9127.2999999999993</v>
      </c>
      <c r="H12" s="463">
        <v>531340.4</v>
      </c>
      <c r="I12" s="463">
        <v>540467.70000000007</v>
      </c>
      <c r="J12" s="463">
        <v>112745.2</v>
      </c>
      <c r="K12" s="463">
        <v>801280</v>
      </c>
      <c r="L12" s="378" t="s">
        <v>1193</v>
      </c>
      <c r="N12" s="166"/>
      <c r="O12" s="166"/>
      <c r="P12" s="169"/>
      <c r="Q12" s="169"/>
    </row>
    <row r="13" spans="1:17" s="354" customFormat="1" ht="11.45" customHeight="1">
      <c r="A13" s="1221" t="s">
        <v>1225</v>
      </c>
      <c r="B13" s="468">
        <v>97333.5</v>
      </c>
      <c r="C13" s="468">
        <v>0</v>
      </c>
      <c r="D13" s="468">
        <v>8161.5</v>
      </c>
      <c r="E13" s="468">
        <v>33950.300000000003</v>
      </c>
      <c r="F13" s="468">
        <v>42111.8</v>
      </c>
      <c r="G13" s="468">
        <v>9118.7000000000007</v>
      </c>
      <c r="H13" s="468">
        <v>612395</v>
      </c>
      <c r="I13" s="468">
        <v>621513.69999999995</v>
      </c>
      <c r="J13" s="468">
        <v>129711.2</v>
      </c>
      <c r="K13" s="468">
        <v>890670.2</v>
      </c>
      <c r="L13" s="379" t="s">
        <v>1225</v>
      </c>
      <c r="N13" s="166"/>
      <c r="O13" s="166"/>
      <c r="P13" s="171"/>
      <c r="Q13" s="171"/>
    </row>
    <row r="14" spans="1:17" s="354" customFormat="1" ht="11.45" customHeight="1">
      <c r="A14" s="1222" t="s">
        <v>1350</v>
      </c>
      <c r="B14" s="463">
        <v>94894.9</v>
      </c>
      <c r="C14" s="463">
        <v>0</v>
      </c>
      <c r="D14" s="463">
        <v>8638.7999999999993</v>
      </c>
      <c r="E14" s="463">
        <v>43216.2</v>
      </c>
      <c r="F14" s="463">
        <v>51875.3</v>
      </c>
      <c r="G14" s="463">
        <v>10561.3</v>
      </c>
      <c r="H14" s="463">
        <v>714397</v>
      </c>
      <c r="I14" s="463">
        <v>724958.3</v>
      </c>
      <c r="J14" s="463">
        <v>149898.09999999995</v>
      </c>
      <c r="K14" s="463">
        <v>1021626.6</v>
      </c>
      <c r="L14" s="1226" t="s">
        <v>1350</v>
      </c>
      <c r="N14" s="166"/>
      <c r="O14" s="166"/>
      <c r="P14" s="171"/>
      <c r="Q14" s="171"/>
    </row>
    <row r="15" spans="1:17" s="223" customFormat="1" ht="11.45" customHeight="1">
      <c r="A15" s="384" t="s">
        <v>1466</v>
      </c>
      <c r="B15" s="468">
        <v>113273.4</v>
      </c>
      <c r="C15" s="468">
        <v>0</v>
      </c>
      <c r="D15" s="468">
        <v>10941.8</v>
      </c>
      <c r="E15" s="468">
        <v>44526.6</v>
      </c>
      <c r="F15" s="468">
        <v>55468.399999999994</v>
      </c>
      <c r="G15" s="468">
        <v>12413.8</v>
      </c>
      <c r="H15" s="468">
        <v>797858.7</v>
      </c>
      <c r="I15" s="468">
        <v>810272.5</v>
      </c>
      <c r="J15" s="468">
        <v>167870.4</v>
      </c>
      <c r="K15" s="468">
        <v>1146884.7</v>
      </c>
      <c r="L15" s="379" t="s">
        <v>1466</v>
      </c>
      <c r="N15" s="166"/>
      <c r="O15" s="166"/>
      <c r="P15" s="515"/>
      <c r="Q15" s="515"/>
    </row>
    <row r="16" spans="1:17" ht="11.45" customHeight="1">
      <c r="A16" s="398" t="s">
        <v>1550</v>
      </c>
      <c r="B16" s="463">
        <v>181150.7</v>
      </c>
      <c r="C16" s="463">
        <v>0</v>
      </c>
      <c r="D16" s="463">
        <v>11420.7</v>
      </c>
      <c r="E16" s="463">
        <v>43383.4</v>
      </c>
      <c r="F16" s="463">
        <v>54804.100000000006</v>
      </c>
      <c r="G16" s="463">
        <v>17794.400000000001</v>
      </c>
      <c r="H16" s="463">
        <v>875826.1</v>
      </c>
      <c r="I16" s="463">
        <v>893620.5</v>
      </c>
      <c r="J16" s="463">
        <v>178058.39999999991</v>
      </c>
      <c r="K16" s="463">
        <v>1307633.7</v>
      </c>
      <c r="L16" s="355" t="s">
        <v>1550</v>
      </c>
      <c r="N16" s="166"/>
      <c r="O16" s="166"/>
      <c r="P16" s="166"/>
      <c r="Q16" s="166"/>
    </row>
    <row r="17" spans="1:17" ht="11.45" customHeight="1">
      <c r="A17" s="1673" t="s">
        <v>1606</v>
      </c>
      <c r="B17" s="468">
        <v>221024.9</v>
      </c>
      <c r="C17" s="468">
        <v>0</v>
      </c>
      <c r="D17" s="468">
        <v>11686.7</v>
      </c>
      <c r="E17" s="468">
        <v>44685.5</v>
      </c>
      <c r="F17" s="468">
        <v>56372.2</v>
      </c>
      <c r="G17" s="468">
        <v>18330.400000000001</v>
      </c>
      <c r="H17" s="468">
        <v>944500.9</v>
      </c>
      <c r="I17" s="468">
        <v>962831.3</v>
      </c>
      <c r="J17" s="468">
        <v>199670.7</v>
      </c>
      <c r="K17" s="468">
        <v>1439899.0999999999</v>
      </c>
      <c r="L17" s="1229" t="s">
        <v>1606</v>
      </c>
      <c r="N17" s="166"/>
      <c r="O17" s="166"/>
      <c r="P17" s="169"/>
      <c r="Q17" s="169"/>
    </row>
    <row r="18" spans="1:17" s="484" customFormat="1" ht="11.45" customHeight="1">
      <c r="A18" s="1652" t="s">
        <v>1927</v>
      </c>
      <c r="B18" s="555">
        <v>283314.5</v>
      </c>
      <c r="C18" s="555">
        <v>0</v>
      </c>
      <c r="D18" s="555">
        <v>11888.306285111861</v>
      </c>
      <c r="E18" s="555">
        <v>46525.068338350975</v>
      </c>
      <c r="F18" s="555">
        <v>58413.374623462834</v>
      </c>
      <c r="G18" s="555">
        <v>25306.388915850399</v>
      </c>
      <c r="H18" s="555">
        <v>1078354.71160969</v>
      </c>
      <c r="I18" s="555">
        <v>1103661.1005255403</v>
      </c>
      <c r="J18" s="555">
        <v>226359.92485099685</v>
      </c>
      <c r="K18" s="555">
        <v>1671748.9</v>
      </c>
      <c r="L18" s="1230" t="s">
        <v>1927</v>
      </c>
      <c r="N18" s="166"/>
      <c r="O18" s="166"/>
      <c r="P18" s="171"/>
      <c r="Q18" s="171"/>
    </row>
    <row r="19" spans="1:17" s="484" customFormat="1" ht="11.45" customHeight="1">
      <c r="A19" s="891" t="s">
        <v>2183</v>
      </c>
      <c r="B19" s="553">
        <f>B31</f>
        <v>387349.911103677</v>
      </c>
      <c r="C19" s="553">
        <f t="shared" ref="C19:K19" si="3">C31</f>
        <v>0</v>
      </c>
      <c r="D19" s="553">
        <f t="shared" si="3"/>
        <v>11966.745926049949</v>
      </c>
      <c r="E19" s="553">
        <f t="shared" si="3"/>
        <v>51026.618835131594</v>
      </c>
      <c r="F19" s="553">
        <f t="shared" si="3"/>
        <v>62993.36476118154</v>
      </c>
      <c r="G19" s="553">
        <f t="shared" si="3"/>
        <v>33197.991050672099</v>
      </c>
      <c r="H19" s="553">
        <f t="shared" si="3"/>
        <v>1188220.97403525</v>
      </c>
      <c r="I19" s="553">
        <f t="shared" si="3"/>
        <v>1221418.965085922</v>
      </c>
      <c r="J19" s="553">
        <f t="shared" si="3"/>
        <v>255180.05278878909</v>
      </c>
      <c r="K19" s="553">
        <f t="shared" si="3"/>
        <v>1926942.2937395696</v>
      </c>
      <c r="L19" s="1228" t="s">
        <v>2183</v>
      </c>
      <c r="M19" s="539"/>
      <c r="N19" s="166"/>
      <c r="O19" s="166"/>
      <c r="P19" s="166"/>
      <c r="Q19" s="166"/>
    </row>
    <row r="20" spans="1:17" s="484" customFormat="1" ht="11.45" customHeight="1">
      <c r="A20" s="398" t="s">
        <v>565</v>
      </c>
      <c r="B20" s="463">
        <v>281761.7</v>
      </c>
      <c r="C20" s="463">
        <v>0</v>
      </c>
      <c r="D20" s="463">
        <v>12008.157854533902</v>
      </c>
      <c r="E20" s="463">
        <v>45274.658900148723</v>
      </c>
      <c r="F20" s="463">
        <f t="shared" ref="F20:F44" si="4">D20+E20</f>
        <v>57282.816754682623</v>
      </c>
      <c r="G20" s="463">
        <v>26125.949570027999</v>
      </c>
      <c r="H20" s="463">
        <v>1080847.7244113199</v>
      </c>
      <c r="I20" s="463">
        <f t="shared" ref="I20:I44" si="5">G20+H20</f>
        <v>1106973.6739813481</v>
      </c>
      <c r="J20" s="463">
        <v>226446.10926396927</v>
      </c>
      <c r="K20" s="463">
        <f t="shared" ref="K20:K51" si="6">B20+C20+F20+I20+J20</f>
        <v>1672464.3</v>
      </c>
      <c r="L20" s="1227" t="s">
        <v>565</v>
      </c>
      <c r="M20" s="539"/>
      <c r="N20" s="166"/>
      <c r="O20" s="166"/>
      <c r="P20" s="169"/>
      <c r="Q20" s="169"/>
    </row>
    <row r="21" spans="1:17" s="484" customFormat="1" ht="11.45" customHeight="1">
      <c r="A21" s="384" t="s">
        <v>566</v>
      </c>
      <c r="B21" s="468">
        <v>288427.39999999997</v>
      </c>
      <c r="C21" s="468">
        <v>0</v>
      </c>
      <c r="D21" s="468">
        <v>11713.838495810249</v>
      </c>
      <c r="E21" s="468">
        <v>44138.554544124847</v>
      </c>
      <c r="F21" s="468">
        <f t="shared" si="4"/>
        <v>55852.393039935094</v>
      </c>
      <c r="G21" s="468">
        <v>26897.596872609902</v>
      </c>
      <c r="H21" s="468">
        <v>1090128.1518876101</v>
      </c>
      <c r="I21" s="468">
        <f t="shared" si="5"/>
        <v>1117025.7487602199</v>
      </c>
      <c r="J21" s="468">
        <v>228216.45819984522</v>
      </c>
      <c r="K21" s="468">
        <f t="shared" si="6"/>
        <v>1689522</v>
      </c>
      <c r="L21" s="1229" t="s">
        <v>566</v>
      </c>
      <c r="M21" s="539"/>
      <c r="N21" s="166"/>
      <c r="O21" s="166"/>
      <c r="P21" s="171"/>
      <c r="Q21" s="171"/>
    </row>
    <row r="22" spans="1:17" s="484" customFormat="1" ht="11.45" customHeight="1">
      <c r="A22" s="398" t="s">
        <v>560</v>
      </c>
      <c r="B22" s="463">
        <v>292492.09999999998</v>
      </c>
      <c r="C22" s="463">
        <v>0</v>
      </c>
      <c r="D22" s="463">
        <v>11942.828952817588</v>
      </c>
      <c r="E22" s="463">
        <v>43928.571986931711</v>
      </c>
      <c r="F22" s="463">
        <f t="shared" si="4"/>
        <v>55871.400939749299</v>
      </c>
      <c r="G22" s="463">
        <v>26210.394968135199</v>
      </c>
      <c r="H22" s="463">
        <v>1105628.2324140701</v>
      </c>
      <c r="I22" s="463">
        <f t="shared" si="5"/>
        <v>1131838.6273822053</v>
      </c>
      <c r="J22" s="463">
        <v>229870.67167804533</v>
      </c>
      <c r="K22" s="463">
        <f t="shared" si="6"/>
        <v>1710072.7999999998</v>
      </c>
      <c r="L22" s="1227" t="s">
        <v>560</v>
      </c>
      <c r="M22" s="539"/>
      <c r="N22" s="166"/>
      <c r="O22" s="166"/>
      <c r="P22" s="171"/>
      <c r="Q22" s="171"/>
    </row>
    <row r="23" spans="1:17" s="484" customFormat="1" ht="11.45" customHeight="1">
      <c r="A23" s="384" t="s">
        <v>567</v>
      </c>
      <c r="B23" s="468">
        <v>305145.3</v>
      </c>
      <c r="C23" s="468">
        <v>0</v>
      </c>
      <c r="D23" s="468">
        <v>11924.136422956502</v>
      </c>
      <c r="E23" s="468">
        <v>44670.385132438583</v>
      </c>
      <c r="F23" s="468">
        <f t="shared" si="4"/>
        <v>56594.521555395084</v>
      </c>
      <c r="G23" s="468">
        <v>26854.586889405498</v>
      </c>
      <c r="H23" s="468">
        <v>1112296.7015984501</v>
      </c>
      <c r="I23" s="468">
        <f t="shared" si="5"/>
        <v>1139151.2884878556</v>
      </c>
      <c r="J23" s="468">
        <v>232194.78995674942</v>
      </c>
      <c r="K23" s="468">
        <f t="shared" si="6"/>
        <v>1733085.9000000001</v>
      </c>
      <c r="L23" s="1229" t="s">
        <v>567</v>
      </c>
      <c r="M23" s="539"/>
      <c r="N23" s="166"/>
      <c r="O23" s="166"/>
      <c r="P23" s="515"/>
      <c r="Q23" s="515"/>
    </row>
    <row r="24" spans="1:17" s="484" customFormat="1" ht="11.45" customHeight="1">
      <c r="A24" s="398" t="s">
        <v>568</v>
      </c>
      <c r="B24" s="463">
        <v>299232.69999999995</v>
      </c>
      <c r="C24" s="463">
        <v>0</v>
      </c>
      <c r="D24" s="463">
        <v>11893.72067677919</v>
      </c>
      <c r="E24" s="463">
        <v>46628.982973643127</v>
      </c>
      <c r="F24" s="463">
        <f t="shared" si="4"/>
        <v>58522.703650422322</v>
      </c>
      <c r="G24" s="463">
        <v>27517.246642374401</v>
      </c>
      <c r="H24" s="463">
        <v>1124898.6327464001</v>
      </c>
      <c r="I24" s="463">
        <f t="shared" si="5"/>
        <v>1152415.8793887745</v>
      </c>
      <c r="J24" s="463">
        <v>235202.56853245184</v>
      </c>
      <c r="K24" s="463">
        <f t="shared" si="6"/>
        <v>1745373.8515716486</v>
      </c>
      <c r="L24" s="1227" t="s">
        <v>568</v>
      </c>
      <c r="M24" s="539"/>
      <c r="N24" s="166"/>
      <c r="O24" s="166"/>
      <c r="P24" s="166"/>
      <c r="Q24" s="166"/>
    </row>
    <row r="25" spans="1:17" s="484" customFormat="1" ht="11.45" customHeight="1">
      <c r="A25" s="384" t="s">
        <v>561</v>
      </c>
      <c r="B25" s="468">
        <v>293619.40000000002</v>
      </c>
      <c r="C25" s="468">
        <v>0</v>
      </c>
      <c r="D25" s="468">
        <v>11852.43905825828</v>
      </c>
      <c r="E25" s="468">
        <v>48715.632874389026</v>
      </c>
      <c r="F25" s="468">
        <f t="shared" si="4"/>
        <v>60568.071932647304</v>
      </c>
      <c r="G25" s="468">
        <v>30157.020231745701</v>
      </c>
      <c r="H25" s="468">
        <v>1136706.5182117401</v>
      </c>
      <c r="I25" s="468">
        <f t="shared" si="5"/>
        <v>1166863.5384434857</v>
      </c>
      <c r="J25" s="468">
        <v>240711.36478540523</v>
      </c>
      <c r="K25" s="468">
        <f t="shared" si="6"/>
        <v>1761762.3751615384</v>
      </c>
      <c r="L25" s="1229" t="s">
        <v>561</v>
      </c>
      <c r="M25" s="539"/>
      <c r="N25" s="166"/>
      <c r="O25" s="166"/>
      <c r="P25" s="169"/>
      <c r="Q25" s="169"/>
    </row>
    <row r="26" spans="1:17" s="484" customFormat="1" ht="11.45" customHeight="1">
      <c r="A26" s="398" t="s">
        <v>569</v>
      </c>
      <c r="B26" s="463">
        <v>303589.09999999998</v>
      </c>
      <c r="C26" s="463">
        <v>0</v>
      </c>
      <c r="D26" s="463">
        <v>11815.63085262093</v>
      </c>
      <c r="E26" s="463">
        <v>48757.13351863659</v>
      </c>
      <c r="F26" s="463">
        <f t="shared" si="4"/>
        <v>60572.764371257523</v>
      </c>
      <c r="G26" s="463">
        <v>31748.391780133101</v>
      </c>
      <c r="H26" s="463">
        <v>1137339.6601841999</v>
      </c>
      <c r="I26" s="463">
        <f t="shared" si="5"/>
        <v>1169088.051964333</v>
      </c>
      <c r="J26" s="463">
        <v>239929.34504311511</v>
      </c>
      <c r="K26" s="463">
        <f t="shared" si="6"/>
        <v>1773179.2613787057</v>
      </c>
      <c r="L26" s="1227" t="s">
        <v>569</v>
      </c>
      <c r="M26" s="539"/>
      <c r="N26" s="166"/>
      <c r="O26" s="166"/>
      <c r="P26" s="171"/>
      <c r="Q26" s="171"/>
    </row>
    <row r="27" spans="1:17" s="484" customFormat="1" ht="11.45" customHeight="1">
      <c r="A27" s="384" t="s">
        <v>570</v>
      </c>
      <c r="B27" s="468">
        <v>309866.39688436</v>
      </c>
      <c r="C27" s="468">
        <v>0</v>
      </c>
      <c r="D27" s="468">
        <v>11839.858221813081</v>
      </c>
      <c r="E27" s="468">
        <v>48484.48854669532</v>
      </c>
      <c r="F27" s="468">
        <f t="shared" si="4"/>
        <v>60324.346768508403</v>
      </c>
      <c r="G27" s="468">
        <v>31409.806783794898</v>
      </c>
      <c r="H27" s="468">
        <v>1142068.5559465</v>
      </c>
      <c r="I27" s="468">
        <f t="shared" si="5"/>
        <v>1173478.3627302949</v>
      </c>
      <c r="J27" s="468">
        <v>243516.21586095591</v>
      </c>
      <c r="K27" s="468">
        <f t="shared" si="6"/>
        <v>1787185.3222441194</v>
      </c>
      <c r="L27" s="1229" t="s">
        <v>570</v>
      </c>
      <c r="M27" s="539"/>
      <c r="N27" s="166"/>
      <c r="O27" s="166"/>
      <c r="P27" s="171"/>
      <c r="Q27" s="171"/>
    </row>
    <row r="28" spans="1:17" s="484" customFormat="1" ht="11.45" customHeight="1">
      <c r="A28" s="398" t="s">
        <v>562</v>
      </c>
      <c r="B28" s="463">
        <v>324561.88083373598</v>
      </c>
      <c r="C28" s="463">
        <v>0</v>
      </c>
      <c r="D28" s="463">
        <v>11762.284713174291</v>
      </c>
      <c r="E28" s="463">
        <v>49173.322132152716</v>
      </c>
      <c r="F28" s="463">
        <f t="shared" si="4"/>
        <v>60935.606845327005</v>
      </c>
      <c r="G28" s="463">
        <v>32824.844468320705</v>
      </c>
      <c r="H28" s="463">
        <v>1150263.8810386399</v>
      </c>
      <c r="I28" s="463">
        <f t="shared" si="5"/>
        <v>1183088.7255069606</v>
      </c>
      <c r="J28" s="463">
        <v>247371.13614373203</v>
      </c>
      <c r="K28" s="463">
        <f t="shared" si="6"/>
        <v>1815957.3493297559</v>
      </c>
      <c r="L28" s="1227" t="s">
        <v>562</v>
      </c>
      <c r="M28" s="539"/>
      <c r="N28" s="166"/>
      <c r="O28" s="166"/>
      <c r="P28" s="515"/>
      <c r="Q28" s="515"/>
    </row>
    <row r="29" spans="1:17" s="484" customFormat="1" ht="11.45" customHeight="1">
      <c r="A29" s="384" t="s">
        <v>571</v>
      </c>
      <c r="B29" s="468">
        <v>355157.69971613697</v>
      </c>
      <c r="C29" s="468">
        <v>0</v>
      </c>
      <c r="D29" s="468">
        <v>12030.315663194531</v>
      </c>
      <c r="E29" s="468">
        <v>49327.150719481615</v>
      </c>
      <c r="F29" s="468">
        <f t="shared" si="4"/>
        <v>61357.466382676146</v>
      </c>
      <c r="G29" s="468">
        <v>32241.0982225425</v>
      </c>
      <c r="H29" s="468">
        <v>1159131.83406197</v>
      </c>
      <c r="I29" s="468">
        <f t="shared" si="5"/>
        <v>1191372.9322845126</v>
      </c>
      <c r="J29" s="468">
        <v>248940.53070378353</v>
      </c>
      <c r="K29" s="468">
        <f t="shared" si="6"/>
        <v>1856828.6290871091</v>
      </c>
      <c r="L29" s="1229" t="s">
        <v>571</v>
      </c>
      <c r="M29" s="539"/>
      <c r="N29" s="166"/>
      <c r="O29" s="166"/>
      <c r="P29" s="166"/>
      <c r="Q29" s="166"/>
    </row>
    <row r="30" spans="1:17" s="484" customFormat="1" ht="11.45" customHeight="1">
      <c r="A30" s="398" t="s">
        <v>572</v>
      </c>
      <c r="B30" s="463">
        <v>361186.15222401504</v>
      </c>
      <c r="C30" s="463">
        <v>0</v>
      </c>
      <c r="D30" s="463">
        <v>12175.337633914649</v>
      </c>
      <c r="E30" s="463">
        <v>50012.541544020001</v>
      </c>
      <c r="F30" s="463">
        <f t="shared" si="4"/>
        <v>62187.87917793465</v>
      </c>
      <c r="G30" s="463">
        <v>32776.366197845302</v>
      </c>
      <c r="H30" s="463">
        <v>1170025.7139115001</v>
      </c>
      <c r="I30" s="463">
        <f t="shared" si="5"/>
        <v>1202802.0801093453</v>
      </c>
      <c r="J30" s="463">
        <v>250285.33247612356</v>
      </c>
      <c r="K30" s="463">
        <f t="shared" si="6"/>
        <v>1876461.4439874184</v>
      </c>
      <c r="L30" s="1227" t="s">
        <v>572</v>
      </c>
      <c r="M30" s="539"/>
      <c r="N30" s="166"/>
      <c r="O30" s="166"/>
      <c r="P30" s="169"/>
      <c r="Q30" s="169"/>
    </row>
    <row r="31" spans="1:17" s="484" customFormat="1" ht="11.45" customHeight="1">
      <c r="A31" s="384" t="s">
        <v>563</v>
      </c>
      <c r="B31" s="468">
        <v>387349.911103677</v>
      </c>
      <c r="C31" s="468">
        <v>0</v>
      </c>
      <c r="D31" s="468">
        <v>11966.745926049949</v>
      </c>
      <c r="E31" s="468">
        <v>51026.618835131594</v>
      </c>
      <c r="F31" s="468">
        <f t="shared" si="4"/>
        <v>62993.36476118154</v>
      </c>
      <c r="G31" s="468">
        <v>33197.991050672099</v>
      </c>
      <c r="H31" s="468">
        <v>1188220.97403525</v>
      </c>
      <c r="I31" s="468">
        <f t="shared" si="5"/>
        <v>1221418.965085922</v>
      </c>
      <c r="J31" s="468">
        <v>255180.05278878909</v>
      </c>
      <c r="K31" s="468">
        <f t="shared" si="6"/>
        <v>1926942.2937395696</v>
      </c>
      <c r="L31" s="1229" t="s">
        <v>563</v>
      </c>
      <c r="M31" s="539"/>
      <c r="N31" s="166"/>
      <c r="O31" s="166"/>
      <c r="P31" s="171"/>
      <c r="Q31" s="171"/>
    </row>
    <row r="32" spans="1:17" s="484" customFormat="1" ht="15" customHeight="1">
      <c r="A32" s="1652" t="s">
        <v>2344</v>
      </c>
      <c r="B32" s="555">
        <f>B44</f>
        <v>424877.09532937198</v>
      </c>
      <c r="C32" s="555">
        <f t="shared" ref="C32:K32" si="7">C44</f>
        <v>0</v>
      </c>
      <c r="D32" s="555">
        <f t="shared" si="7"/>
        <v>11890.595936132791</v>
      </c>
      <c r="E32" s="555">
        <f t="shared" si="7"/>
        <v>48991.827955407753</v>
      </c>
      <c r="F32" s="555">
        <f t="shared" si="7"/>
        <v>60882.423891540544</v>
      </c>
      <c r="G32" s="555">
        <f t="shared" si="7"/>
        <v>37521.745157030498</v>
      </c>
      <c r="H32" s="555">
        <f t="shared" si="7"/>
        <v>1318438.81654796</v>
      </c>
      <c r="I32" s="555">
        <f t="shared" si="7"/>
        <v>1355960.5617049905</v>
      </c>
      <c r="J32" s="555">
        <f t="shared" si="7"/>
        <v>273815.60125618597</v>
      </c>
      <c r="K32" s="555">
        <f t="shared" si="7"/>
        <v>2115535.682182089</v>
      </c>
      <c r="L32" s="361" t="s">
        <v>2344</v>
      </c>
      <c r="M32" s="539"/>
      <c r="N32" s="166"/>
      <c r="O32" s="166"/>
      <c r="P32" s="171"/>
      <c r="Q32" s="171"/>
    </row>
    <row r="33" spans="1:17" s="484" customFormat="1" ht="11.45" customHeight="1">
      <c r="A33" s="384" t="s">
        <v>565</v>
      </c>
      <c r="B33" s="468">
        <v>389687.28394171601</v>
      </c>
      <c r="C33" s="468">
        <v>0</v>
      </c>
      <c r="D33" s="468">
        <v>11910.534197309789</v>
      </c>
      <c r="E33" s="468">
        <v>49577.653250548712</v>
      </c>
      <c r="F33" s="468">
        <f t="shared" si="4"/>
        <v>61488.187447858501</v>
      </c>
      <c r="G33" s="468">
        <v>33126.846834725198</v>
      </c>
      <c r="H33" s="468">
        <v>1180486.14235387</v>
      </c>
      <c r="I33" s="468">
        <f t="shared" si="5"/>
        <v>1213612.9891885952</v>
      </c>
      <c r="J33" s="468">
        <v>255381.65278330777</v>
      </c>
      <c r="K33" s="468">
        <f t="shared" si="6"/>
        <v>1920170.1133614774</v>
      </c>
      <c r="L33" s="1229" t="s">
        <v>565</v>
      </c>
      <c r="M33" s="539"/>
      <c r="N33" s="1461"/>
      <c r="O33" s="166"/>
      <c r="P33" s="515"/>
      <c r="Q33" s="515"/>
    </row>
    <row r="34" spans="1:17" s="484" customFormat="1" ht="11.45" customHeight="1">
      <c r="A34" s="398" t="s">
        <v>566</v>
      </c>
      <c r="B34" s="463">
        <v>381879.67969403096</v>
      </c>
      <c r="C34" s="463">
        <v>0</v>
      </c>
      <c r="D34" s="463">
        <v>11921.57240212581</v>
      </c>
      <c r="E34" s="463">
        <v>49671.787030780404</v>
      </c>
      <c r="F34" s="463">
        <f t="shared" si="4"/>
        <v>61593.359432906218</v>
      </c>
      <c r="G34" s="463">
        <v>33509.826089229202</v>
      </c>
      <c r="H34" s="463">
        <v>1189217.02651275</v>
      </c>
      <c r="I34" s="463">
        <f t="shared" si="5"/>
        <v>1222726.8526019792</v>
      </c>
      <c r="J34" s="463">
        <v>256367.9068834926</v>
      </c>
      <c r="K34" s="463">
        <f t="shared" si="6"/>
        <v>1922567.7986124088</v>
      </c>
      <c r="L34" s="1227" t="s">
        <v>566</v>
      </c>
      <c r="M34" s="539"/>
      <c r="N34" s="1461"/>
      <c r="O34" s="166"/>
      <c r="P34" s="515"/>
      <c r="Q34" s="515"/>
    </row>
    <row r="35" spans="1:17" s="484" customFormat="1" ht="11.45" customHeight="1">
      <c r="A35" s="384" t="s">
        <v>560</v>
      </c>
      <c r="B35" s="468">
        <v>370920.86295667797</v>
      </c>
      <c r="C35" s="468">
        <v>0</v>
      </c>
      <c r="D35" s="468">
        <v>12147.02353727566</v>
      </c>
      <c r="E35" s="468">
        <v>49372.62355946374</v>
      </c>
      <c r="F35" s="468">
        <f t="shared" si="4"/>
        <v>61519.647096739398</v>
      </c>
      <c r="G35" s="468">
        <v>34448.876896518297</v>
      </c>
      <c r="H35" s="468">
        <v>1204785.87550411</v>
      </c>
      <c r="I35" s="468">
        <f t="shared" si="5"/>
        <v>1239234.7524006283</v>
      </c>
      <c r="J35" s="468">
        <v>258895.41962939667</v>
      </c>
      <c r="K35" s="468">
        <f t="shared" si="6"/>
        <v>1930570.6820834423</v>
      </c>
      <c r="L35" s="1229" t="s">
        <v>560</v>
      </c>
      <c r="M35" s="539"/>
      <c r="N35" s="1461"/>
      <c r="O35" s="166"/>
      <c r="P35" s="515"/>
      <c r="Q35" s="515"/>
    </row>
    <row r="36" spans="1:17" s="484" customFormat="1" ht="11.45" customHeight="1">
      <c r="A36" s="398" t="s">
        <v>567</v>
      </c>
      <c r="B36" s="463">
        <v>368316.82358425792</v>
      </c>
      <c r="C36" s="463">
        <v>0</v>
      </c>
      <c r="D36" s="463">
        <v>12105.158731354408</v>
      </c>
      <c r="E36" s="463">
        <v>51253.013293146476</v>
      </c>
      <c r="F36" s="463">
        <f t="shared" si="4"/>
        <v>63358.172024500884</v>
      </c>
      <c r="G36" s="463">
        <v>34692.154468140601</v>
      </c>
      <c r="H36" s="463">
        <v>1216032.37986813</v>
      </c>
      <c r="I36" s="463">
        <f t="shared" si="5"/>
        <v>1250724.5343362705</v>
      </c>
      <c r="J36" s="463">
        <v>262034.42992121307</v>
      </c>
      <c r="K36" s="463">
        <f t="shared" si="6"/>
        <v>1944433.9598662425</v>
      </c>
      <c r="L36" s="1227" t="s">
        <v>567</v>
      </c>
      <c r="M36" s="539"/>
      <c r="N36" s="1461"/>
      <c r="O36" s="166"/>
      <c r="P36" s="515"/>
      <c r="Q36" s="515"/>
    </row>
    <row r="37" spans="1:17" s="484" customFormat="1" ht="11.45" customHeight="1">
      <c r="A37" s="384" t="s">
        <v>568</v>
      </c>
      <c r="B37" s="468">
        <v>363992.393540702</v>
      </c>
      <c r="C37" s="468">
        <v>0</v>
      </c>
      <c r="D37" s="468">
        <v>12088.233217185669</v>
      </c>
      <c r="E37" s="468">
        <v>49665.013519367756</v>
      </c>
      <c r="F37" s="468">
        <f t="shared" si="4"/>
        <v>61753.246736553425</v>
      </c>
      <c r="G37" s="468">
        <v>35574.022050983302</v>
      </c>
      <c r="H37" s="468">
        <v>1232112.6463347501</v>
      </c>
      <c r="I37" s="468">
        <f t="shared" si="5"/>
        <v>1267686.6683857334</v>
      </c>
      <c r="J37" s="468">
        <v>264163.52412446716</v>
      </c>
      <c r="K37" s="468">
        <f t="shared" si="6"/>
        <v>1957595.832787456</v>
      </c>
      <c r="L37" s="1229" t="s">
        <v>568</v>
      </c>
      <c r="M37" s="539"/>
      <c r="N37" s="1461"/>
      <c r="O37" s="166"/>
      <c r="P37" s="515"/>
      <c r="Q37" s="515"/>
    </row>
    <row r="38" spans="1:17" s="484" customFormat="1" ht="11.45" customHeight="1">
      <c r="A38" s="398" t="s">
        <v>561</v>
      </c>
      <c r="B38" s="463">
        <v>351658.47598173399</v>
      </c>
      <c r="C38" s="463">
        <v>0</v>
      </c>
      <c r="D38" s="463">
        <v>12133.050382563908</v>
      </c>
      <c r="E38" s="463">
        <v>51366.289833245326</v>
      </c>
      <c r="F38" s="463">
        <f t="shared" si="4"/>
        <v>63499.340215809236</v>
      </c>
      <c r="G38" s="463">
        <v>36760.4980922861</v>
      </c>
      <c r="H38" s="463">
        <v>1252094.70495044</v>
      </c>
      <c r="I38" s="463">
        <f t="shared" si="5"/>
        <v>1288855.203042726</v>
      </c>
      <c r="J38" s="463">
        <v>267209.28757012321</v>
      </c>
      <c r="K38" s="463">
        <f t="shared" si="6"/>
        <v>1971222.3068103925</v>
      </c>
      <c r="L38" s="1227" t="s">
        <v>561</v>
      </c>
      <c r="M38" s="539"/>
      <c r="N38" s="1461"/>
      <c r="O38" s="166"/>
      <c r="P38" s="515"/>
      <c r="Q38" s="515"/>
    </row>
    <row r="39" spans="1:17" s="484" customFormat="1" ht="11.45" customHeight="1">
      <c r="A39" s="384" t="s">
        <v>569</v>
      </c>
      <c r="B39" s="468">
        <v>367743.58913535002</v>
      </c>
      <c r="C39" s="468">
        <v>0</v>
      </c>
      <c r="D39" s="468">
        <v>11903.736123565519</v>
      </c>
      <c r="E39" s="468">
        <v>49464.589368787718</v>
      </c>
      <c r="F39" s="468">
        <f t="shared" si="4"/>
        <v>61368.325492353237</v>
      </c>
      <c r="G39" s="468">
        <v>35837.766969653501</v>
      </c>
      <c r="H39" s="468">
        <v>1250053.35425565</v>
      </c>
      <c r="I39" s="468">
        <f t="shared" si="5"/>
        <v>1285891.1212253035</v>
      </c>
      <c r="J39" s="468">
        <v>268425.22815749433</v>
      </c>
      <c r="K39" s="468">
        <f t="shared" si="6"/>
        <v>1983428.2640105011</v>
      </c>
      <c r="L39" s="1229" t="s">
        <v>569</v>
      </c>
      <c r="M39" s="539"/>
      <c r="N39" s="1461"/>
      <c r="O39" s="166"/>
      <c r="P39" s="515"/>
      <c r="Q39" s="515"/>
    </row>
    <row r="40" spans="1:17" s="484" customFormat="1" ht="11.45" customHeight="1">
      <c r="A40" s="398" t="s">
        <v>570</v>
      </c>
      <c r="B40" s="463">
        <v>379502.40834228299</v>
      </c>
      <c r="C40" s="463">
        <v>0</v>
      </c>
      <c r="D40" s="463">
        <v>11927.416482014718</v>
      </c>
      <c r="E40" s="463">
        <v>50130.43704858308</v>
      </c>
      <c r="F40" s="463">
        <f t="shared" si="4"/>
        <v>62057.8535305978</v>
      </c>
      <c r="G40" s="463">
        <v>35742.516716537299</v>
      </c>
      <c r="H40" s="463">
        <v>1257326.8242699599</v>
      </c>
      <c r="I40" s="463">
        <f t="shared" si="5"/>
        <v>1293069.3409864972</v>
      </c>
      <c r="J40" s="463">
        <f>269457.360362273+21.8</f>
        <v>269479.16036227299</v>
      </c>
      <c r="K40" s="463">
        <f t="shared" si="6"/>
        <v>2004108.7632216511</v>
      </c>
      <c r="L40" s="1227" t="s">
        <v>570</v>
      </c>
      <c r="M40" s="539"/>
      <c r="N40" s="1461"/>
      <c r="O40" s="166"/>
      <c r="P40" s="515"/>
      <c r="Q40" s="515"/>
    </row>
    <row r="41" spans="1:17" s="484" customFormat="1" ht="11.45" customHeight="1">
      <c r="A41" s="384" t="s">
        <v>562</v>
      </c>
      <c r="B41" s="468">
        <v>390401.51422571199</v>
      </c>
      <c r="C41" s="468">
        <v>0</v>
      </c>
      <c r="D41" s="468">
        <v>11900.201629262228</v>
      </c>
      <c r="E41" s="468">
        <v>50171.788310738862</v>
      </c>
      <c r="F41" s="468">
        <f t="shared" si="4"/>
        <v>62071.989940001091</v>
      </c>
      <c r="G41" s="468">
        <v>35617.491424214801</v>
      </c>
      <c r="H41" s="468">
        <v>1277299.6966204201</v>
      </c>
      <c r="I41" s="468">
        <f t="shared" si="5"/>
        <v>1312917.1880446349</v>
      </c>
      <c r="J41" s="468">
        <f>271058.364218717-0.2</f>
        <v>271058.16421871696</v>
      </c>
      <c r="K41" s="468">
        <f t="shared" si="6"/>
        <v>2036448.8564290649</v>
      </c>
      <c r="L41" s="1229" t="s">
        <v>562</v>
      </c>
      <c r="M41" s="539"/>
      <c r="N41" s="1461"/>
      <c r="O41" s="166"/>
      <c r="P41" s="515"/>
      <c r="Q41" s="515"/>
    </row>
    <row r="42" spans="1:17" s="484" customFormat="1" ht="11.45" customHeight="1">
      <c r="A42" s="398" t="s">
        <v>571</v>
      </c>
      <c r="B42" s="463">
        <v>415153.228863617</v>
      </c>
      <c r="C42" s="463">
        <v>0</v>
      </c>
      <c r="D42" s="463">
        <v>11891.80381711778</v>
      </c>
      <c r="E42" s="463">
        <v>50236.433194270881</v>
      </c>
      <c r="F42" s="463">
        <f t="shared" si="4"/>
        <v>62128.237011388657</v>
      </c>
      <c r="G42" s="463">
        <v>35950.4627507642</v>
      </c>
      <c r="H42" s="463">
        <v>1281027.1183630801</v>
      </c>
      <c r="I42" s="463">
        <f t="shared" si="5"/>
        <v>1316977.5811138442</v>
      </c>
      <c r="J42" s="463">
        <v>270377.6343131992</v>
      </c>
      <c r="K42" s="463">
        <f t="shared" si="6"/>
        <v>2064636.681302049</v>
      </c>
      <c r="L42" s="1227" t="s">
        <v>571</v>
      </c>
      <c r="M42" s="539"/>
      <c r="N42" s="1461"/>
      <c r="O42" s="166"/>
      <c r="P42" s="515"/>
      <c r="Q42" s="515"/>
    </row>
    <row r="43" spans="1:17" s="484" customFormat="1" ht="11.45" customHeight="1">
      <c r="A43" s="1658" t="s">
        <v>572</v>
      </c>
      <c r="B43" s="468">
        <v>424509.09622190893</v>
      </c>
      <c r="C43" s="468">
        <v>0</v>
      </c>
      <c r="D43" s="468">
        <v>11864.27767494621</v>
      </c>
      <c r="E43" s="468">
        <v>50157.478528535685</v>
      </c>
      <c r="F43" s="468">
        <f t="shared" si="4"/>
        <v>62021.756203481898</v>
      </c>
      <c r="G43" s="468">
        <v>36474.266254824397</v>
      </c>
      <c r="H43" s="468">
        <v>1300582.0584970701</v>
      </c>
      <c r="I43" s="468">
        <f t="shared" si="5"/>
        <v>1337056.3247518945</v>
      </c>
      <c r="J43" s="468">
        <f>271726.875892086+7.7</f>
        <v>271734.57589208602</v>
      </c>
      <c r="K43" s="468">
        <f t="shared" si="6"/>
        <v>2095321.7530693715</v>
      </c>
      <c r="L43" s="1229" t="s">
        <v>572</v>
      </c>
      <c r="M43" s="539"/>
      <c r="N43" s="1461"/>
      <c r="O43" s="166"/>
      <c r="P43" s="515"/>
      <c r="Q43" s="515"/>
    </row>
    <row r="44" spans="1:17" s="484" customFormat="1" ht="11.45" customHeight="1">
      <c r="A44" s="398" t="s">
        <v>563</v>
      </c>
      <c r="B44" s="463">
        <v>424877.09532937198</v>
      </c>
      <c r="C44" s="463">
        <v>0</v>
      </c>
      <c r="D44" s="463">
        <v>11890.595936132791</v>
      </c>
      <c r="E44" s="463">
        <v>48991.827955407753</v>
      </c>
      <c r="F44" s="463">
        <f t="shared" si="4"/>
        <v>60882.423891540544</v>
      </c>
      <c r="G44" s="463">
        <v>37521.745157030498</v>
      </c>
      <c r="H44" s="463">
        <v>1318438.81654796</v>
      </c>
      <c r="I44" s="463">
        <f t="shared" si="5"/>
        <v>1355960.5617049905</v>
      </c>
      <c r="J44" s="463">
        <f>274085.301256186-269.7</f>
        <v>273815.60125618597</v>
      </c>
      <c r="K44" s="463">
        <f t="shared" si="6"/>
        <v>2115535.682182089</v>
      </c>
      <c r="L44" s="1227" t="s">
        <v>563</v>
      </c>
      <c r="M44" s="539"/>
      <c r="N44" s="1461"/>
      <c r="O44" s="166"/>
      <c r="P44" s="515"/>
      <c r="Q44" s="515"/>
    </row>
    <row r="45" spans="1:17" s="484" customFormat="1" ht="15" customHeight="1">
      <c r="A45" s="891" t="s">
        <v>2680</v>
      </c>
      <c r="B45" s="468"/>
      <c r="C45" s="468"/>
      <c r="D45" s="468"/>
      <c r="E45" s="468"/>
      <c r="F45" s="468"/>
      <c r="G45" s="468"/>
      <c r="H45" s="468"/>
      <c r="I45" s="468"/>
      <c r="J45" s="468"/>
      <c r="K45" s="468"/>
      <c r="L45" s="362" t="s">
        <v>2680</v>
      </c>
      <c r="M45" s="539"/>
      <c r="N45" s="1461"/>
      <c r="O45" s="166"/>
      <c r="P45" s="515"/>
      <c r="Q45" s="515"/>
    </row>
    <row r="46" spans="1:17" s="484" customFormat="1" ht="11.45" customHeight="1">
      <c r="A46" s="398" t="s">
        <v>565</v>
      </c>
      <c r="B46" s="463">
        <v>437588.4422857929</v>
      </c>
      <c r="C46" s="463">
        <v>0</v>
      </c>
      <c r="D46" s="463">
        <v>11858.654573311309</v>
      </c>
      <c r="E46" s="463">
        <v>47335.794166000946</v>
      </c>
      <c r="F46" s="463">
        <f>D46+E46</f>
        <v>59194.448739312254</v>
      </c>
      <c r="G46" s="463">
        <v>38081.511677552</v>
      </c>
      <c r="H46" s="463">
        <v>1315196.5529815699</v>
      </c>
      <c r="I46" s="463">
        <f>G46+H46</f>
        <v>1353278.0646591219</v>
      </c>
      <c r="J46" s="463">
        <f>273523.63377277-143.9</f>
        <v>273379.73377276998</v>
      </c>
      <c r="K46" s="463">
        <f t="shared" si="6"/>
        <v>2123440.689456997</v>
      </c>
      <c r="L46" s="1227" t="s">
        <v>565</v>
      </c>
      <c r="M46" s="539"/>
      <c r="N46" s="1461"/>
      <c r="O46" s="166"/>
      <c r="P46" s="1739"/>
      <c r="Q46" s="515"/>
    </row>
    <row r="47" spans="1:17" s="484" customFormat="1" ht="11.45" customHeight="1">
      <c r="A47" s="1709" t="s">
        <v>566</v>
      </c>
      <c r="B47" s="468">
        <v>426233.48891244497</v>
      </c>
      <c r="C47" s="468">
        <v>0</v>
      </c>
      <c r="D47" s="468">
        <v>11575.903594034</v>
      </c>
      <c r="E47" s="468">
        <v>45853.575569051718</v>
      </c>
      <c r="F47" s="468">
        <f>D47+E47</f>
        <v>57429.479163085722</v>
      </c>
      <c r="G47" s="468">
        <v>37299.251262296297</v>
      </c>
      <c r="H47" s="468">
        <v>1326060.50477235</v>
      </c>
      <c r="I47" s="468">
        <f>G47+H47</f>
        <v>1363359.7560346462</v>
      </c>
      <c r="J47" s="468">
        <f>270859.706212856-72.2</f>
        <v>270787.50621285598</v>
      </c>
      <c r="K47" s="468">
        <f t="shared" si="6"/>
        <v>2117810.2303230329</v>
      </c>
      <c r="L47" s="1229" t="s">
        <v>566</v>
      </c>
      <c r="M47" s="539"/>
      <c r="N47" s="1461"/>
      <c r="O47" s="166"/>
      <c r="P47" s="1739"/>
      <c r="Q47" s="515"/>
    </row>
    <row r="48" spans="1:17" s="484" customFormat="1" ht="11.45" customHeight="1">
      <c r="A48" s="398" t="s">
        <v>560</v>
      </c>
      <c r="B48" s="463">
        <v>406813.67701092199</v>
      </c>
      <c r="C48" s="463">
        <v>0</v>
      </c>
      <c r="D48" s="463">
        <v>11551.15275833456</v>
      </c>
      <c r="E48" s="463">
        <v>45805.370959362757</v>
      </c>
      <c r="F48" s="463">
        <f>D48+E48</f>
        <v>57356.523717697317</v>
      </c>
      <c r="G48" s="463">
        <v>35698.407112345099</v>
      </c>
      <c r="H48" s="463">
        <v>1335661.37771583</v>
      </c>
      <c r="I48" s="463">
        <f>G48+H48</f>
        <v>1371359.7848281751</v>
      </c>
      <c r="J48" s="463">
        <f>271135.179169205-365.2</f>
        <v>270769.97916920501</v>
      </c>
      <c r="K48" s="463">
        <f t="shared" si="6"/>
        <v>2106299.9647259992</v>
      </c>
      <c r="L48" s="1227" t="s">
        <v>560</v>
      </c>
      <c r="M48" s="539"/>
      <c r="N48" s="1461"/>
      <c r="O48" s="166"/>
      <c r="P48" s="1739"/>
      <c r="Q48" s="515"/>
    </row>
    <row r="49" spans="1:20" s="484" customFormat="1" ht="11.45" customHeight="1">
      <c r="A49" s="1771" t="s">
        <v>567</v>
      </c>
      <c r="B49" s="468">
        <v>427272.22011989198</v>
      </c>
      <c r="C49" s="468">
        <v>0</v>
      </c>
      <c r="D49" s="468">
        <v>11560.44165620905</v>
      </c>
      <c r="E49" s="468">
        <v>44935.347798693401</v>
      </c>
      <c r="F49" s="468">
        <f>D49+E49</f>
        <v>56495.78945490245</v>
      </c>
      <c r="G49" s="468">
        <v>35924.544012144899</v>
      </c>
      <c r="H49" s="468">
        <v>1340060.23204842</v>
      </c>
      <c r="I49" s="468">
        <f>G49+H49</f>
        <v>1375984.7760605649</v>
      </c>
      <c r="J49" s="468">
        <f>271503.626570248-277.5</f>
        <v>271226.12657024799</v>
      </c>
      <c r="K49" s="468">
        <f t="shared" si="6"/>
        <v>2130978.9122056072</v>
      </c>
      <c r="L49" s="1229" t="s">
        <v>567</v>
      </c>
      <c r="M49" s="539"/>
      <c r="N49" s="1461"/>
      <c r="O49" s="166"/>
      <c r="P49" s="1739"/>
      <c r="Q49" s="515"/>
    </row>
    <row r="50" spans="1:20" s="484" customFormat="1" ht="11.45" customHeight="1">
      <c r="A50" s="398" t="s">
        <v>568</v>
      </c>
      <c r="B50" s="463">
        <v>438647.609767296</v>
      </c>
      <c r="C50" s="463">
        <v>0</v>
      </c>
      <c r="D50" s="463">
        <v>11596.103750668572</v>
      </c>
      <c r="E50" s="463">
        <v>46300.998394562426</v>
      </c>
      <c r="F50" s="463">
        <f t="shared" ref="F50:F51" si="8">D50+E50</f>
        <v>57897.102145230994</v>
      </c>
      <c r="G50" s="463">
        <v>36240.706667516199</v>
      </c>
      <c r="H50" s="463">
        <v>1345557.43676897</v>
      </c>
      <c r="I50" s="463">
        <f t="shared" ref="I50:I51" si="9">G50+H50</f>
        <v>1381798.1434364861</v>
      </c>
      <c r="J50" s="463">
        <f>272876.324764811-386.3</f>
        <v>272490.02476481104</v>
      </c>
      <c r="K50" s="463">
        <f t="shared" si="6"/>
        <v>2150832.8801138243</v>
      </c>
      <c r="L50" s="1227" t="s">
        <v>568</v>
      </c>
      <c r="M50" s="539"/>
      <c r="N50" s="1461"/>
      <c r="O50" s="166"/>
      <c r="P50" s="1739"/>
      <c r="Q50" s="515"/>
    </row>
    <row r="51" spans="1:20" s="484" customFormat="1" ht="11.45" customHeight="1" thickBot="1">
      <c r="A51" s="1163" t="s">
        <v>561</v>
      </c>
      <c r="B51" s="1303">
        <v>415573.06539954699</v>
      </c>
      <c r="C51" s="1303">
        <v>0</v>
      </c>
      <c r="D51" s="1303">
        <v>13268.073735136149</v>
      </c>
      <c r="E51" s="1303">
        <v>48404.14052534644</v>
      </c>
      <c r="F51" s="1303">
        <f t="shared" si="8"/>
        <v>61672.214260482593</v>
      </c>
      <c r="G51" s="1303">
        <v>37043.432985064799</v>
      </c>
      <c r="H51" s="1303">
        <v>1359355.46957854</v>
      </c>
      <c r="I51" s="1303">
        <f t="shared" si="9"/>
        <v>1396398.9025636048</v>
      </c>
      <c r="J51" s="1303">
        <f>277949.097247884-608.7</f>
        <v>277340.39724788402</v>
      </c>
      <c r="K51" s="1303">
        <f t="shared" si="6"/>
        <v>2150984.5794715183</v>
      </c>
      <c r="L51" s="1738" t="s">
        <v>561</v>
      </c>
      <c r="M51" s="539"/>
      <c r="N51" s="1461"/>
      <c r="O51" s="166"/>
      <c r="P51" s="1739"/>
      <c r="Q51" s="515"/>
    </row>
    <row r="52" spans="1:20" s="484" customFormat="1">
      <c r="A52" s="445" t="s">
        <v>1396</v>
      </c>
      <c r="B52" s="2027" t="s">
        <v>1419</v>
      </c>
      <c r="C52" s="2027"/>
      <c r="D52" s="2027"/>
      <c r="E52" s="2027"/>
      <c r="F52" s="2027"/>
      <c r="G52" s="446" t="s">
        <v>196</v>
      </c>
      <c r="H52" s="2028" t="s">
        <v>1257</v>
      </c>
      <c r="I52" s="2028"/>
      <c r="J52" s="2028"/>
      <c r="K52" s="2028"/>
      <c r="L52" s="2028"/>
      <c r="N52" s="534"/>
      <c r="P52" s="1739"/>
    </row>
    <row r="53" spans="1:20">
      <c r="A53" s="223"/>
      <c r="B53" s="2029" t="s">
        <v>1934</v>
      </c>
      <c r="C53" s="2029"/>
      <c r="D53" s="2029"/>
      <c r="E53" s="1205" t="s">
        <v>1348</v>
      </c>
      <c r="F53" s="262"/>
      <c r="G53" s="534"/>
      <c r="H53" s="1205"/>
      <c r="I53" s="534"/>
      <c r="J53" s="625"/>
      <c r="K53" s="625"/>
      <c r="L53" s="625"/>
      <c r="M53" s="534"/>
      <c r="N53" s="534"/>
      <c r="O53" s="534"/>
    </row>
    <row r="54" spans="1:20">
      <c r="A54" s="484"/>
      <c r="B54" s="484"/>
      <c r="C54" s="539"/>
      <c r="D54" s="534"/>
      <c r="E54" s="539"/>
      <c r="F54" s="1291"/>
      <c r="G54" s="539"/>
      <c r="H54" s="539"/>
      <c r="I54" s="534"/>
      <c r="J54" s="625"/>
      <c r="K54" s="625"/>
      <c r="L54" s="625"/>
      <c r="M54" s="534"/>
      <c r="N54" s="1375"/>
    </row>
    <row r="55" spans="1:20">
      <c r="B55" s="539"/>
      <c r="C55" s="539"/>
      <c r="D55" s="534"/>
      <c r="E55" s="539"/>
      <c r="F55" s="1291"/>
      <c r="G55" s="539"/>
      <c r="H55" s="539"/>
      <c r="I55" s="534"/>
      <c r="J55" s="625"/>
      <c r="K55" s="625"/>
      <c r="L55" s="625"/>
      <c r="M55" s="534"/>
      <c r="N55" s="534"/>
      <c r="O55" s="484"/>
      <c r="P55" s="484"/>
      <c r="Q55" s="484"/>
      <c r="R55" s="484"/>
      <c r="S55" s="484"/>
      <c r="T55" s="484"/>
    </row>
    <row r="56" spans="1:20">
      <c r="B56" s="539"/>
      <c r="C56" s="539"/>
      <c r="D56" s="534"/>
      <c r="E56" s="539"/>
      <c r="F56" s="1291"/>
      <c r="G56" s="539"/>
      <c r="H56" s="539"/>
      <c r="I56" s="534"/>
      <c r="J56" s="625"/>
      <c r="K56" s="625"/>
      <c r="L56" s="625"/>
      <c r="M56" s="534"/>
      <c r="N56" s="534"/>
      <c r="O56" s="484"/>
      <c r="P56" s="484"/>
      <c r="Q56" s="484"/>
      <c r="R56" s="484"/>
      <c r="S56" s="484"/>
      <c r="T56" s="484"/>
    </row>
    <row r="57" spans="1:20">
      <c r="B57" s="539"/>
      <c r="C57" s="539"/>
      <c r="D57" s="534"/>
      <c r="E57" s="539"/>
      <c r="F57" s="1291"/>
      <c r="G57" s="539"/>
      <c r="H57" s="539"/>
      <c r="I57" s="534"/>
      <c r="J57" s="625"/>
      <c r="K57" s="625"/>
      <c r="L57" s="625"/>
      <c r="M57" s="534"/>
    </row>
    <row r="58" spans="1:20">
      <c r="B58" s="534"/>
      <c r="C58" s="539"/>
      <c r="D58" s="534"/>
      <c r="E58" s="539"/>
      <c r="F58" s="1291"/>
      <c r="G58" s="539"/>
      <c r="H58" s="539"/>
      <c r="I58" s="534"/>
      <c r="J58" s="625"/>
      <c r="K58" s="625"/>
      <c r="L58" s="625"/>
      <c r="M58" s="534"/>
    </row>
    <row r="59" spans="1:20" ht="12" customHeight="1">
      <c r="B59" s="534"/>
      <c r="C59" s="539"/>
      <c r="D59" s="534"/>
      <c r="E59" s="534"/>
      <c r="F59" s="1291"/>
      <c r="G59" s="539"/>
      <c r="H59" s="539"/>
      <c r="I59" s="534"/>
      <c r="J59" s="625"/>
      <c r="K59" s="625"/>
      <c r="L59" s="625"/>
      <c r="M59" s="534"/>
      <c r="N59" s="534"/>
      <c r="O59" s="534"/>
    </row>
    <row r="60" spans="1:20" ht="12.75" customHeight="1">
      <c r="C60" s="539"/>
      <c r="D60" s="534"/>
      <c r="E60" s="539"/>
      <c r="F60" s="1291"/>
      <c r="G60" s="539"/>
      <c r="H60" s="539"/>
      <c r="I60" s="539"/>
      <c r="J60" s="625"/>
      <c r="K60" s="625"/>
      <c r="L60" s="625"/>
      <c r="N60" s="534"/>
    </row>
    <row r="61" spans="1:20" ht="12" customHeight="1">
      <c r="C61" s="539"/>
      <c r="D61" s="534"/>
      <c r="E61" s="534"/>
      <c r="F61" s="1291"/>
      <c r="G61" s="534"/>
      <c r="H61" s="539"/>
      <c r="I61" s="539"/>
      <c r="J61" s="625"/>
      <c r="K61" s="625"/>
      <c r="L61" s="625"/>
    </row>
    <row r="62" spans="1:20" ht="12" customHeight="1">
      <c r="C62" s="539"/>
      <c r="D62" s="534"/>
      <c r="E62" s="534"/>
      <c r="F62" s="1291"/>
      <c r="G62" s="534"/>
      <c r="H62" s="539"/>
      <c r="I62" s="539"/>
      <c r="J62" s="534"/>
      <c r="K62" s="625"/>
      <c r="L62" s="625"/>
    </row>
    <row r="63" spans="1:20" ht="12.75" customHeight="1">
      <c r="C63" s="539"/>
      <c r="D63" s="534"/>
      <c r="E63" s="534"/>
      <c r="F63" s="1291"/>
      <c r="G63" s="534"/>
      <c r="H63" s="539"/>
      <c r="I63" s="539"/>
      <c r="J63" s="534"/>
      <c r="K63" s="625"/>
    </row>
    <row r="64" spans="1:20" ht="13.5" customHeight="1">
      <c r="C64" s="539"/>
      <c r="D64" s="534"/>
      <c r="E64" s="534"/>
      <c r="F64" s="1291"/>
      <c r="G64" s="534"/>
      <c r="H64" s="539"/>
      <c r="I64" s="539"/>
      <c r="J64" s="534"/>
      <c r="K64" s="625"/>
    </row>
    <row r="65" spans="3:11" ht="14.25" customHeight="1">
      <c r="C65" s="539"/>
      <c r="D65" s="534"/>
      <c r="E65" s="534"/>
      <c r="F65" s="1291"/>
      <c r="G65" s="534"/>
      <c r="H65" s="534"/>
      <c r="I65" s="539"/>
      <c r="J65" s="534"/>
      <c r="K65" s="625"/>
    </row>
    <row r="66" spans="3:11" ht="15" customHeight="1">
      <c r="D66" s="534"/>
      <c r="E66" s="534"/>
      <c r="F66" s="534"/>
      <c r="G66" s="534"/>
      <c r="H66" s="534"/>
      <c r="I66" s="534"/>
    </row>
    <row r="67" spans="3:11">
      <c r="D67" s="534"/>
      <c r="E67" s="534"/>
      <c r="F67" s="534"/>
      <c r="G67" s="534"/>
      <c r="H67" s="534"/>
      <c r="I67" s="534"/>
    </row>
    <row r="68" spans="3:11">
      <c r="D68" s="534"/>
      <c r="E68" s="534"/>
      <c r="F68" s="534"/>
      <c r="G68" s="534"/>
      <c r="H68" s="534"/>
      <c r="I68" s="534"/>
      <c r="J68" s="534"/>
      <c r="K68" s="534"/>
    </row>
    <row r="69" spans="3:11">
      <c r="D69" s="534"/>
      <c r="E69" s="534"/>
      <c r="F69" s="534"/>
      <c r="G69" s="534"/>
      <c r="H69" s="534"/>
      <c r="I69" s="534"/>
      <c r="J69" s="534"/>
    </row>
    <row r="70" spans="3:11">
      <c r="D70" s="534"/>
      <c r="E70" s="534"/>
      <c r="F70" s="534"/>
      <c r="G70" s="534"/>
      <c r="H70" s="534"/>
      <c r="I70" s="534"/>
      <c r="J70" s="534"/>
    </row>
    <row r="71" spans="3:11">
      <c r="D71" s="534"/>
      <c r="E71" s="534"/>
      <c r="F71" s="534"/>
      <c r="G71" s="534"/>
      <c r="H71" s="534"/>
      <c r="I71" s="534"/>
      <c r="J71" s="534"/>
    </row>
  </sheetData>
  <customSheetViews>
    <customSheetView guid="{A374FC54-96E3-45F0-9C12-8450400C12DF}" scale="130">
      <pane xSplit="1" ySplit="5" topLeftCell="B41" activePane="bottomRight" state="frozen"/>
      <selection pane="bottomRight" activeCell="G53" sqref="G53"/>
      <pageMargins left="0.62992125984252001" right="0.511811023622047" top="0.511811023622047" bottom="0.511811023622047" header="0" footer="0.183070866"/>
      <pageSetup paperSize="132" firstPageNumber="14" orientation="portrait" useFirstPageNumber="1" r:id="rId1"/>
      <headerFooter alignWithMargins="0">
        <oddFooter>&amp;C&amp;"Times New Roman,Regular"&amp;8&amp;P</oddFooter>
      </headerFooter>
    </customSheetView>
  </customSheetViews>
  <mergeCells count="15">
    <mergeCell ref="D1:F1"/>
    <mergeCell ref="D3:F3"/>
    <mergeCell ref="G3:I3"/>
    <mergeCell ref="L3:L5"/>
    <mergeCell ref="G1:I1"/>
    <mergeCell ref="K2:L2"/>
    <mergeCell ref="K1:L1"/>
    <mergeCell ref="K3:K4"/>
    <mergeCell ref="B52:F52"/>
    <mergeCell ref="H52:L52"/>
    <mergeCell ref="B53:D53"/>
    <mergeCell ref="A3:A5"/>
    <mergeCell ref="J3:J4"/>
    <mergeCell ref="B3:B4"/>
    <mergeCell ref="C3:C4"/>
  </mergeCells>
  <phoneticPr fontId="5" type="noConversion"/>
  <conditionalFormatting sqref="A6:L7 AI12:AK14 AV12:AX14 BI12:BK14 BV12:BX14 CI12:CK14 CV12:CX14 DI12:DK14 DV12:DX14 EI12:EK14 EV12:EX14 FI12:FK14 FV12:FX14 GI12:GK14 GV12:GX14 HI12:HK14 HV12:HX14 L8:L12 B8:K10 A8:A12 V13:X13">
    <cfRule type="expression" dxfId="6" priority="58" stopIfTrue="1">
      <formula>MOD(ROW(),2)=0</formula>
    </cfRule>
  </conditionalFormatting>
  <pageMargins left="0.62992125984252001" right="0.511811023622047" top="0.511811023622047" bottom="0.511811023622047" header="0" footer="0.183070866"/>
  <pageSetup paperSize="448" firstPageNumber="14" orientation="portrait" useFirstPageNumber="1" r:id="rId2"/>
  <headerFooter alignWithMargins="0">
    <oddFooter>&amp;C&amp;"Times New Roman,Regular"&amp;8&amp;P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:I82"/>
  <sheetViews>
    <sheetView zoomScale="180" zoomScaleNormal="180" workbookViewId="0">
      <pane xSplit="1" ySplit="7" topLeftCell="B47" activePane="bottomRight" state="frozen"/>
      <selection activeCell="F85" sqref="F85"/>
      <selection pane="topRight" activeCell="F85" sqref="F85"/>
      <selection pane="bottomLeft" activeCell="F85" sqref="F85"/>
      <selection pane="bottomRight" activeCell="G48" sqref="G48:G54"/>
    </sheetView>
  </sheetViews>
  <sheetFormatPr defaultColWidth="9.140625" defaultRowHeight="11.25"/>
  <cols>
    <col min="1" max="1" width="9.7109375" style="8" customWidth="1"/>
    <col min="2" max="2" width="11.140625" style="8" customWidth="1"/>
    <col min="3" max="3" width="10.7109375" style="8" customWidth="1"/>
    <col min="4" max="4" width="10.5703125" style="8" customWidth="1"/>
    <col min="5" max="5" width="10.7109375" style="8" customWidth="1"/>
    <col min="6" max="6" width="11.140625" style="8" customWidth="1"/>
    <col min="7" max="7" width="14.140625" style="8" customWidth="1"/>
    <col min="8" max="8" width="9.140625" style="8" customWidth="1"/>
    <col min="9" max="9" width="10.85546875" style="8" bestFit="1" customWidth="1"/>
    <col min="10" max="16384" width="9.140625" style="8"/>
  </cols>
  <sheetData>
    <row r="1" spans="1:9" s="33" customFormat="1" ht="15.75" customHeight="1">
      <c r="A1" s="2001" t="s">
        <v>1284</v>
      </c>
      <c r="B1" s="2001"/>
      <c r="C1" s="2001"/>
      <c r="D1" s="2001"/>
      <c r="E1" s="2001"/>
      <c r="F1" s="2001" t="s">
        <v>204</v>
      </c>
      <c r="G1" s="2001"/>
    </row>
    <row r="2" spans="1:9" s="39" customFormat="1" ht="12">
      <c r="F2" s="1908" t="s">
        <v>24</v>
      </c>
      <c r="G2" s="2047"/>
    </row>
    <row r="3" spans="1:9" s="385" customFormat="1" ht="15" customHeight="1">
      <c r="A3" s="2044" t="s">
        <v>926</v>
      </c>
      <c r="B3" s="2041" t="s">
        <v>841</v>
      </c>
      <c r="C3" s="2041" t="s">
        <v>211</v>
      </c>
      <c r="D3" s="1912" t="s">
        <v>202</v>
      </c>
      <c r="E3" s="2043"/>
      <c r="F3" s="2043"/>
      <c r="G3" s="2041" t="s">
        <v>826</v>
      </c>
    </row>
    <row r="4" spans="1:9" s="385" customFormat="1" ht="12.75" customHeight="1">
      <c r="A4" s="1910"/>
      <c r="B4" s="1901"/>
      <c r="C4" s="2046"/>
      <c r="D4" s="2036" t="s">
        <v>203</v>
      </c>
      <c r="E4" s="2042"/>
      <c r="F4" s="2048" t="s">
        <v>1239</v>
      </c>
      <c r="G4" s="1901"/>
    </row>
    <row r="5" spans="1:9" s="171" customFormat="1" ht="19.5" customHeight="1">
      <c r="A5" s="1910"/>
      <c r="B5" s="1901"/>
      <c r="C5" s="2046"/>
      <c r="D5" s="2041" t="s">
        <v>2239</v>
      </c>
      <c r="E5" s="2041" t="s">
        <v>201</v>
      </c>
      <c r="F5" s="2049"/>
      <c r="G5" s="1901"/>
    </row>
    <row r="6" spans="1:9" s="171" customFormat="1" ht="14.25" customHeight="1">
      <c r="A6" s="1910"/>
      <c r="B6" s="1902"/>
      <c r="C6" s="2045"/>
      <c r="D6" s="1902"/>
      <c r="E6" s="2045"/>
      <c r="F6" s="1941"/>
      <c r="G6" s="1902"/>
    </row>
    <row r="7" spans="1:9" s="20" customFormat="1" ht="10.5" customHeight="1">
      <c r="A7" s="1911"/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</row>
    <row r="8" spans="1:9" ht="11.1" customHeight="1">
      <c r="A8" s="353" t="s">
        <v>81</v>
      </c>
      <c r="B8" s="225">
        <v>46157.1</v>
      </c>
      <c r="C8" s="225">
        <v>4308.3</v>
      </c>
      <c r="D8" s="225">
        <v>23468</v>
      </c>
      <c r="E8" s="225">
        <v>6367.5</v>
      </c>
      <c r="F8" s="225">
        <v>209.4</v>
      </c>
      <c r="G8" s="225">
        <f>B8+C8+D8+F8</f>
        <v>74142.799999999988</v>
      </c>
      <c r="H8" s="38"/>
      <c r="I8" s="38"/>
    </row>
    <row r="9" spans="1:9" ht="11.1" customHeight="1">
      <c r="A9" s="326" t="s">
        <v>190</v>
      </c>
      <c r="B9" s="289">
        <v>54795.1</v>
      </c>
      <c r="C9" s="289">
        <v>5731.8</v>
      </c>
      <c r="D9" s="289">
        <v>29007.7</v>
      </c>
      <c r="E9" s="289">
        <v>7766.5</v>
      </c>
      <c r="F9" s="289">
        <v>199.8</v>
      </c>
      <c r="G9" s="289">
        <v>89734.400000000009</v>
      </c>
      <c r="H9" s="38"/>
      <c r="I9" s="38"/>
    </row>
    <row r="10" spans="1:9" s="164" customFormat="1" ht="11.1" customHeight="1">
      <c r="A10" s="253" t="s">
        <v>731</v>
      </c>
      <c r="B10" s="230">
        <v>58417.1</v>
      </c>
      <c r="C10" s="230">
        <v>6479.4</v>
      </c>
      <c r="D10" s="230">
        <v>32662.3</v>
      </c>
      <c r="E10" s="230">
        <v>10289.9</v>
      </c>
      <c r="F10" s="230">
        <v>243.9</v>
      </c>
      <c r="G10" s="230">
        <v>97802.7</v>
      </c>
      <c r="H10" s="162"/>
      <c r="I10" s="38"/>
    </row>
    <row r="11" spans="1:9" s="164" customFormat="1" ht="11.1" customHeight="1">
      <c r="A11" s="287" t="s">
        <v>840</v>
      </c>
      <c r="B11" s="289">
        <v>67552.899999999994</v>
      </c>
      <c r="C11" s="289">
        <v>7819.4</v>
      </c>
      <c r="D11" s="289">
        <v>36803.4</v>
      </c>
      <c r="E11" s="289">
        <v>8422.6</v>
      </c>
      <c r="F11" s="289">
        <v>313.70000000000005</v>
      </c>
      <c r="G11" s="289">
        <v>112489.39999999998</v>
      </c>
      <c r="H11" s="162"/>
      <c r="I11" s="38"/>
    </row>
    <row r="12" spans="1:9" s="590" customFormat="1" ht="11.1" customHeight="1">
      <c r="A12" s="228" t="s">
        <v>1019</v>
      </c>
      <c r="B12" s="230">
        <v>76908.399999999994</v>
      </c>
      <c r="C12" s="230">
        <v>8576.7999999999993</v>
      </c>
      <c r="D12" s="230">
        <v>43997.7</v>
      </c>
      <c r="E12" s="230">
        <v>7480.2</v>
      </c>
      <c r="F12" s="230">
        <v>392.4</v>
      </c>
      <c r="G12" s="230">
        <v>129875.29999999999</v>
      </c>
      <c r="H12" s="480"/>
      <c r="I12" s="588"/>
    </row>
    <row r="13" spans="1:9" s="590" customFormat="1" ht="11.1" customHeight="1">
      <c r="A13" s="287" t="s">
        <v>1070</v>
      </c>
      <c r="B13" s="463">
        <v>87940.800000000003</v>
      </c>
      <c r="C13" s="463">
        <v>10213.1</v>
      </c>
      <c r="D13" s="463">
        <v>49838.9</v>
      </c>
      <c r="E13" s="463">
        <v>7889.3</v>
      </c>
      <c r="F13" s="463">
        <v>489.7</v>
      </c>
      <c r="G13" s="463">
        <v>148482.50000000003</v>
      </c>
      <c r="H13" s="480"/>
      <c r="I13" s="54"/>
    </row>
    <row r="14" spans="1:9" s="449" customFormat="1" ht="11.1" customHeight="1">
      <c r="A14" s="228" t="s">
        <v>1193</v>
      </c>
      <c r="B14" s="468">
        <v>122074.5</v>
      </c>
      <c r="C14" s="468">
        <v>10230.700000000001</v>
      </c>
      <c r="D14" s="468">
        <v>60299</v>
      </c>
      <c r="E14" s="468">
        <v>7133.4</v>
      </c>
      <c r="F14" s="468">
        <v>597.1</v>
      </c>
      <c r="G14" s="468">
        <v>193201.30000000002</v>
      </c>
      <c r="H14" s="448"/>
      <c r="I14" s="230"/>
    </row>
    <row r="15" spans="1:9" s="449" customFormat="1" ht="11.1" customHeight="1">
      <c r="A15" s="287" t="s">
        <v>1225</v>
      </c>
      <c r="B15" s="463">
        <v>137531.79999999999</v>
      </c>
      <c r="C15" s="463">
        <v>13733.4</v>
      </c>
      <c r="D15" s="463">
        <v>72732.7</v>
      </c>
      <c r="E15" s="463">
        <v>8987.9</v>
      </c>
      <c r="F15" s="463">
        <v>661.5</v>
      </c>
      <c r="G15" s="463">
        <v>224659.39999999997</v>
      </c>
      <c r="H15" s="448"/>
      <c r="I15" s="230"/>
    </row>
    <row r="16" spans="1:9" s="449" customFormat="1" ht="11.1" customHeight="1">
      <c r="A16" s="228" t="s">
        <v>1350</v>
      </c>
      <c r="B16" s="468">
        <v>140917.5</v>
      </c>
      <c r="C16" s="468">
        <v>14023</v>
      </c>
      <c r="D16" s="468">
        <v>78043.399999999994</v>
      </c>
      <c r="E16" s="468">
        <v>10474.5</v>
      </c>
      <c r="F16" s="468">
        <v>759.1</v>
      </c>
      <c r="G16" s="468">
        <v>233743</v>
      </c>
      <c r="H16" s="448"/>
      <c r="I16" s="230"/>
    </row>
    <row r="17" spans="1:9" s="162" customFormat="1" ht="11.1" customHeight="1">
      <c r="A17" s="326" t="s">
        <v>1466</v>
      </c>
      <c r="B17" s="463">
        <v>154287</v>
      </c>
      <c r="C17" s="463">
        <v>16100.1</v>
      </c>
      <c r="D17" s="463">
        <v>75012.100000000006</v>
      </c>
      <c r="E17" s="463">
        <v>11315.3</v>
      </c>
      <c r="F17" s="463">
        <v>788.5</v>
      </c>
      <c r="G17" s="463">
        <v>246187.7</v>
      </c>
    </row>
    <row r="18" spans="1:9" s="162" customFormat="1" ht="11.1" customHeight="1">
      <c r="A18" s="253" t="s">
        <v>1550</v>
      </c>
      <c r="B18" s="468">
        <v>192114.5</v>
      </c>
      <c r="C18" s="468">
        <v>15979.6</v>
      </c>
      <c r="D18" s="468">
        <v>75768.3</v>
      </c>
      <c r="E18" s="468">
        <v>16308.2</v>
      </c>
      <c r="F18" s="468">
        <v>621</v>
      </c>
      <c r="G18" s="468">
        <v>284483.40000000002</v>
      </c>
    </row>
    <row r="19" spans="1:9" s="162" customFormat="1" ht="11.1" customHeight="1">
      <c r="A19" s="326" t="s">
        <v>1606</v>
      </c>
      <c r="B19" s="463">
        <v>209517.7</v>
      </c>
      <c r="C19" s="463">
        <v>17370.599999999999</v>
      </c>
      <c r="D19" s="463">
        <v>120597</v>
      </c>
      <c r="E19" s="463">
        <v>11944.9</v>
      </c>
      <c r="F19" s="463">
        <v>586.5</v>
      </c>
      <c r="G19" s="463">
        <v>348071.80000000005</v>
      </c>
      <c r="I19" s="748"/>
    </row>
    <row r="20" spans="1:9" s="162" customFormat="1" ht="11.1" customHeight="1">
      <c r="A20" s="1440" t="s">
        <v>1927</v>
      </c>
      <c r="B20" s="553">
        <v>236448.9</v>
      </c>
      <c r="C20" s="553">
        <v>19733.8</v>
      </c>
      <c r="D20" s="553">
        <v>90382.9</v>
      </c>
      <c r="E20" s="553">
        <v>7819.1</v>
      </c>
      <c r="F20" s="553">
        <v>596.4</v>
      </c>
      <c r="G20" s="553">
        <v>347162</v>
      </c>
      <c r="I20" s="748"/>
    </row>
    <row r="21" spans="1:9" s="162" customFormat="1" ht="11.1" customHeight="1">
      <c r="A21" s="360" t="s">
        <v>2183</v>
      </c>
      <c r="B21" s="555">
        <f t="shared" ref="B21:G21" si="0">B33</f>
        <v>291913.5</v>
      </c>
      <c r="C21" s="555">
        <f t="shared" si="0"/>
        <v>20034.3</v>
      </c>
      <c r="D21" s="555">
        <f t="shared" si="0"/>
        <v>70967.3</v>
      </c>
      <c r="E21" s="555">
        <f t="shared" si="0"/>
        <v>13264.7</v>
      </c>
      <c r="F21" s="555">
        <f t="shared" si="0"/>
        <v>670.1</v>
      </c>
      <c r="G21" s="555">
        <f t="shared" si="0"/>
        <v>383585.19999999995</v>
      </c>
      <c r="I21" s="748"/>
    </row>
    <row r="22" spans="1:9" s="162" customFormat="1" ht="11.1" customHeight="1">
      <c r="A22" s="253" t="s">
        <v>565</v>
      </c>
      <c r="B22" s="468">
        <v>242026.2</v>
      </c>
      <c r="C22" s="468">
        <v>22577.3</v>
      </c>
      <c r="D22" s="468">
        <v>79692.100000000006</v>
      </c>
      <c r="E22" s="468">
        <v>7897.6</v>
      </c>
      <c r="F22" s="468">
        <v>635.4</v>
      </c>
      <c r="G22" s="468">
        <f t="shared" ref="G22:G26" si="1">B22+C22+D22+F22</f>
        <v>344931</v>
      </c>
      <c r="I22" s="748"/>
    </row>
    <row r="23" spans="1:9" s="162" customFormat="1" ht="11.1" customHeight="1">
      <c r="A23" s="326" t="s">
        <v>566</v>
      </c>
      <c r="B23" s="463">
        <v>241876.3</v>
      </c>
      <c r="C23" s="463">
        <v>21036.7</v>
      </c>
      <c r="D23" s="463">
        <v>77780</v>
      </c>
      <c r="E23" s="463">
        <v>9432.9</v>
      </c>
      <c r="F23" s="463">
        <v>643.5</v>
      </c>
      <c r="G23" s="463">
        <f t="shared" si="1"/>
        <v>341336.5</v>
      </c>
      <c r="I23" s="748"/>
    </row>
    <row r="24" spans="1:9" s="162" customFormat="1" ht="11.1" customHeight="1">
      <c r="A24" s="253" t="s">
        <v>560</v>
      </c>
      <c r="B24" s="468">
        <v>239998.2</v>
      </c>
      <c r="C24" s="468">
        <v>21638.5</v>
      </c>
      <c r="D24" s="468">
        <v>77791.399999999994</v>
      </c>
      <c r="E24" s="468">
        <v>9161.6</v>
      </c>
      <c r="F24" s="468">
        <v>652.30000000000007</v>
      </c>
      <c r="G24" s="468">
        <f t="shared" si="1"/>
        <v>340080.39999999997</v>
      </c>
      <c r="I24" s="748"/>
    </row>
    <row r="25" spans="1:9" s="162" customFormat="1" ht="11.1" customHeight="1">
      <c r="A25" s="326" t="s">
        <v>567</v>
      </c>
      <c r="B25" s="463">
        <v>236114.2</v>
      </c>
      <c r="C25" s="463">
        <v>21959</v>
      </c>
      <c r="D25" s="463">
        <v>76791.7</v>
      </c>
      <c r="E25" s="463">
        <v>8451.1</v>
      </c>
      <c r="F25" s="463">
        <v>611.70000000000005</v>
      </c>
      <c r="G25" s="463">
        <f t="shared" si="1"/>
        <v>335476.60000000003</v>
      </c>
      <c r="I25" s="748"/>
    </row>
    <row r="26" spans="1:9" s="162" customFormat="1" ht="11.1" customHeight="1">
      <c r="A26" s="253" t="s">
        <v>568</v>
      </c>
      <c r="B26" s="468">
        <v>252982</v>
      </c>
      <c r="C26" s="468">
        <v>21617.5</v>
      </c>
      <c r="D26" s="468">
        <v>71164</v>
      </c>
      <c r="E26" s="468">
        <v>7515</v>
      </c>
      <c r="F26" s="468">
        <v>602.29999999999995</v>
      </c>
      <c r="G26" s="468">
        <f t="shared" si="1"/>
        <v>346365.8</v>
      </c>
      <c r="I26" s="748"/>
    </row>
    <row r="27" spans="1:9" s="162" customFormat="1" ht="11.1" customHeight="1">
      <c r="A27" s="326" t="s">
        <v>561</v>
      </c>
      <c r="B27" s="463">
        <v>268181.5</v>
      </c>
      <c r="C27" s="463">
        <v>24182</v>
      </c>
      <c r="D27" s="463">
        <v>87030.2</v>
      </c>
      <c r="E27" s="463">
        <v>8573.2999999999993</v>
      </c>
      <c r="F27" s="463">
        <v>618</v>
      </c>
      <c r="G27" s="463">
        <f t="shared" ref="G27:G33" si="2">B27+C27+D27+F27</f>
        <v>380011.7</v>
      </c>
      <c r="I27" s="748"/>
    </row>
    <row r="28" spans="1:9" s="162" customFormat="1" ht="11.1" customHeight="1">
      <c r="A28" s="253" t="s">
        <v>569</v>
      </c>
      <c r="B28" s="468">
        <v>262992.8</v>
      </c>
      <c r="C28" s="468">
        <v>24150.5</v>
      </c>
      <c r="D28" s="468">
        <v>64970.5</v>
      </c>
      <c r="E28" s="468">
        <v>8834.4</v>
      </c>
      <c r="F28" s="468">
        <v>676.5</v>
      </c>
      <c r="G28" s="468">
        <f t="shared" si="2"/>
        <v>352790.3</v>
      </c>
      <c r="I28" s="245"/>
    </row>
    <row r="29" spans="1:9" s="162" customFormat="1" ht="11.1" customHeight="1">
      <c r="A29" s="326" t="s">
        <v>570</v>
      </c>
      <c r="B29" s="463">
        <v>257667.6</v>
      </c>
      <c r="C29" s="463">
        <v>24827.200000000001</v>
      </c>
      <c r="D29" s="463">
        <v>67254.8</v>
      </c>
      <c r="E29" s="463">
        <v>9564.9</v>
      </c>
      <c r="F29" s="463">
        <v>597.29999999999995</v>
      </c>
      <c r="G29" s="463">
        <f t="shared" si="2"/>
        <v>350346.89999999997</v>
      </c>
      <c r="I29" s="245"/>
    </row>
    <row r="30" spans="1:9" s="162" customFormat="1" ht="11.1" customHeight="1">
      <c r="A30" s="253" t="s">
        <v>562</v>
      </c>
      <c r="B30" s="468">
        <v>254668.6</v>
      </c>
      <c r="C30" s="468">
        <v>24292.7</v>
      </c>
      <c r="D30" s="468">
        <v>65945.399999999994</v>
      </c>
      <c r="E30" s="468">
        <v>10934.6</v>
      </c>
      <c r="F30" s="468">
        <v>695.1</v>
      </c>
      <c r="G30" s="468">
        <f t="shared" si="2"/>
        <v>345601.79999999993</v>
      </c>
      <c r="I30" s="245"/>
    </row>
    <row r="31" spans="1:9" s="162" customFormat="1" ht="11.1" customHeight="1">
      <c r="A31" s="326" t="s">
        <v>571</v>
      </c>
      <c r="B31" s="463">
        <v>263373.59999999998</v>
      </c>
      <c r="C31" s="463">
        <v>28274.7</v>
      </c>
      <c r="D31" s="463">
        <v>65344.9</v>
      </c>
      <c r="E31" s="463">
        <v>9665.1</v>
      </c>
      <c r="F31" s="463">
        <v>619.1</v>
      </c>
      <c r="G31" s="463">
        <f t="shared" si="2"/>
        <v>357612.3</v>
      </c>
      <c r="I31" s="245"/>
    </row>
    <row r="32" spans="1:9" s="162" customFormat="1" ht="11.1" customHeight="1">
      <c r="A32" s="253" t="s">
        <v>572</v>
      </c>
      <c r="B32" s="468">
        <v>255829.9</v>
      </c>
      <c r="C32" s="468">
        <v>24171.599999999999</v>
      </c>
      <c r="D32" s="468">
        <v>67687.199999999997</v>
      </c>
      <c r="E32" s="468">
        <v>9232.4</v>
      </c>
      <c r="F32" s="468">
        <v>580</v>
      </c>
      <c r="G32" s="468">
        <f t="shared" si="2"/>
        <v>348268.7</v>
      </c>
      <c r="I32" s="245"/>
    </row>
    <row r="33" spans="1:9" s="162" customFormat="1" ht="11.1" customHeight="1">
      <c r="A33" s="326" t="s">
        <v>563</v>
      </c>
      <c r="B33" s="463">
        <v>291913.5</v>
      </c>
      <c r="C33" s="463">
        <v>20034.3</v>
      </c>
      <c r="D33" s="463">
        <v>70967.3</v>
      </c>
      <c r="E33" s="463">
        <v>13264.7</v>
      </c>
      <c r="F33" s="463">
        <v>670.1</v>
      </c>
      <c r="G33" s="463">
        <f t="shared" si="2"/>
        <v>383585.19999999995</v>
      </c>
      <c r="I33" s="245"/>
    </row>
    <row r="34" spans="1:9" s="162" customFormat="1" ht="11.1" customHeight="1">
      <c r="A34" s="891" t="s">
        <v>2344</v>
      </c>
      <c r="B34" s="553">
        <f t="shared" ref="B34:G34" si="3">B46</f>
        <v>290436.5</v>
      </c>
      <c r="C34" s="553">
        <f t="shared" si="3"/>
        <v>29872.400000000001</v>
      </c>
      <c r="D34" s="553">
        <f t="shared" si="3"/>
        <v>92765.1</v>
      </c>
      <c r="E34" s="553">
        <f t="shared" si="3"/>
        <v>14339.5</v>
      </c>
      <c r="F34" s="553">
        <f t="shared" si="3"/>
        <v>573</v>
      </c>
      <c r="G34" s="553">
        <f t="shared" si="3"/>
        <v>413647</v>
      </c>
      <c r="I34" s="245"/>
    </row>
    <row r="35" spans="1:9" s="162" customFormat="1" ht="11.1" customHeight="1">
      <c r="A35" s="326" t="s">
        <v>565</v>
      </c>
      <c r="B35" s="463">
        <v>266354.59999999998</v>
      </c>
      <c r="C35" s="463">
        <v>26179.4</v>
      </c>
      <c r="D35" s="463">
        <v>72221</v>
      </c>
      <c r="E35" s="463">
        <v>11570.7</v>
      </c>
      <c r="F35" s="463">
        <v>904.6</v>
      </c>
      <c r="G35" s="463">
        <f t="shared" ref="G35:G54" si="4">B35+C35+D35+F35</f>
        <v>365659.6</v>
      </c>
      <c r="I35" s="245"/>
    </row>
    <row r="36" spans="1:9" s="162" customFormat="1" ht="11.1" customHeight="1">
      <c r="A36" s="253" t="s">
        <v>566</v>
      </c>
      <c r="B36" s="468">
        <v>258356.3</v>
      </c>
      <c r="C36" s="468">
        <v>24130.7</v>
      </c>
      <c r="D36" s="468">
        <v>67888.5</v>
      </c>
      <c r="E36" s="468">
        <v>12028.9</v>
      </c>
      <c r="F36" s="468">
        <v>833.1</v>
      </c>
      <c r="G36" s="468">
        <f t="shared" si="4"/>
        <v>351208.6</v>
      </c>
      <c r="I36" s="245"/>
    </row>
    <row r="37" spans="1:9" s="162" customFormat="1" ht="11.1" customHeight="1">
      <c r="A37" s="326" t="s">
        <v>560</v>
      </c>
      <c r="B37" s="463">
        <v>253505.4</v>
      </c>
      <c r="C37" s="463">
        <v>23807.4</v>
      </c>
      <c r="D37" s="463">
        <v>66319.899999999994</v>
      </c>
      <c r="E37" s="463">
        <v>10463.799999999999</v>
      </c>
      <c r="F37" s="463">
        <v>601.20000000000005</v>
      </c>
      <c r="G37" s="463">
        <f t="shared" si="4"/>
        <v>344233.89999999997</v>
      </c>
      <c r="I37" s="245"/>
    </row>
    <row r="38" spans="1:9" s="162" customFormat="1" ht="11.1" customHeight="1">
      <c r="A38" s="253" t="s">
        <v>567</v>
      </c>
      <c r="B38" s="468">
        <v>245943.9</v>
      </c>
      <c r="C38" s="468">
        <v>27093.3</v>
      </c>
      <c r="D38" s="468">
        <v>66401.8</v>
      </c>
      <c r="E38" s="468">
        <v>11125.6</v>
      </c>
      <c r="F38" s="468">
        <v>519.4</v>
      </c>
      <c r="G38" s="468">
        <f t="shared" si="4"/>
        <v>339958.4</v>
      </c>
      <c r="I38" s="245"/>
    </row>
    <row r="39" spans="1:9" s="162" customFormat="1" ht="11.1" customHeight="1">
      <c r="A39" s="326" t="s">
        <v>568</v>
      </c>
      <c r="B39" s="463">
        <v>248441.7</v>
      </c>
      <c r="C39" s="463">
        <v>26069.5</v>
      </c>
      <c r="D39" s="463">
        <v>65364.1</v>
      </c>
      <c r="E39" s="463">
        <v>10508.4</v>
      </c>
      <c r="F39" s="463">
        <v>494.9</v>
      </c>
      <c r="G39" s="463">
        <f t="shared" si="4"/>
        <v>340370.2</v>
      </c>
      <c r="I39" s="245"/>
    </row>
    <row r="40" spans="1:9" s="162" customFormat="1" ht="11.1" customHeight="1">
      <c r="A40" s="253" t="s">
        <v>561</v>
      </c>
      <c r="B40" s="468">
        <v>254860.2</v>
      </c>
      <c r="C40" s="468">
        <v>24790.1</v>
      </c>
      <c r="D40" s="468">
        <v>92122.4</v>
      </c>
      <c r="E40" s="468">
        <v>10726.4</v>
      </c>
      <c r="F40" s="468">
        <v>542.9</v>
      </c>
      <c r="G40" s="468">
        <f t="shared" si="4"/>
        <v>372315.6</v>
      </c>
      <c r="I40" s="245"/>
    </row>
    <row r="41" spans="1:9" s="162" customFormat="1" ht="11.1" customHeight="1">
      <c r="A41" s="326" t="s">
        <v>569</v>
      </c>
      <c r="B41" s="463">
        <v>257295.3</v>
      </c>
      <c r="C41" s="463">
        <v>25194.799999999999</v>
      </c>
      <c r="D41" s="463">
        <v>64338.1</v>
      </c>
      <c r="E41" s="463">
        <v>11772.8</v>
      </c>
      <c r="F41" s="463">
        <v>537.5</v>
      </c>
      <c r="G41" s="463">
        <f t="shared" si="4"/>
        <v>347365.69999999995</v>
      </c>
      <c r="I41" s="245"/>
    </row>
    <row r="42" spans="1:9" s="162" customFormat="1" ht="11.1" customHeight="1">
      <c r="A42" s="253" t="s">
        <v>570</v>
      </c>
      <c r="B42" s="468">
        <v>257574.5</v>
      </c>
      <c r="C42" s="468">
        <v>26846.400000000001</v>
      </c>
      <c r="D42" s="468">
        <v>67855.600000000006</v>
      </c>
      <c r="E42" s="468">
        <v>11695.6</v>
      </c>
      <c r="F42" s="468">
        <v>581.79999999999995</v>
      </c>
      <c r="G42" s="468">
        <f t="shared" si="4"/>
        <v>352858.3</v>
      </c>
      <c r="I42" s="245"/>
    </row>
    <row r="43" spans="1:9" s="162" customFormat="1" ht="11.1" customHeight="1">
      <c r="A43" s="326" t="s">
        <v>562</v>
      </c>
      <c r="B43" s="463">
        <v>261195.3</v>
      </c>
      <c r="C43" s="463">
        <v>29994</v>
      </c>
      <c r="D43" s="463">
        <v>65046.2</v>
      </c>
      <c r="E43" s="463">
        <v>9764.9</v>
      </c>
      <c r="F43" s="463">
        <v>553.70000000000005</v>
      </c>
      <c r="G43" s="463">
        <f t="shared" si="4"/>
        <v>356789.2</v>
      </c>
      <c r="I43" s="245"/>
    </row>
    <row r="44" spans="1:9" s="162" customFormat="1" ht="11.1" customHeight="1">
      <c r="A44" s="253" t="s">
        <v>571</v>
      </c>
      <c r="B44" s="468">
        <v>264349.3</v>
      </c>
      <c r="C44" s="468">
        <v>26460.1</v>
      </c>
      <c r="D44" s="468">
        <v>65357</v>
      </c>
      <c r="E44" s="468">
        <v>10790.8</v>
      </c>
      <c r="F44" s="468">
        <v>543.79999999999995</v>
      </c>
      <c r="G44" s="468">
        <f t="shared" si="4"/>
        <v>356710.19999999995</v>
      </c>
      <c r="I44" s="245"/>
    </row>
    <row r="45" spans="1:9" s="162" customFormat="1" ht="11.1" customHeight="1">
      <c r="A45" s="326" t="s">
        <v>572</v>
      </c>
      <c r="B45" s="463">
        <v>270658.90000000002</v>
      </c>
      <c r="C45" s="463">
        <v>23424.1</v>
      </c>
      <c r="D45" s="463">
        <v>66131.5</v>
      </c>
      <c r="E45" s="463">
        <v>10892.8</v>
      </c>
      <c r="F45" s="463">
        <v>537.20000000000005</v>
      </c>
      <c r="G45" s="463">
        <f t="shared" si="4"/>
        <v>360751.7</v>
      </c>
      <c r="I45" s="245"/>
    </row>
    <row r="46" spans="1:9" s="162" customFormat="1" ht="11.1" customHeight="1">
      <c r="A46" s="253" t="s">
        <v>563</v>
      </c>
      <c r="B46" s="468">
        <v>290436.5</v>
      </c>
      <c r="C46" s="468">
        <v>29872.400000000001</v>
      </c>
      <c r="D46" s="468">
        <v>92765.1</v>
      </c>
      <c r="E46" s="468">
        <v>14339.5</v>
      </c>
      <c r="F46" s="468">
        <v>573</v>
      </c>
      <c r="G46" s="468">
        <f t="shared" si="4"/>
        <v>413647</v>
      </c>
      <c r="I46" s="245"/>
    </row>
    <row r="47" spans="1:9" s="162" customFormat="1" ht="11.1" customHeight="1">
      <c r="A47" s="360" t="s">
        <v>2680</v>
      </c>
      <c r="B47" s="463"/>
      <c r="C47" s="463"/>
      <c r="D47" s="463"/>
      <c r="E47" s="463"/>
      <c r="F47" s="463"/>
      <c r="G47" s="463"/>
      <c r="I47" s="245"/>
    </row>
    <row r="48" spans="1:9" s="162" customFormat="1" ht="11.1" customHeight="1">
      <c r="A48" s="253" t="s">
        <v>565</v>
      </c>
      <c r="B48" s="468">
        <v>291630.40000000002</v>
      </c>
      <c r="C48" s="468">
        <v>24269.1</v>
      </c>
      <c r="D48" s="468">
        <v>72850.399999999994</v>
      </c>
      <c r="E48" s="468">
        <v>16224</v>
      </c>
      <c r="F48" s="468">
        <v>567.20000000000005</v>
      </c>
      <c r="G48" s="468">
        <f t="shared" si="4"/>
        <v>389317.10000000003</v>
      </c>
      <c r="I48" s="245"/>
    </row>
    <row r="49" spans="1:9" s="162" customFormat="1" ht="11.1" customHeight="1">
      <c r="A49" s="326" t="s">
        <v>566</v>
      </c>
      <c r="B49" s="463">
        <v>292434.40000000002</v>
      </c>
      <c r="C49" s="463">
        <v>26278.5</v>
      </c>
      <c r="D49" s="463">
        <v>66454</v>
      </c>
      <c r="E49" s="463">
        <v>12150.4</v>
      </c>
      <c r="F49" s="463">
        <v>629.70000000000005</v>
      </c>
      <c r="G49" s="463">
        <f t="shared" si="4"/>
        <v>385796.60000000003</v>
      </c>
      <c r="I49" s="245"/>
    </row>
    <row r="50" spans="1:9" s="162" customFormat="1" ht="11.1" customHeight="1">
      <c r="A50" s="253" t="s">
        <v>560</v>
      </c>
      <c r="B50" s="468">
        <v>283553.40000000002</v>
      </c>
      <c r="C50" s="468">
        <v>27460.3</v>
      </c>
      <c r="D50" s="468">
        <v>63673.3</v>
      </c>
      <c r="E50" s="468">
        <v>10429.5</v>
      </c>
      <c r="F50" s="468">
        <v>586.20000000000005</v>
      </c>
      <c r="G50" s="468">
        <f t="shared" si="4"/>
        <v>375273.2</v>
      </c>
      <c r="I50" s="245"/>
    </row>
    <row r="51" spans="1:9" s="162" customFormat="1" ht="11.1" customHeight="1">
      <c r="A51" s="326" t="s">
        <v>567</v>
      </c>
      <c r="B51" s="463">
        <v>277810.7</v>
      </c>
      <c r="C51" s="463">
        <v>25191.7</v>
      </c>
      <c r="D51" s="463">
        <v>65770.100000000006</v>
      </c>
      <c r="E51" s="463">
        <v>11950.8</v>
      </c>
      <c r="F51" s="463">
        <v>482.8</v>
      </c>
      <c r="G51" s="463">
        <f t="shared" si="4"/>
        <v>369255.3</v>
      </c>
      <c r="I51" s="245"/>
    </row>
    <row r="52" spans="1:9" s="162" customFormat="1" ht="11.1" customHeight="1">
      <c r="A52" s="253" t="s">
        <v>568</v>
      </c>
      <c r="B52" s="468">
        <v>277456.7</v>
      </c>
      <c r="C52" s="468">
        <v>24317.9</v>
      </c>
      <c r="D52" s="468">
        <v>86208.6</v>
      </c>
      <c r="E52" s="468">
        <v>10128.9</v>
      </c>
      <c r="F52" s="468">
        <v>472.7</v>
      </c>
      <c r="G52" s="468">
        <f t="shared" si="4"/>
        <v>388455.90000000008</v>
      </c>
      <c r="I52" s="245"/>
    </row>
    <row r="53" spans="1:9" s="162" customFormat="1" ht="11.1" customHeight="1">
      <c r="A53" s="326" t="s">
        <v>561</v>
      </c>
      <c r="B53" s="463">
        <v>276371.5</v>
      </c>
      <c r="C53" s="463">
        <v>28557.200000000001</v>
      </c>
      <c r="D53" s="463">
        <v>94008.5</v>
      </c>
      <c r="E53" s="463">
        <v>9509.6</v>
      </c>
      <c r="F53" s="463">
        <v>562.5</v>
      </c>
      <c r="G53" s="463">
        <f t="shared" si="4"/>
        <v>399499.7</v>
      </c>
      <c r="I53" s="245"/>
    </row>
    <row r="54" spans="1:9" s="162" customFormat="1" ht="11.1" customHeight="1" thickBot="1">
      <c r="A54" s="507" t="s">
        <v>569</v>
      </c>
      <c r="B54" s="1303">
        <v>274230.90000000002</v>
      </c>
      <c r="C54" s="1303">
        <v>25280</v>
      </c>
      <c r="D54" s="1303">
        <v>78683</v>
      </c>
      <c r="E54" s="1303">
        <v>11319.2</v>
      </c>
      <c r="F54" s="1303">
        <v>514.4</v>
      </c>
      <c r="G54" s="1303">
        <f t="shared" si="4"/>
        <v>378708.30000000005</v>
      </c>
      <c r="I54" s="245"/>
    </row>
    <row r="55" spans="1:9" s="9" customFormat="1" ht="11.25" customHeight="1">
      <c r="A55" s="658"/>
      <c r="B55" s="261" t="s">
        <v>1345</v>
      </c>
      <c r="C55" s="261"/>
      <c r="D55" s="261"/>
      <c r="E55" s="261"/>
      <c r="F55" s="261"/>
      <c r="G55" s="261"/>
      <c r="H55" s="144"/>
      <c r="I55" s="748"/>
    </row>
    <row r="56" spans="1:9" s="9" customFormat="1">
      <c r="A56" s="439" t="s">
        <v>1385</v>
      </c>
      <c r="B56" s="2011" t="s">
        <v>1259</v>
      </c>
      <c r="C56" s="2011"/>
      <c r="D56" s="2011"/>
      <c r="E56" s="653"/>
      <c r="F56" s="979" t="s">
        <v>1348</v>
      </c>
      <c r="G56" s="653"/>
      <c r="I56" s="245"/>
    </row>
    <row r="57" spans="1:9">
      <c r="A57" s="9"/>
      <c r="B57" s="53"/>
      <c r="C57" s="1156"/>
      <c r="D57" s="53"/>
      <c r="E57" s="53"/>
      <c r="F57" s="53"/>
      <c r="G57" s="53"/>
      <c r="I57" s="85"/>
    </row>
    <row r="58" spans="1:9">
      <c r="A58" s="9"/>
      <c r="B58" s="9"/>
      <c r="C58" s="1156"/>
      <c r="D58" s="9"/>
      <c r="E58" s="9"/>
      <c r="F58" s="9"/>
      <c r="G58" s="9"/>
    </row>
    <row r="59" spans="1:9">
      <c r="A59" s="9"/>
      <c r="B59" s="63"/>
      <c r="C59" s="9"/>
      <c r="D59" s="144"/>
      <c r="E59" s="9"/>
      <c r="F59" s="9"/>
      <c r="G59" s="144"/>
    </row>
    <row r="60" spans="1:9">
      <c r="B60" s="38"/>
      <c r="D60" s="144"/>
    </row>
    <row r="61" spans="1:9">
      <c r="G61" s="38"/>
    </row>
    <row r="62" spans="1:9">
      <c r="G62" s="38"/>
    </row>
    <row r="72" spans="2:7">
      <c r="B72" s="38"/>
      <c r="C72" s="38"/>
      <c r="D72" s="38"/>
      <c r="E72" s="38"/>
      <c r="F72" s="38"/>
      <c r="G72" s="38"/>
    </row>
    <row r="73" spans="2:7">
      <c r="B73" s="38"/>
      <c r="C73" s="38"/>
      <c r="D73" s="38"/>
      <c r="E73" s="38"/>
      <c r="F73" s="38"/>
      <c r="G73" s="38"/>
    </row>
    <row r="74" spans="2:7">
      <c r="B74" s="38"/>
      <c r="C74" s="38"/>
      <c r="D74" s="38"/>
      <c r="E74" s="38"/>
      <c r="F74" s="38"/>
      <c r="G74" s="38"/>
    </row>
    <row r="75" spans="2:7">
      <c r="B75" s="38"/>
      <c r="C75" s="38"/>
      <c r="D75" s="38"/>
      <c r="E75" s="38"/>
      <c r="F75" s="38"/>
      <c r="G75" s="38"/>
    </row>
    <row r="76" spans="2:7">
      <c r="B76" s="38"/>
      <c r="C76" s="38"/>
      <c r="D76" s="38"/>
      <c r="E76" s="38"/>
      <c r="F76" s="38"/>
      <c r="G76" s="38"/>
    </row>
    <row r="77" spans="2:7">
      <c r="B77" s="38"/>
      <c r="C77" s="38"/>
      <c r="D77" s="38"/>
      <c r="E77" s="38"/>
      <c r="F77" s="38"/>
      <c r="G77" s="38"/>
    </row>
    <row r="78" spans="2:7">
      <c r="B78" s="38"/>
      <c r="C78" s="38"/>
      <c r="D78" s="38"/>
      <c r="E78" s="38"/>
      <c r="F78" s="38"/>
      <c r="G78" s="38"/>
    </row>
    <row r="79" spans="2:7">
      <c r="B79" s="38"/>
      <c r="C79" s="38"/>
      <c r="D79" s="38"/>
      <c r="E79" s="38"/>
      <c r="F79" s="38"/>
      <c r="G79" s="38"/>
    </row>
    <row r="80" spans="2:7">
      <c r="B80" s="38"/>
      <c r="C80" s="38"/>
      <c r="D80" s="38"/>
      <c r="E80" s="38"/>
      <c r="F80" s="38"/>
      <c r="G80" s="38"/>
    </row>
    <row r="81" spans="2:7">
      <c r="B81" s="38"/>
      <c r="C81" s="38"/>
      <c r="D81" s="38"/>
      <c r="E81" s="38"/>
      <c r="F81" s="38"/>
      <c r="G81" s="38"/>
    </row>
    <row r="82" spans="2:7">
      <c r="B82" s="38"/>
      <c r="C82" s="38"/>
      <c r="D82" s="38"/>
      <c r="E82" s="38"/>
      <c r="F82" s="38"/>
      <c r="G82" s="38"/>
    </row>
  </sheetData>
  <customSheetViews>
    <customSheetView guid="{A374FC54-96E3-45F0-9C12-8450400C12DF}" scale="180">
      <pane xSplit="1" ySplit="7" topLeftCell="B45" activePane="bottomRight" state="frozen"/>
      <selection pane="bottomRight" activeCell="G46" sqref="G46:G48"/>
      <pageMargins left="0.62992125984252001" right="0.511811023622047" top="0.511811023622047" bottom="0.511811023622047" header="0" footer="0.39370078740157499"/>
      <pageSetup paperSize="132" firstPageNumber="16" orientation="portrait" useFirstPageNumber="1" r:id="rId1"/>
      <headerFooter alignWithMargins="0">
        <oddFooter>&amp;C&amp;"Times New Roman,Regular"&amp;8&amp;P</oddFooter>
      </headerFooter>
    </customSheetView>
  </customSheetViews>
  <mergeCells count="13">
    <mergeCell ref="B56:D56"/>
    <mergeCell ref="D5:D6"/>
    <mergeCell ref="D4:E4"/>
    <mergeCell ref="D3:F3"/>
    <mergeCell ref="F1:G1"/>
    <mergeCell ref="A1:E1"/>
    <mergeCell ref="A3:A7"/>
    <mergeCell ref="E5:E6"/>
    <mergeCell ref="C3:C6"/>
    <mergeCell ref="B3:B6"/>
    <mergeCell ref="F2:G2"/>
    <mergeCell ref="G3:G6"/>
    <mergeCell ref="F4:F6"/>
  </mergeCells>
  <phoneticPr fontId="0" type="noConversion"/>
  <pageMargins left="0.62992125984252001" right="0.511811023622047" top="0.511811023622047" bottom="0.511811023622047" header="0" footer="0.39370078740157499"/>
  <pageSetup paperSize="448" firstPageNumber="16" orientation="portrait" useFirstPageNumber="1" r:id="rId2"/>
  <headerFooter alignWithMargins="0">
    <oddFooter>&amp;C&amp;"Times New Roman,Regular"&amp;8&amp;P</oddFooter>
  </headerFooter>
  <ignoredErrors>
    <ignoredError sqref="G2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M80"/>
  <sheetViews>
    <sheetView zoomScale="150" zoomScaleNormal="150" workbookViewId="0">
      <pane xSplit="1" ySplit="7" topLeftCell="B46" activePane="bottomRight" state="frozen"/>
      <selection activeCell="F85" sqref="F85"/>
      <selection pane="topRight" activeCell="F85" sqref="F85"/>
      <selection pane="bottomLeft" activeCell="F85" sqref="F85"/>
      <selection pane="bottomRight" activeCell="I54" sqref="I54"/>
    </sheetView>
  </sheetViews>
  <sheetFormatPr defaultColWidth="9.140625" defaultRowHeight="11.25"/>
  <cols>
    <col min="1" max="1" width="10.140625" style="164" customWidth="1"/>
    <col min="2" max="2" width="7.42578125" style="164" customWidth="1"/>
    <col min="3" max="3" width="7.140625" style="164" customWidth="1"/>
    <col min="4" max="4" width="7" style="164" customWidth="1"/>
    <col min="5" max="5" width="6.42578125" style="164" customWidth="1"/>
    <col min="6" max="6" width="7.42578125" style="164" customWidth="1"/>
    <col min="7" max="7" width="8.28515625" style="164" customWidth="1"/>
    <col min="8" max="8" width="7.28515625" style="164" customWidth="1"/>
    <col min="9" max="10" width="8" style="164" customWidth="1"/>
    <col min="11" max="16384" width="9.140625" style="164"/>
  </cols>
  <sheetData>
    <row r="1" spans="1:12" s="166" customFormat="1" ht="13.5" customHeight="1">
      <c r="A1" s="2050" t="s">
        <v>1285</v>
      </c>
      <c r="B1" s="2050"/>
      <c r="C1" s="2050"/>
      <c r="D1" s="2050"/>
      <c r="E1" s="2050"/>
      <c r="F1" s="2050"/>
      <c r="G1" s="2050"/>
      <c r="H1" s="2050"/>
      <c r="I1" s="2055" t="s">
        <v>205</v>
      </c>
      <c r="J1" s="2055"/>
    </row>
    <row r="2" spans="1:12" s="169" customFormat="1" ht="12">
      <c r="I2" s="2056" t="s">
        <v>24</v>
      </c>
      <c r="J2" s="2056"/>
    </row>
    <row r="3" spans="1:12" s="385" customFormat="1" ht="15" customHeight="1">
      <c r="A3" s="1917" t="s">
        <v>947</v>
      </c>
      <c r="B3" s="2033" t="s">
        <v>206</v>
      </c>
      <c r="C3" s="2052" t="s">
        <v>489</v>
      </c>
      <c r="D3" s="2053"/>
      <c r="E3" s="2053"/>
      <c r="F3" s="2053"/>
      <c r="G3" s="2054"/>
      <c r="H3" s="2041" t="s">
        <v>927</v>
      </c>
      <c r="I3" s="2041" t="s">
        <v>209</v>
      </c>
      <c r="J3" s="2041" t="s">
        <v>210</v>
      </c>
    </row>
    <row r="4" spans="1:12" s="385" customFormat="1" ht="12.75" customHeight="1">
      <c r="A4" s="1917"/>
      <c r="B4" s="2051"/>
      <c r="C4" s="2041" t="s">
        <v>791</v>
      </c>
      <c r="D4" s="2041" t="s">
        <v>491</v>
      </c>
      <c r="E4" s="2041" t="s">
        <v>582</v>
      </c>
      <c r="F4" s="2041" t="s">
        <v>207</v>
      </c>
      <c r="G4" s="2041" t="s">
        <v>208</v>
      </c>
      <c r="H4" s="1901"/>
      <c r="I4" s="1901"/>
      <c r="J4" s="1901"/>
    </row>
    <row r="5" spans="1:12" s="171" customFormat="1" ht="19.5" customHeight="1">
      <c r="A5" s="1917"/>
      <c r="B5" s="2051"/>
      <c r="C5" s="1901"/>
      <c r="D5" s="1901"/>
      <c r="E5" s="2046"/>
      <c r="F5" s="1901"/>
      <c r="G5" s="1901"/>
      <c r="H5" s="1901"/>
      <c r="I5" s="1901"/>
      <c r="J5" s="1901"/>
    </row>
    <row r="6" spans="1:12" s="171" customFormat="1" ht="14.25" customHeight="1">
      <c r="A6" s="1917"/>
      <c r="B6" s="1915"/>
      <c r="C6" s="1902"/>
      <c r="D6" s="1902"/>
      <c r="E6" s="2045"/>
      <c r="F6" s="1902"/>
      <c r="G6" s="1902"/>
      <c r="H6" s="1902"/>
      <c r="I6" s="1902"/>
      <c r="J6" s="1902"/>
    </row>
    <row r="7" spans="1:12" s="226" customFormat="1" ht="10.5" customHeight="1">
      <c r="A7" s="1917"/>
      <c r="B7" s="1342">
        <v>1</v>
      </c>
      <c r="C7" s="516">
        <v>2</v>
      </c>
      <c r="D7" s="516">
        <v>3</v>
      </c>
      <c r="E7" s="516">
        <v>4</v>
      </c>
      <c r="F7" s="516">
        <v>5</v>
      </c>
      <c r="G7" s="516">
        <v>6</v>
      </c>
      <c r="H7" s="516">
        <v>7</v>
      </c>
      <c r="I7" s="516">
        <v>8</v>
      </c>
      <c r="J7" s="516">
        <v>9</v>
      </c>
    </row>
    <row r="8" spans="1:12" s="239" customFormat="1" ht="11.25" customHeight="1">
      <c r="A8" s="239" t="s">
        <v>81</v>
      </c>
      <c r="B8" s="468">
        <v>61181</v>
      </c>
      <c r="C8" s="468">
        <v>21471.200000000001</v>
      </c>
      <c r="D8" s="255">
        <v>830.7</v>
      </c>
      <c r="E8" s="255">
        <v>2588.6999999999998</v>
      </c>
      <c r="F8" s="255">
        <v>6613.9</v>
      </c>
      <c r="G8" s="255">
        <f t="shared" ref="G8:G10" si="0">C8+D8+E8+F8</f>
        <v>31504.5</v>
      </c>
      <c r="H8" s="468">
        <v>-18542.7</v>
      </c>
      <c r="I8" s="230">
        <f t="shared" ref="I8:I10" si="1">G8+H8</f>
        <v>12961.8</v>
      </c>
      <c r="J8" s="230">
        <f t="shared" ref="J8:J10" si="2">B8+I8</f>
        <v>74142.8</v>
      </c>
      <c r="K8" s="589"/>
    </row>
    <row r="9" spans="1:12" s="239" customFormat="1" ht="11.25" customHeight="1">
      <c r="A9" s="591" t="s">
        <v>190</v>
      </c>
      <c r="B9" s="463">
        <v>61342.1</v>
      </c>
      <c r="C9" s="463">
        <v>31710.5</v>
      </c>
      <c r="D9" s="294">
        <v>776.7</v>
      </c>
      <c r="E9" s="294">
        <v>3143.7</v>
      </c>
      <c r="F9" s="294">
        <v>18608.8</v>
      </c>
      <c r="G9" s="294">
        <f t="shared" si="0"/>
        <v>54239.7</v>
      </c>
      <c r="H9" s="463">
        <v>-25847.4</v>
      </c>
      <c r="I9" s="289">
        <f t="shared" si="1"/>
        <v>28392.299999999996</v>
      </c>
      <c r="J9" s="289">
        <f t="shared" si="2"/>
        <v>89734.399999999994</v>
      </c>
      <c r="K9" s="589"/>
    </row>
    <row r="10" spans="1:12" s="239" customFormat="1" ht="11.25" customHeight="1">
      <c r="A10" s="239" t="s">
        <v>731</v>
      </c>
      <c r="B10" s="468">
        <v>68930.100000000006</v>
      </c>
      <c r="C10" s="468">
        <v>37854.9</v>
      </c>
      <c r="D10" s="255">
        <v>1181.9000000000001</v>
      </c>
      <c r="E10" s="255">
        <v>3598.7</v>
      </c>
      <c r="F10" s="255">
        <v>22627.4</v>
      </c>
      <c r="G10" s="255">
        <f t="shared" si="0"/>
        <v>65262.9</v>
      </c>
      <c r="H10" s="468">
        <v>-36390.300000000003</v>
      </c>
      <c r="I10" s="230">
        <f t="shared" si="1"/>
        <v>28872.6</v>
      </c>
      <c r="J10" s="230">
        <f t="shared" si="2"/>
        <v>97802.700000000012</v>
      </c>
      <c r="K10" s="589"/>
    </row>
    <row r="11" spans="1:12" s="239" customFormat="1" ht="11.25" customHeight="1">
      <c r="A11" s="591" t="s">
        <v>840</v>
      </c>
      <c r="B11" s="463">
        <v>103246</v>
      </c>
      <c r="C11" s="463">
        <v>27069</v>
      </c>
      <c r="D11" s="294">
        <v>1354.5</v>
      </c>
      <c r="E11" s="294">
        <v>4180.2</v>
      </c>
      <c r="F11" s="294">
        <v>10219</v>
      </c>
      <c r="G11" s="294">
        <v>42822.7</v>
      </c>
      <c r="H11" s="463">
        <v>-33579.300000000003</v>
      </c>
      <c r="I11" s="289">
        <v>9243.3999999999942</v>
      </c>
      <c r="J11" s="289">
        <v>112489.4</v>
      </c>
      <c r="K11" s="589"/>
    </row>
    <row r="12" spans="1:12" s="590" customFormat="1" ht="11.25" customHeight="1">
      <c r="A12" s="508" t="s">
        <v>1019</v>
      </c>
      <c r="B12" s="230">
        <v>147496.6</v>
      </c>
      <c r="C12" s="468">
        <v>3840.6</v>
      </c>
      <c r="D12" s="468">
        <v>1202.7</v>
      </c>
      <c r="E12" s="468">
        <v>4272.7</v>
      </c>
      <c r="F12" s="468">
        <v>6279.2</v>
      </c>
      <c r="G12" s="468">
        <v>15595.2</v>
      </c>
      <c r="H12" s="468">
        <v>-33216.5</v>
      </c>
      <c r="I12" s="468">
        <v>-17621.3</v>
      </c>
      <c r="J12" s="468">
        <v>129875.3</v>
      </c>
    </row>
    <row r="13" spans="1:12" s="592" customFormat="1" ht="11.25" customHeight="1">
      <c r="A13" s="297" t="s">
        <v>1070</v>
      </c>
      <c r="B13" s="463">
        <v>177401.3</v>
      </c>
      <c r="C13" s="463">
        <v>810.5</v>
      </c>
      <c r="D13" s="463">
        <v>2160.8000000000002</v>
      </c>
      <c r="E13" s="463">
        <v>4645.6000000000004</v>
      </c>
      <c r="F13" s="463">
        <v>5659.2</v>
      </c>
      <c r="G13" s="463">
        <v>13276.1</v>
      </c>
      <c r="H13" s="463">
        <v>-42194.9</v>
      </c>
      <c r="I13" s="463">
        <v>-28918.800000000003</v>
      </c>
      <c r="J13" s="463">
        <v>148482.5</v>
      </c>
      <c r="L13" s="593"/>
    </row>
    <row r="14" spans="1:12" s="449" customFormat="1" ht="11.25" customHeight="1">
      <c r="A14" s="228" t="s">
        <v>1193</v>
      </c>
      <c r="B14" s="468">
        <v>218904.1</v>
      </c>
      <c r="C14" s="468">
        <v>13373.7</v>
      </c>
      <c r="D14" s="468">
        <v>2015.5</v>
      </c>
      <c r="E14" s="468">
        <v>4966.8999999999996</v>
      </c>
      <c r="F14" s="468">
        <v>6024.4</v>
      </c>
      <c r="G14" s="468">
        <v>26380.5</v>
      </c>
      <c r="H14" s="468">
        <v>-52083.3</v>
      </c>
      <c r="I14" s="468">
        <v>-25702.800000000003</v>
      </c>
      <c r="J14" s="468">
        <v>193201.3</v>
      </c>
      <c r="L14" s="448"/>
    </row>
    <row r="15" spans="1:12" s="449" customFormat="1" ht="11.25" customHeight="1">
      <c r="A15" s="287" t="s">
        <v>1225</v>
      </c>
      <c r="B15" s="463">
        <v>252027</v>
      </c>
      <c r="C15" s="463">
        <v>12977.7</v>
      </c>
      <c r="D15" s="463">
        <v>2157.8000000000002</v>
      </c>
      <c r="E15" s="463">
        <v>4976.6000000000004</v>
      </c>
      <c r="F15" s="463">
        <v>5054.3999999999996</v>
      </c>
      <c r="G15" s="463">
        <v>25166.5</v>
      </c>
      <c r="H15" s="463">
        <v>-52534.1</v>
      </c>
      <c r="I15" s="463">
        <v>-27367.599999999999</v>
      </c>
      <c r="J15" s="463">
        <v>224659.4</v>
      </c>
      <c r="L15" s="448"/>
    </row>
    <row r="16" spans="1:12" s="449" customFormat="1" ht="11.25" customHeight="1">
      <c r="A16" s="228" t="s">
        <v>1350</v>
      </c>
      <c r="B16" s="468">
        <v>253509.8</v>
      </c>
      <c r="C16" s="468">
        <v>22572.2</v>
      </c>
      <c r="D16" s="468">
        <v>2367.8000000000002</v>
      </c>
      <c r="E16" s="468">
        <v>5146.2</v>
      </c>
      <c r="F16" s="468">
        <v>5582.5</v>
      </c>
      <c r="G16" s="468">
        <v>35668.699999999997</v>
      </c>
      <c r="H16" s="468">
        <v>-55435.5</v>
      </c>
      <c r="I16" s="468">
        <v>-19766.800000000003</v>
      </c>
      <c r="J16" s="468">
        <v>233743</v>
      </c>
      <c r="L16" s="448"/>
    </row>
    <row r="17" spans="1:13" s="223" customFormat="1" ht="11.25" customHeight="1">
      <c r="A17" s="326" t="s">
        <v>1466</v>
      </c>
      <c r="B17" s="463">
        <v>257195.4</v>
      </c>
      <c r="C17" s="463">
        <v>31189</v>
      </c>
      <c r="D17" s="463">
        <v>2380.4</v>
      </c>
      <c r="E17" s="463">
        <v>4789.5</v>
      </c>
      <c r="F17" s="463">
        <v>5386.9</v>
      </c>
      <c r="G17" s="463">
        <v>43745.8</v>
      </c>
      <c r="H17" s="463">
        <v>-54753.5</v>
      </c>
      <c r="I17" s="463">
        <v>-11007.699999999997</v>
      </c>
      <c r="J17" s="463">
        <v>246187.7</v>
      </c>
      <c r="K17" s="625"/>
    </row>
    <row r="18" spans="1:13" ht="11.25" customHeight="1">
      <c r="A18" s="162" t="s">
        <v>1550</v>
      </c>
      <c r="B18" s="468">
        <v>286040.90000000002</v>
      </c>
      <c r="C18" s="468">
        <v>42117.1</v>
      </c>
      <c r="D18" s="468">
        <v>2551.9</v>
      </c>
      <c r="E18" s="468">
        <v>5342.5</v>
      </c>
      <c r="F18" s="468">
        <v>13764.9</v>
      </c>
      <c r="G18" s="468">
        <v>63776.4</v>
      </c>
      <c r="H18" s="468">
        <v>-65333.9</v>
      </c>
      <c r="I18" s="468">
        <v>-1557.5</v>
      </c>
      <c r="J18" s="468">
        <v>284483.40000000002</v>
      </c>
    </row>
    <row r="19" spans="1:13" ht="11.25" customHeight="1">
      <c r="A19" s="304" t="s">
        <v>1606</v>
      </c>
      <c r="B19" s="463">
        <v>366917.3</v>
      </c>
      <c r="C19" s="463">
        <v>17285.5</v>
      </c>
      <c r="D19" s="463">
        <v>3218.1</v>
      </c>
      <c r="E19" s="463">
        <v>5838.7</v>
      </c>
      <c r="F19" s="463">
        <v>18952.3</v>
      </c>
      <c r="G19" s="463">
        <v>45294.6</v>
      </c>
      <c r="H19" s="463">
        <v>-64140.1</v>
      </c>
      <c r="I19" s="463">
        <v>-18845.5</v>
      </c>
      <c r="J19" s="463">
        <v>348071.8</v>
      </c>
      <c r="L19" s="175"/>
      <c r="M19" s="175"/>
    </row>
    <row r="20" spans="1:13" ht="11.25" customHeight="1">
      <c r="A20" s="190" t="s">
        <v>1927</v>
      </c>
      <c r="B20" s="553">
        <v>347757.7</v>
      </c>
      <c r="C20" s="553">
        <v>54930</v>
      </c>
      <c r="D20" s="553">
        <v>3435.6</v>
      </c>
      <c r="E20" s="553">
        <v>5935.9</v>
      </c>
      <c r="F20" s="553">
        <v>16073.9</v>
      </c>
      <c r="G20" s="553">
        <v>80375.399999999994</v>
      </c>
      <c r="H20" s="553">
        <v>-80971.099999999977</v>
      </c>
      <c r="I20" s="553">
        <v>-595.69999999998254</v>
      </c>
      <c r="J20" s="553">
        <v>347162</v>
      </c>
      <c r="K20" s="468"/>
      <c r="L20" s="175"/>
      <c r="M20" s="175"/>
    </row>
    <row r="21" spans="1:13" ht="11.25" customHeight="1">
      <c r="A21" s="360" t="s">
        <v>2183</v>
      </c>
      <c r="B21" s="555">
        <f>B33</f>
        <v>287497.5</v>
      </c>
      <c r="C21" s="555">
        <f t="shared" ref="C21:J21" si="3">C33</f>
        <v>157411.9</v>
      </c>
      <c r="D21" s="555">
        <f t="shared" si="3"/>
        <v>3893.4</v>
      </c>
      <c r="E21" s="555">
        <f t="shared" si="3"/>
        <v>7351.5</v>
      </c>
      <c r="F21" s="555">
        <f>F33</f>
        <v>61847.199999999997</v>
      </c>
      <c r="G21" s="555">
        <f>G33</f>
        <v>230504</v>
      </c>
      <c r="H21" s="555">
        <f t="shared" si="3"/>
        <v>-134416.29999999999</v>
      </c>
      <c r="I21" s="555">
        <f t="shared" si="3"/>
        <v>96087.700000000012</v>
      </c>
      <c r="J21" s="555">
        <f t="shared" si="3"/>
        <v>383585.2</v>
      </c>
      <c r="K21" s="468"/>
      <c r="L21" s="175"/>
      <c r="M21" s="175"/>
    </row>
    <row r="22" spans="1:13" ht="11.25" customHeight="1">
      <c r="A22" s="162" t="s">
        <v>565</v>
      </c>
      <c r="B22" s="468">
        <v>341807.3</v>
      </c>
      <c r="C22" s="468">
        <v>52719.199999999997</v>
      </c>
      <c r="D22" s="468">
        <v>3428.2</v>
      </c>
      <c r="E22" s="468">
        <v>5937.6</v>
      </c>
      <c r="F22" s="468">
        <v>26301.599999999999</v>
      </c>
      <c r="G22" s="468">
        <f t="shared" ref="G22:G54" si="4">C22+D22+E22+F22</f>
        <v>88386.599999999991</v>
      </c>
      <c r="H22" s="468">
        <v>-85262.9</v>
      </c>
      <c r="I22" s="468">
        <f t="shared" ref="I22:I33" si="5">G22+H22</f>
        <v>3123.6999999999971</v>
      </c>
      <c r="J22" s="468">
        <f t="shared" ref="J22:J33" si="6">B22+I22</f>
        <v>344931</v>
      </c>
      <c r="K22" s="468"/>
      <c r="L22" s="175"/>
      <c r="M22" s="175"/>
    </row>
    <row r="23" spans="1:13" ht="11.25" customHeight="1">
      <c r="A23" s="304" t="s">
        <v>566</v>
      </c>
      <c r="B23" s="463">
        <v>323765.90000000002</v>
      </c>
      <c r="C23" s="463">
        <v>61832.1</v>
      </c>
      <c r="D23" s="463">
        <v>3426.3</v>
      </c>
      <c r="E23" s="463">
        <v>5989</v>
      </c>
      <c r="F23" s="463">
        <v>29865.7</v>
      </c>
      <c r="G23" s="463">
        <f t="shared" si="4"/>
        <v>101113.09999999999</v>
      </c>
      <c r="H23" s="463">
        <v>-83542.5</v>
      </c>
      <c r="I23" s="463">
        <f t="shared" si="5"/>
        <v>17570.599999999991</v>
      </c>
      <c r="J23" s="463">
        <f t="shared" si="6"/>
        <v>341336.5</v>
      </c>
      <c r="K23" s="468"/>
      <c r="L23" s="175"/>
      <c r="M23" s="175"/>
    </row>
    <row r="24" spans="1:13" ht="11.25" customHeight="1">
      <c r="A24" s="162" t="s">
        <v>560</v>
      </c>
      <c r="B24" s="468">
        <v>318925.90000000002</v>
      </c>
      <c r="C24" s="468">
        <v>71663.399999999994</v>
      </c>
      <c r="D24" s="468">
        <v>3632.8</v>
      </c>
      <c r="E24" s="468">
        <v>6018.9</v>
      </c>
      <c r="F24" s="468">
        <v>27347.8</v>
      </c>
      <c r="G24" s="468">
        <f t="shared" si="4"/>
        <v>108662.9</v>
      </c>
      <c r="H24" s="468">
        <v>-87508.4</v>
      </c>
      <c r="I24" s="468">
        <f t="shared" si="5"/>
        <v>21154.5</v>
      </c>
      <c r="J24" s="468">
        <f t="shared" si="6"/>
        <v>340080.4</v>
      </c>
      <c r="K24" s="468"/>
      <c r="L24" s="175"/>
      <c r="M24" s="175"/>
    </row>
    <row r="25" spans="1:13" ht="11.25" customHeight="1">
      <c r="A25" s="304" t="s">
        <v>567</v>
      </c>
      <c r="B25" s="463">
        <v>309398.3</v>
      </c>
      <c r="C25" s="463">
        <v>83478.7</v>
      </c>
      <c r="D25" s="463">
        <v>3631.7</v>
      </c>
      <c r="E25" s="463">
        <v>6147.8</v>
      </c>
      <c r="F25" s="463">
        <v>23915.7</v>
      </c>
      <c r="G25" s="463">
        <f t="shared" si="4"/>
        <v>117173.9</v>
      </c>
      <c r="H25" s="463">
        <v>-91095.6</v>
      </c>
      <c r="I25" s="463">
        <f t="shared" si="5"/>
        <v>26078.299999999988</v>
      </c>
      <c r="J25" s="463">
        <f t="shared" si="6"/>
        <v>335476.59999999998</v>
      </c>
      <c r="K25" s="468"/>
      <c r="L25" s="175"/>
      <c r="M25" s="175"/>
    </row>
    <row r="26" spans="1:13" ht="11.25" customHeight="1">
      <c r="A26" s="162" t="s">
        <v>568</v>
      </c>
      <c r="B26" s="468">
        <v>300465.40000000002</v>
      </c>
      <c r="C26" s="468">
        <v>91786.4</v>
      </c>
      <c r="D26" s="468">
        <v>3638.6</v>
      </c>
      <c r="E26" s="468">
        <v>6277.2</v>
      </c>
      <c r="F26" s="468">
        <v>36653.1</v>
      </c>
      <c r="G26" s="468">
        <f t="shared" si="4"/>
        <v>138355.29999999999</v>
      </c>
      <c r="H26" s="468">
        <v>-92454.9</v>
      </c>
      <c r="I26" s="468">
        <f t="shared" si="5"/>
        <v>45900.399999999994</v>
      </c>
      <c r="J26" s="468">
        <f t="shared" si="6"/>
        <v>346365.80000000005</v>
      </c>
      <c r="K26" s="468"/>
      <c r="L26" s="175"/>
      <c r="M26" s="175"/>
    </row>
    <row r="27" spans="1:13" ht="11.25" customHeight="1">
      <c r="A27" s="304" t="s">
        <v>561</v>
      </c>
      <c r="B27" s="463">
        <v>297498.09999999998</v>
      </c>
      <c r="C27" s="463">
        <v>105344.2</v>
      </c>
      <c r="D27" s="463">
        <v>3645.5</v>
      </c>
      <c r="E27" s="463">
        <v>6257.8</v>
      </c>
      <c r="F27" s="463">
        <v>66610.3</v>
      </c>
      <c r="G27" s="463">
        <f t="shared" si="4"/>
        <v>181857.8</v>
      </c>
      <c r="H27" s="463">
        <v>-99344.2</v>
      </c>
      <c r="I27" s="463">
        <f t="shared" si="5"/>
        <v>82513.599999999991</v>
      </c>
      <c r="J27" s="463">
        <f t="shared" si="6"/>
        <v>380011.69999999995</v>
      </c>
      <c r="K27" s="468"/>
      <c r="L27" s="175"/>
      <c r="M27" s="175"/>
    </row>
    <row r="28" spans="1:13" ht="11.25" customHeight="1">
      <c r="A28" s="162" t="s">
        <v>569</v>
      </c>
      <c r="B28" s="468">
        <v>290992.7</v>
      </c>
      <c r="C28" s="468">
        <v>107439.6</v>
      </c>
      <c r="D28" s="468">
        <v>3614.9</v>
      </c>
      <c r="E28" s="468">
        <v>6555.8</v>
      </c>
      <c r="F28" s="468">
        <v>49597.3</v>
      </c>
      <c r="G28" s="468">
        <f t="shared" si="4"/>
        <v>167207.6</v>
      </c>
      <c r="H28" s="468">
        <v>-105410</v>
      </c>
      <c r="I28" s="468">
        <f t="shared" si="5"/>
        <v>61797.600000000006</v>
      </c>
      <c r="J28" s="468">
        <f t="shared" si="6"/>
        <v>352790.30000000005</v>
      </c>
      <c r="K28" s="468"/>
      <c r="L28" s="175"/>
      <c r="M28" s="175"/>
    </row>
    <row r="29" spans="1:13" ht="11.25" customHeight="1">
      <c r="A29" s="304" t="s">
        <v>570</v>
      </c>
      <c r="B29" s="463">
        <v>286636.7</v>
      </c>
      <c r="C29" s="463">
        <v>108685.3</v>
      </c>
      <c r="D29" s="463">
        <v>3620.2</v>
      </c>
      <c r="E29" s="463">
        <v>6931.4</v>
      </c>
      <c r="F29" s="463">
        <v>56269</v>
      </c>
      <c r="G29" s="463">
        <f t="shared" si="4"/>
        <v>175505.9</v>
      </c>
      <c r="H29" s="463">
        <v>-111795.7</v>
      </c>
      <c r="I29" s="463">
        <f t="shared" si="5"/>
        <v>63710.2</v>
      </c>
      <c r="J29" s="463">
        <f t="shared" si="6"/>
        <v>350346.9</v>
      </c>
      <c r="K29" s="468"/>
      <c r="L29" s="175"/>
      <c r="M29" s="175"/>
    </row>
    <row r="30" spans="1:13" ht="11.25" customHeight="1">
      <c r="A30" s="162" t="s">
        <v>562</v>
      </c>
      <c r="B30" s="468">
        <v>282017.7</v>
      </c>
      <c r="C30" s="468">
        <v>111798.3</v>
      </c>
      <c r="D30" s="468">
        <v>3625.7</v>
      </c>
      <c r="E30" s="468">
        <v>7193.1</v>
      </c>
      <c r="F30" s="468">
        <v>58122</v>
      </c>
      <c r="G30" s="468">
        <f t="shared" si="4"/>
        <v>180739.1</v>
      </c>
      <c r="H30" s="468">
        <v>-117155</v>
      </c>
      <c r="I30" s="468">
        <f t="shared" si="5"/>
        <v>63584.100000000006</v>
      </c>
      <c r="J30" s="468">
        <f t="shared" si="6"/>
        <v>345601.80000000005</v>
      </c>
      <c r="K30" s="468"/>
      <c r="L30" s="175"/>
      <c r="M30" s="175"/>
    </row>
    <row r="31" spans="1:13" ht="11.25" customHeight="1">
      <c r="A31" s="304" t="s">
        <v>571</v>
      </c>
      <c r="B31" s="463">
        <v>275843.59999999998</v>
      </c>
      <c r="C31" s="463">
        <v>136213.9</v>
      </c>
      <c r="D31" s="463">
        <v>3882.7</v>
      </c>
      <c r="E31" s="463">
        <v>7365.5</v>
      </c>
      <c r="F31" s="463">
        <v>55240.7</v>
      </c>
      <c r="G31" s="463">
        <f t="shared" si="4"/>
        <v>202702.8</v>
      </c>
      <c r="H31" s="463">
        <v>-120934.1</v>
      </c>
      <c r="I31" s="463">
        <f t="shared" si="5"/>
        <v>81768.699999999983</v>
      </c>
      <c r="J31" s="463">
        <f t="shared" si="6"/>
        <v>357612.29999999993</v>
      </c>
      <c r="K31" s="468"/>
      <c r="L31" s="175"/>
      <c r="M31" s="175"/>
    </row>
    <row r="32" spans="1:13" ht="11.25" customHeight="1">
      <c r="A32" s="162" t="s">
        <v>572</v>
      </c>
      <c r="B32" s="468">
        <v>275075.40000000002</v>
      </c>
      <c r="C32" s="468">
        <v>132882.4</v>
      </c>
      <c r="D32" s="468">
        <v>3886.5</v>
      </c>
      <c r="E32" s="468">
        <v>7530.5</v>
      </c>
      <c r="F32" s="468">
        <v>55609.4</v>
      </c>
      <c r="G32" s="468">
        <f t="shared" si="4"/>
        <v>199908.8</v>
      </c>
      <c r="H32" s="468">
        <v>-126715.5</v>
      </c>
      <c r="I32" s="468">
        <f t="shared" si="5"/>
        <v>73193.299999999988</v>
      </c>
      <c r="J32" s="468">
        <f t="shared" si="6"/>
        <v>348268.7</v>
      </c>
      <c r="K32" s="468"/>
      <c r="L32" s="175"/>
      <c r="M32" s="175"/>
    </row>
    <row r="33" spans="1:13" ht="11.25" customHeight="1">
      <c r="A33" s="304" t="s">
        <v>563</v>
      </c>
      <c r="B33" s="463">
        <v>287497.5</v>
      </c>
      <c r="C33" s="463">
        <v>157411.9</v>
      </c>
      <c r="D33" s="463">
        <v>3893.4</v>
      </c>
      <c r="E33" s="463">
        <v>7351.5</v>
      </c>
      <c r="F33" s="463">
        <v>61847.199999999997</v>
      </c>
      <c r="G33" s="463">
        <f t="shared" si="4"/>
        <v>230504</v>
      </c>
      <c r="H33" s="463">
        <v>-134416.29999999999</v>
      </c>
      <c r="I33" s="463">
        <f t="shared" si="5"/>
        <v>96087.700000000012</v>
      </c>
      <c r="J33" s="463">
        <f t="shared" si="6"/>
        <v>383585.2</v>
      </c>
      <c r="K33" s="468"/>
      <c r="L33" s="175"/>
      <c r="M33" s="175"/>
    </row>
    <row r="34" spans="1:13" ht="11.25" customHeight="1">
      <c r="A34" s="1440" t="s">
        <v>2344</v>
      </c>
      <c r="B34" s="553">
        <f>B46</f>
        <v>245780.7</v>
      </c>
      <c r="C34" s="553">
        <f t="shared" ref="C34:J34" si="7">C46</f>
        <v>145932.20000000001</v>
      </c>
      <c r="D34" s="553">
        <f t="shared" si="7"/>
        <v>4208.5</v>
      </c>
      <c r="E34" s="553">
        <f t="shared" si="7"/>
        <v>8781.9</v>
      </c>
      <c r="F34" s="553">
        <f t="shared" si="7"/>
        <v>170115.4</v>
      </c>
      <c r="G34" s="553">
        <f t="shared" si="7"/>
        <v>329038</v>
      </c>
      <c r="H34" s="553">
        <f t="shared" si="7"/>
        <v>-161171.70000000001</v>
      </c>
      <c r="I34" s="553">
        <f t="shared" si="7"/>
        <v>167866.3</v>
      </c>
      <c r="J34" s="553">
        <f t="shared" si="7"/>
        <v>413647</v>
      </c>
      <c r="K34" s="468"/>
      <c r="L34" s="175"/>
      <c r="M34" s="175"/>
    </row>
    <row r="35" spans="1:13" ht="11.25" customHeight="1">
      <c r="A35" s="304" t="s">
        <v>565</v>
      </c>
      <c r="B35" s="463">
        <v>284091</v>
      </c>
      <c r="C35" s="463">
        <v>147689</v>
      </c>
      <c r="D35" s="463">
        <v>3786.5</v>
      </c>
      <c r="E35" s="463">
        <v>7308.8</v>
      </c>
      <c r="F35" s="463">
        <v>63802.2</v>
      </c>
      <c r="G35" s="463">
        <f t="shared" si="4"/>
        <v>222586.5</v>
      </c>
      <c r="H35" s="463">
        <v>-141017.9</v>
      </c>
      <c r="I35" s="463">
        <f t="shared" ref="I35:I45" si="8">G35+H35</f>
        <v>81568.600000000006</v>
      </c>
      <c r="J35" s="463">
        <f t="shared" ref="J35:J45" si="9">B35+I35</f>
        <v>365659.6</v>
      </c>
      <c r="K35" s="468"/>
      <c r="L35" s="175"/>
      <c r="M35" s="175"/>
    </row>
    <row r="36" spans="1:13" ht="11.25" customHeight="1">
      <c r="A36" s="162" t="s">
        <v>566</v>
      </c>
      <c r="B36" s="468">
        <v>272944.3</v>
      </c>
      <c r="C36" s="468">
        <v>135934.20000000001</v>
      </c>
      <c r="D36" s="468">
        <v>3680.1</v>
      </c>
      <c r="E36" s="468">
        <v>7542</v>
      </c>
      <c r="F36" s="468">
        <v>62898.1</v>
      </c>
      <c r="G36" s="468">
        <f t="shared" si="4"/>
        <v>210054.40000000002</v>
      </c>
      <c r="H36" s="468">
        <v>-131790.1</v>
      </c>
      <c r="I36" s="468">
        <f t="shared" si="8"/>
        <v>78264.300000000017</v>
      </c>
      <c r="J36" s="468">
        <f t="shared" si="9"/>
        <v>351208.6</v>
      </c>
      <c r="K36" s="468"/>
      <c r="L36" s="175"/>
      <c r="M36" s="175"/>
    </row>
    <row r="37" spans="1:13" ht="11.25" customHeight="1">
      <c r="A37" s="304" t="s">
        <v>560</v>
      </c>
      <c r="B37" s="463">
        <v>258977.5</v>
      </c>
      <c r="C37" s="463">
        <v>129039.7</v>
      </c>
      <c r="D37" s="463">
        <v>3928.4</v>
      </c>
      <c r="E37" s="463">
        <v>7748.6</v>
      </c>
      <c r="F37" s="463">
        <v>75410.399999999994</v>
      </c>
      <c r="G37" s="463">
        <f t="shared" si="4"/>
        <v>216127.1</v>
      </c>
      <c r="H37" s="463">
        <v>-130870.7</v>
      </c>
      <c r="I37" s="463">
        <f t="shared" si="8"/>
        <v>85256.400000000009</v>
      </c>
      <c r="J37" s="463">
        <f t="shared" si="9"/>
        <v>344233.9</v>
      </c>
      <c r="K37" s="468"/>
      <c r="L37" s="175"/>
      <c r="M37" s="175"/>
    </row>
    <row r="38" spans="1:13" ht="11.25" customHeight="1">
      <c r="A38" s="162" t="s">
        <v>567</v>
      </c>
      <c r="B38" s="468">
        <v>248074.3</v>
      </c>
      <c r="C38" s="468">
        <v>127546.1</v>
      </c>
      <c r="D38" s="468">
        <v>3934.3</v>
      </c>
      <c r="E38" s="468">
        <v>9203.2000000000007</v>
      </c>
      <c r="F38" s="468">
        <v>85224.5</v>
      </c>
      <c r="G38" s="468">
        <f t="shared" si="4"/>
        <v>225908.1</v>
      </c>
      <c r="H38" s="468">
        <v>-134024</v>
      </c>
      <c r="I38" s="468">
        <f t="shared" si="8"/>
        <v>91884.1</v>
      </c>
      <c r="J38" s="468">
        <f t="shared" si="9"/>
        <v>339958.4</v>
      </c>
      <c r="K38" s="468"/>
      <c r="L38" s="175"/>
      <c r="M38" s="175"/>
    </row>
    <row r="39" spans="1:13" ht="11.25" customHeight="1">
      <c r="A39" s="304" t="s">
        <v>568</v>
      </c>
      <c r="B39" s="463">
        <v>235600.5</v>
      </c>
      <c r="C39" s="463">
        <v>132232.70000000001</v>
      </c>
      <c r="D39" s="463">
        <v>3943</v>
      </c>
      <c r="E39" s="463">
        <v>9203</v>
      </c>
      <c r="F39" s="463">
        <v>94568.1</v>
      </c>
      <c r="G39" s="463">
        <f t="shared" si="4"/>
        <v>239946.80000000002</v>
      </c>
      <c r="H39" s="463">
        <v>-135177.1</v>
      </c>
      <c r="I39" s="463">
        <f t="shared" si="8"/>
        <v>104769.70000000001</v>
      </c>
      <c r="J39" s="463">
        <f t="shared" si="9"/>
        <v>340370.2</v>
      </c>
      <c r="K39" s="468"/>
      <c r="L39" s="175"/>
      <c r="M39" s="175"/>
    </row>
    <row r="40" spans="1:13" ht="11.25" customHeight="1">
      <c r="A40" s="162" t="s">
        <v>561</v>
      </c>
      <c r="B40" s="468">
        <v>248198.9</v>
      </c>
      <c r="C40" s="468">
        <v>126706.8</v>
      </c>
      <c r="D40" s="468">
        <v>4201.8999999999996</v>
      </c>
      <c r="E40" s="468">
        <v>8390.4</v>
      </c>
      <c r="F40" s="468">
        <v>124636.7</v>
      </c>
      <c r="G40" s="468">
        <f t="shared" si="4"/>
        <v>263935.8</v>
      </c>
      <c r="H40" s="468">
        <v>-139819.1</v>
      </c>
      <c r="I40" s="468">
        <f t="shared" si="8"/>
        <v>124116.69999999998</v>
      </c>
      <c r="J40" s="468">
        <f t="shared" si="9"/>
        <v>372315.6</v>
      </c>
      <c r="K40" s="468"/>
      <c r="L40" s="175"/>
      <c r="M40" s="175"/>
    </row>
    <row r="41" spans="1:13" ht="11.25" customHeight="1">
      <c r="A41" s="304" t="s">
        <v>569</v>
      </c>
      <c r="B41" s="463">
        <v>232550.2</v>
      </c>
      <c r="C41" s="463">
        <v>125862.2</v>
      </c>
      <c r="D41" s="463">
        <v>4173.6000000000004</v>
      </c>
      <c r="E41" s="463">
        <v>8308.2999999999993</v>
      </c>
      <c r="F41" s="463">
        <v>109153.9</v>
      </c>
      <c r="G41" s="463">
        <f t="shared" si="4"/>
        <v>247498</v>
      </c>
      <c r="H41" s="463">
        <v>-132682.5</v>
      </c>
      <c r="I41" s="463">
        <f t="shared" si="8"/>
        <v>114815.5</v>
      </c>
      <c r="J41" s="463">
        <f t="shared" si="9"/>
        <v>347365.7</v>
      </c>
      <c r="K41" s="468"/>
      <c r="L41" s="175"/>
      <c r="M41" s="175"/>
    </row>
    <row r="42" spans="1:13" ht="11.25" customHeight="1">
      <c r="A42" s="162" t="s">
        <v>570</v>
      </c>
      <c r="B42" s="468">
        <v>229743.6</v>
      </c>
      <c r="C42" s="468">
        <v>123109.8</v>
      </c>
      <c r="D42" s="468">
        <v>4182.5</v>
      </c>
      <c r="E42" s="468">
        <v>8445.2000000000007</v>
      </c>
      <c r="F42" s="468">
        <v>117104.3</v>
      </c>
      <c r="G42" s="468">
        <f t="shared" si="4"/>
        <v>252841.8</v>
      </c>
      <c r="H42" s="468">
        <v>-129727.1</v>
      </c>
      <c r="I42" s="468">
        <f t="shared" si="8"/>
        <v>123114.69999999998</v>
      </c>
      <c r="J42" s="468">
        <f t="shared" si="9"/>
        <v>352858.3</v>
      </c>
      <c r="K42" s="468"/>
      <c r="L42" s="175"/>
      <c r="M42" s="175"/>
    </row>
    <row r="43" spans="1:13" ht="11.25" customHeight="1">
      <c r="A43" s="304" t="s">
        <v>562</v>
      </c>
      <c r="B43" s="463">
        <v>226890.9</v>
      </c>
      <c r="C43" s="463">
        <v>127810.1</v>
      </c>
      <c r="D43" s="463">
        <v>4186.8</v>
      </c>
      <c r="E43" s="463">
        <v>8529.7000000000007</v>
      </c>
      <c r="F43" s="463">
        <v>119086.6</v>
      </c>
      <c r="G43" s="463">
        <f t="shared" si="4"/>
        <v>259613.2</v>
      </c>
      <c r="H43" s="463">
        <v>-129714.9</v>
      </c>
      <c r="I43" s="463">
        <f t="shared" si="8"/>
        <v>129898.30000000002</v>
      </c>
      <c r="J43" s="463">
        <f t="shared" si="9"/>
        <v>356789.2</v>
      </c>
      <c r="K43" s="468"/>
      <c r="L43" s="175"/>
      <c r="M43" s="175"/>
    </row>
    <row r="44" spans="1:13" ht="11.25" customHeight="1">
      <c r="A44" s="162" t="s">
        <v>571</v>
      </c>
      <c r="B44" s="468">
        <v>219734.5</v>
      </c>
      <c r="C44" s="468">
        <v>137437.79999999999</v>
      </c>
      <c r="D44" s="468">
        <v>4194</v>
      </c>
      <c r="E44" s="468">
        <v>8446.5</v>
      </c>
      <c r="F44" s="468">
        <v>116778.1</v>
      </c>
      <c r="G44" s="468">
        <f t="shared" si="4"/>
        <v>266856.40000000002</v>
      </c>
      <c r="H44" s="468">
        <v>-129880.7</v>
      </c>
      <c r="I44" s="468">
        <f t="shared" si="8"/>
        <v>136975.70000000001</v>
      </c>
      <c r="J44" s="468">
        <f t="shared" si="9"/>
        <v>356710.2</v>
      </c>
      <c r="K44" s="468"/>
      <c r="L44" s="175"/>
      <c r="M44" s="175"/>
    </row>
    <row r="45" spans="1:13" ht="11.25" customHeight="1">
      <c r="A45" s="304" t="s">
        <v>572</v>
      </c>
      <c r="B45" s="463">
        <v>231124.4</v>
      </c>
      <c r="C45" s="463">
        <v>141383.70000000001</v>
      </c>
      <c r="D45" s="463">
        <v>4201.3</v>
      </c>
      <c r="E45" s="463">
        <v>8753.2000000000007</v>
      </c>
      <c r="F45" s="463">
        <v>117653.8</v>
      </c>
      <c r="G45" s="463">
        <f t="shared" si="4"/>
        <v>271992</v>
      </c>
      <c r="H45" s="463">
        <v>-142364.70000000001</v>
      </c>
      <c r="I45" s="463">
        <f t="shared" si="8"/>
        <v>129627.29999999999</v>
      </c>
      <c r="J45" s="463">
        <f t="shared" si="9"/>
        <v>360751.69999999995</v>
      </c>
      <c r="K45" s="468"/>
      <c r="L45" s="175"/>
      <c r="M45" s="175"/>
    </row>
    <row r="46" spans="1:13" ht="11.25" customHeight="1">
      <c r="A46" s="162" t="s">
        <v>563</v>
      </c>
      <c r="B46" s="468">
        <v>245780.7</v>
      </c>
      <c r="C46" s="468">
        <v>145932.20000000001</v>
      </c>
      <c r="D46" s="468">
        <v>4208.5</v>
      </c>
      <c r="E46" s="468">
        <v>8781.9</v>
      </c>
      <c r="F46" s="468">
        <v>170115.4</v>
      </c>
      <c r="G46" s="468">
        <f t="shared" si="4"/>
        <v>329038</v>
      </c>
      <c r="H46" s="468">
        <v>-161171.70000000001</v>
      </c>
      <c r="I46" s="468">
        <f t="shared" ref="I46" si="10">G46+H46</f>
        <v>167866.3</v>
      </c>
      <c r="J46" s="468">
        <f t="shared" ref="J46" si="11">B46+I46</f>
        <v>413647</v>
      </c>
      <c r="K46" s="468"/>
      <c r="L46" s="175"/>
      <c r="M46" s="175"/>
    </row>
    <row r="47" spans="1:13" ht="11.25" customHeight="1">
      <c r="A47" s="306" t="s">
        <v>2680</v>
      </c>
      <c r="B47" s="463"/>
      <c r="C47" s="463"/>
      <c r="D47" s="463"/>
      <c r="E47" s="463"/>
      <c r="F47" s="463"/>
      <c r="G47" s="463"/>
      <c r="H47" s="463"/>
      <c r="I47" s="463"/>
      <c r="J47" s="463"/>
      <c r="K47" s="468"/>
      <c r="L47" s="175"/>
      <c r="M47" s="175"/>
    </row>
    <row r="48" spans="1:13" ht="11.25" customHeight="1">
      <c r="A48" s="162" t="s">
        <v>565</v>
      </c>
      <c r="B48" s="468">
        <v>238927.1</v>
      </c>
      <c r="C48" s="468">
        <v>146699.6</v>
      </c>
      <c r="D48" s="468">
        <v>4206.3</v>
      </c>
      <c r="E48" s="468">
        <v>8804.2999999999993</v>
      </c>
      <c r="F48" s="468">
        <v>138552.79999999999</v>
      </c>
      <c r="G48" s="468">
        <f t="shared" si="4"/>
        <v>298263</v>
      </c>
      <c r="H48" s="468">
        <v>-147873</v>
      </c>
      <c r="I48" s="468">
        <f t="shared" ref="I48:I54" si="12">G48+H48</f>
        <v>150390</v>
      </c>
      <c r="J48" s="468">
        <f t="shared" ref="J48:J54" si="13">B48+I48</f>
        <v>389317.1</v>
      </c>
      <c r="K48" s="468"/>
      <c r="L48" s="175"/>
      <c r="M48" s="175"/>
    </row>
    <row r="49" spans="1:13" ht="11.25" customHeight="1">
      <c r="A49" s="304" t="s">
        <v>566</v>
      </c>
      <c r="B49" s="463">
        <v>231618.7</v>
      </c>
      <c r="C49" s="463">
        <v>127517.6</v>
      </c>
      <c r="D49" s="463">
        <v>3799.5</v>
      </c>
      <c r="E49" s="463">
        <v>8681.2999999999993</v>
      </c>
      <c r="F49" s="463">
        <v>147079.9</v>
      </c>
      <c r="G49" s="463">
        <f t="shared" si="4"/>
        <v>287078.3</v>
      </c>
      <c r="H49" s="463">
        <v>-132900.4</v>
      </c>
      <c r="I49" s="463">
        <f t="shared" si="12"/>
        <v>154177.9</v>
      </c>
      <c r="J49" s="463">
        <f t="shared" si="13"/>
        <v>385796.6</v>
      </c>
      <c r="K49" s="468"/>
      <c r="L49" s="175"/>
      <c r="M49" s="175"/>
    </row>
    <row r="50" spans="1:13" ht="11.25" customHeight="1">
      <c r="A50" s="162" t="s">
        <v>560</v>
      </c>
      <c r="B50" s="468">
        <v>231666.3</v>
      </c>
      <c r="C50" s="468">
        <v>103832.7</v>
      </c>
      <c r="D50" s="468">
        <v>3786.1</v>
      </c>
      <c r="E50" s="468">
        <v>9289.2000000000007</v>
      </c>
      <c r="F50" s="468">
        <v>164110</v>
      </c>
      <c r="G50" s="468">
        <f t="shared" si="4"/>
        <v>281018</v>
      </c>
      <c r="H50" s="468">
        <v>-137411.1</v>
      </c>
      <c r="I50" s="468">
        <f t="shared" si="12"/>
        <v>143606.9</v>
      </c>
      <c r="J50" s="468">
        <f t="shared" si="13"/>
        <v>375273.19999999995</v>
      </c>
      <c r="K50" s="468"/>
      <c r="L50" s="175"/>
      <c r="M50" s="175"/>
    </row>
    <row r="51" spans="1:13" ht="11.25" customHeight="1">
      <c r="A51" s="304" t="s">
        <v>567</v>
      </c>
      <c r="B51" s="463">
        <v>228522.6</v>
      </c>
      <c r="C51" s="463">
        <v>106212.1</v>
      </c>
      <c r="D51" s="463">
        <v>3789.7</v>
      </c>
      <c r="E51" s="463">
        <v>8910.5</v>
      </c>
      <c r="F51" s="463">
        <v>159222.5</v>
      </c>
      <c r="G51" s="463">
        <f t="shared" si="4"/>
        <v>278134.8</v>
      </c>
      <c r="H51" s="463">
        <v>-137402.1</v>
      </c>
      <c r="I51" s="463">
        <f t="shared" si="12"/>
        <v>140732.69999999998</v>
      </c>
      <c r="J51" s="463">
        <f t="shared" si="13"/>
        <v>369255.3</v>
      </c>
      <c r="K51" s="468"/>
      <c r="L51" s="175"/>
      <c r="M51" s="175"/>
    </row>
    <row r="52" spans="1:13" ht="11.25" customHeight="1">
      <c r="A52" s="162" t="s">
        <v>568</v>
      </c>
      <c r="B52" s="468">
        <v>223881.5</v>
      </c>
      <c r="C52" s="468">
        <v>107981.5</v>
      </c>
      <c r="D52" s="468">
        <v>3796.2</v>
      </c>
      <c r="E52" s="468">
        <v>9505.7000000000007</v>
      </c>
      <c r="F52" s="468">
        <v>180516.1</v>
      </c>
      <c r="G52" s="468">
        <f t="shared" si="4"/>
        <v>301799.5</v>
      </c>
      <c r="H52" s="468">
        <v>-137225.1</v>
      </c>
      <c r="I52" s="468">
        <f t="shared" si="12"/>
        <v>164574.39999999999</v>
      </c>
      <c r="J52" s="468">
        <f t="shared" si="13"/>
        <v>388455.9</v>
      </c>
      <c r="K52" s="468"/>
      <c r="L52" s="175"/>
      <c r="M52" s="175"/>
    </row>
    <row r="53" spans="1:13" ht="11.25" customHeight="1">
      <c r="A53" s="304" t="s">
        <v>561</v>
      </c>
      <c r="B53" s="463">
        <v>235750.8</v>
      </c>
      <c r="C53" s="463">
        <v>89973.6</v>
      </c>
      <c r="D53" s="463">
        <v>6903.5</v>
      </c>
      <c r="E53" s="463">
        <v>9426.5</v>
      </c>
      <c r="F53" s="463">
        <v>198089.2</v>
      </c>
      <c r="G53" s="463">
        <f t="shared" si="4"/>
        <v>304392.80000000005</v>
      </c>
      <c r="H53" s="463">
        <v>-140643.9</v>
      </c>
      <c r="I53" s="463">
        <f t="shared" si="12"/>
        <v>163748.90000000005</v>
      </c>
      <c r="J53" s="463">
        <f t="shared" si="13"/>
        <v>399499.70000000007</v>
      </c>
      <c r="K53" s="468"/>
      <c r="L53" s="175"/>
      <c r="M53" s="175"/>
    </row>
    <row r="54" spans="1:13" ht="11.25" customHeight="1" thickBot="1">
      <c r="A54" s="1778" t="s">
        <v>569</v>
      </c>
      <c r="B54" s="1303">
        <v>238082.6</v>
      </c>
      <c r="C54" s="1303">
        <v>88103.8</v>
      </c>
      <c r="D54" s="1303">
        <v>7121.8</v>
      </c>
      <c r="E54" s="1303">
        <v>9606.6</v>
      </c>
      <c r="F54" s="1303">
        <v>184745.4</v>
      </c>
      <c r="G54" s="1303">
        <f t="shared" si="4"/>
        <v>289577.59999999998</v>
      </c>
      <c r="H54" s="1303">
        <v>-148951.9</v>
      </c>
      <c r="I54" s="1303">
        <f t="shared" si="12"/>
        <v>140625.69999999998</v>
      </c>
      <c r="J54" s="1303">
        <f t="shared" si="13"/>
        <v>378708.3</v>
      </c>
      <c r="K54" s="468"/>
      <c r="L54" s="175"/>
      <c r="M54" s="175"/>
    </row>
    <row r="55" spans="1:13" s="162" customFormat="1">
      <c r="A55" s="517" t="s">
        <v>1390</v>
      </c>
      <c r="B55" s="261" t="s">
        <v>1259</v>
      </c>
      <c r="C55" s="261"/>
      <c r="D55" s="261"/>
      <c r="E55" s="261"/>
      <c r="F55" s="261"/>
      <c r="G55" s="261"/>
      <c r="H55" s="261"/>
      <c r="I55" s="270" t="s">
        <v>1348</v>
      </c>
      <c r="J55" s="261"/>
      <c r="K55" s="748"/>
      <c r="L55" s="748"/>
    </row>
    <row r="56" spans="1:13">
      <c r="A56" s="223"/>
      <c r="B56" s="223"/>
      <c r="C56" s="223"/>
      <c r="D56" s="223"/>
      <c r="E56" s="223"/>
      <c r="F56" s="230"/>
      <c r="G56" s="223"/>
      <c r="H56" s="223"/>
      <c r="I56" s="223"/>
      <c r="J56" s="625"/>
      <c r="K56" s="175"/>
      <c r="L56" s="175"/>
    </row>
    <row r="57" spans="1:13">
      <c r="B57" s="223"/>
      <c r="F57" s="230"/>
      <c r="L57" s="175"/>
    </row>
    <row r="60" spans="1:13">
      <c r="B60" s="175"/>
      <c r="C60" s="175"/>
      <c r="D60" s="175"/>
      <c r="E60" s="175"/>
      <c r="F60" s="175"/>
      <c r="G60" s="175"/>
      <c r="H60" s="175"/>
      <c r="I60" s="175"/>
      <c r="J60" s="175"/>
    </row>
    <row r="70" spans="2:10">
      <c r="B70" s="175"/>
      <c r="C70" s="175"/>
      <c r="D70" s="175"/>
      <c r="E70" s="175"/>
      <c r="F70" s="175"/>
      <c r="G70" s="175"/>
      <c r="H70" s="175"/>
      <c r="I70" s="175"/>
      <c r="J70" s="175"/>
    </row>
    <row r="71" spans="2:10">
      <c r="B71" s="175"/>
      <c r="C71" s="175"/>
      <c r="D71" s="175"/>
      <c r="E71" s="175"/>
      <c r="F71" s="175"/>
      <c r="G71" s="175"/>
      <c r="H71" s="175"/>
      <c r="I71" s="175"/>
      <c r="J71" s="175"/>
    </row>
    <row r="72" spans="2:10">
      <c r="B72" s="175"/>
      <c r="C72" s="175"/>
      <c r="D72" s="175"/>
      <c r="E72" s="175"/>
      <c r="F72" s="175"/>
      <c r="G72" s="175"/>
      <c r="H72" s="175"/>
      <c r="I72" s="175"/>
      <c r="J72" s="175"/>
    </row>
    <row r="73" spans="2:10">
      <c r="B73" s="175"/>
      <c r="C73" s="175"/>
      <c r="D73" s="175"/>
      <c r="E73" s="175"/>
      <c r="F73" s="175"/>
      <c r="G73" s="175"/>
      <c r="H73" s="175"/>
      <c r="I73" s="175"/>
      <c r="J73" s="175"/>
    </row>
    <row r="74" spans="2:10">
      <c r="B74" s="175"/>
      <c r="C74" s="175"/>
      <c r="D74" s="175"/>
      <c r="E74" s="175"/>
      <c r="F74" s="175"/>
      <c r="G74" s="175"/>
      <c r="H74" s="175"/>
      <c r="I74" s="175"/>
      <c r="J74" s="175"/>
    </row>
    <row r="75" spans="2:10">
      <c r="B75" s="175"/>
      <c r="C75" s="175"/>
      <c r="D75" s="175"/>
      <c r="E75" s="175"/>
      <c r="F75" s="175"/>
      <c r="G75" s="175"/>
      <c r="H75" s="175"/>
      <c r="I75" s="175"/>
      <c r="J75" s="175"/>
    </row>
    <row r="76" spans="2:10">
      <c r="B76" s="175"/>
      <c r="C76" s="175"/>
      <c r="D76" s="175"/>
      <c r="E76" s="175"/>
      <c r="F76" s="175"/>
      <c r="G76" s="175"/>
      <c r="H76" s="175"/>
      <c r="I76" s="175"/>
      <c r="J76" s="175"/>
    </row>
    <row r="77" spans="2:10">
      <c r="B77" s="175"/>
      <c r="C77" s="175"/>
      <c r="D77" s="175"/>
      <c r="E77" s="175"/>
      <c r="F77" s="175"/>
      <c r="G77" s="175"/>
      <c r="H77" s="175"/>
      <c r="I77" s="175"/>
      <c r="J77" s="175"/>
    </row>
    <row r="78" spans="2:10">
      <c r="B78" s="175"/>
      <c r="C78" s="175"/>
      <c r="D78" s="175"/>
      <c r="E78" s="175"/>
      <c r="F78" s="175"/>
      <c r="G78" s="175"/>
      <c r="H78" s="175"/>
      <c r="I78" s="175"/>
      <c r="J78" s="175"/>
    </row>
    <row r="79" spans="2:10">
      <c r="B79" s="175"/>
      <c r="C79" s="175"/>
      <c r="D79" s="175"/>
      <c r="E79" s="175"/>
      <c r="F79" s="175"/>
      <c r="G79" s="175"/>
      <c r="H79" s="175"/>
      <c r="I79" s="175"/>
      <c r="J79" s="175"/>
    </row>
    <row r="80" spans="2:10">
      <c r="B80" s="175"/>
      <c r="C80" s="175"/>
      <c r="D80" s="175"/>
      <c r="E80" s="175"/>
      <c r="F80" s="175"/>
      <c r="G80" s="175"/>
      <c r="H80" s="175"/>
      <c r="I80" s="175"/>
      <c r="J80" s="175"/>
    </row>
  </sheetData>
  <customSheetViews>
    <customSheetView guid="{A374FC54-96E3-45F0-9C12-8450400C12DF}" scale="200">
      <pane xSplit="1" ySplit="7" topLeftCell="B43" activePane="bottomRight" state="frozen"/>
      <selection pane="bottomRight" activeCell="J46" sqref="J46:J48"/>
      <pageMargins left="0.59055118110236204" right="0.511811023622047" top="0.511811023622047" bottom="0.511811023622047" header="0" footer="0.35433070866141703"/>
      <pageSetup paperSize="132" firstPageNumber="17" orientation="portrait" useFirstPageNumber="1" r:id="rId1"/>
      <headerFooter>
        <oddFooter>&amp;C&amp;"Times New Roman,Regular"&amp;8&amp;P</oddFooter>
      </headerFooter>
    </customSheetView>
  </customSheetViews>
  <mergeCells count="14">
    <mergeCell ref="I1:J1"/>
    <mergeCell ref="I2:J2"/>
    <mergeCell ref="D4:D6"/>
    <mergeCell ref="E4:E6"/>
    <mergeCell ref="J3:J6"/>
    <mergeCell ref="I3:I6"/>
    <mergeCell ref="C4:C6"/>
    <mergeCell ref="A3:A7"/>
    <mergeCell ref="A1:H1"/>
    <mergeCell ref="F4:F6"/>
    <mergeCell ref="G4:G6"/>
    <mergeCell ref="B3:B6"/>
    <mergeCell ref="C3:G3"/>
    <mergeCell ref="H3:H6"/>
  </mergeCells>
  <phoneticPr fontId="53" type="noConversion"/>
  <conditionalFormatting sqref="B8:J12 A8:A16">
    <cfRule type="expression" dxfId="5" priority="53" stopIfTrue="1">
      <formula>MOD(ROW(),2)=1</formula>
    </cfRule>
    <cfRule type="expression" priority="54" stopIfTrue="1">
      <formula>MOD(ROW(),2)=1</formula>
    </cfRule>
  </conditionalFormatting>
  <conditionalFormatting sqref="A14:A16">
    <cfRule type="expression" priority="50" stopIfTrue="1">
      <formula>MOD(row,0)=0</formula>
    </cfRule>
  </conditionalFormatting>
  <conditionalFormatting sqref="A14:A16">
    <cfRule type="expression" priority="45" stopIfTrue="1">
      <formula>MOD((((#REF!))),0)=0</formula>
    </cfRule>
  </conditionalFormatting>
  <conditionalFormatting sqref="A15:A16">
    <cfRule type="expression" dxfId="4" priority="39" stopIfTrue="1">
      <formula>MOD(ROW(),2)=1</formula>
    </cfRule>
  </conditionalFormatting>
  <conditionalFormatting sqref="A15:A16">
    <cfRule type="expression" priority="36" stopIfTrue="1">
      <formula>MOD((((#REF!))),0)=0</formula>
    </cfRule>
  </conditionalFormatting>
  <pageMargins left="0.59055118110236204" right="0.511811023622047" top="0.511811023622047" bottom="0.511811023622047" header="0" footer="0.35433070866141703"/>
  <pageSetup paperSize="448" firstPageNumber="17" orientation="portrait" useFirstPageNumber="1" r:id="rId2"/>
  <headerFooter>
    <oddFooter>&amp;C&amp;"Times New Roman,Regular"&amp;8&amp;P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X81"/>
  <sheetViews>
    <sheetView zoomScale="150" zoomScaleNormal="150" workbookViewId="0">
      <pane xSplit="1" ySplit="7" topLeftCell="B47" activePane="bottomRight" state="frozen"/>
      <selection activeCell="F85" sqref="F85"/>
      <selection pane="topRight" activeCell="F85" sqref="F85"/>
      <selection pane="bottomLeft" activeCell="F85" sqref="F85"/>
      <selection pane="bottomRight" activeCell="S48" sqref="S48:S53"/>
    </sheetView>
  </sheetViews>
  <sheetFormatPr defaultColWidth="9.140625" defaultRowHeight="11.25"/>
  <cols>
    <col min="1" max="1" width="8" style="522" customWidth="1"/>
    <col min="2" max="2" width="6.7109375" style="164" customWidth="1"/>
    <col min="3" max="3" width="5.85546875" style="164" customWidth="1"/>
    <col min="4" max="4" width="6.85546875" style="164" customWidth="1"/>
    <col min="5" max="5" width="7.28515625" style="164" customWidth="1"/>
    <col min="6" max="6" width="6.5703125" style="164" customWidth="1"/>
    <col min="7" max="7" width="5.7109375" style="164" customWidth="1"/>
    <col min="8" max="8" width="7.42578125" style="164" customWidth="1"/>
    <col min="9" max="9" width="7" style="172" customWidth="1"/>
    <col min="10" max="10" width="6.5703125" style="164" customWidth="1"/>
    <col min="11" max="11" width="5.5703125" style="164" customWidth="1"/>
    <col min="12" max="12" width="6.28515625" style="164" customWidth="1"/>
    <col min="13" max="13" width="9" style="164" customWidth="1"/>
    <col min="14" max="14" width="8.5703125" style="164" customWidth="1"/>
    <col min="15" max="15" width="8.85546875" style="164" customWidth="1"/>
    <col min="16" max="16" width="10.7109375" style="164" customWidth="1"/>
    <col min="17" max="17" width="10.28515625" style="164" customWidth="1"/>
    <col min="18" max="18" width="11.28515625" style="164" customWidth="1"/>
    <col min="19" max="19" width="10.140625" style="164" customWidth="1"/>
    <col min="20" max="20" width="9.28515625" style="522" customWidth="1"/>
    <col min="21" max="22" width="11" style="164" bestFit="1" customWidth="1"/>
    <col min="23" max="23" width="10" style="164" bestFit="1" customWidth="1"/>
    <col min="24" max="24" width="11.5703125" style="164" bestFit="1" customWidth="1"/>
    <col min="25" max="16384" width="9.140625" style="164"/>
  </cols>
  <sheetData>
    <row r="1" spans="1:24" s="518" customFormat="1" ht="16.5" customHeight="1">
      <c r="B1" s="519"/>
      <c r="C1" s="519"/>
      <c r="D1" s="519"/>
      <c r="E1" s="519"/>
      <c r="F1" s="519"/>
      <c r="G1" s="519"/>
      <c r="H1" s="519"/>
      <c r="I1" s="520"/>
      <c r="J1" s="2074" t="s">
        <v>437</v>
      </c>
      <c r="K1" s="2074"/>
      <c r="L1" s="2074"/>
      <c r="M1" s="2075" t="s">
        <v>1374</v>
      </c>
      <c r="N1" s="2075"/>
      <c r="O1" s="521"/>
      <c r="P1" s="521"/>
      <c r="Q1" s="521"/>
      <c r="R1" s="521"/>
      <c r="S1" s="2073" t="s">
        <v>145</v>
      </c>
      <c r="T1" s="2073"/>
    </row>
    <row r="2" spans="1:24" ht="12" customHeight="1">
      <c r="B2" s="523"/>
      <c r="C2" s="523"/>
      <c r="D2" s="523"/>
      <c r="E2" s="523"/>
      <c r="F2" s="523"/>
      <c r="G2" s="523"/>
      <c r="L2" s="523"/>
      <c r="M2" s="523"/>
      <c r="N2" s="524"/>
      <c r="O2" s="523"/>
      <c r="P2" s="523"/>
      <c r="Q2" s="523"/>
      <c r="R2" s="523"/>
      <c r="S2" s="2077" t="s">
        <v>24</v>
      </c>
      <c r="T2" s="2077"/>
    </row>
    <row r="3" spans="1:24" s="525" customFormat="1" ht="12.75" customHeight="1">
      <c r="A3" s="2058" t="s">
        <v>928</v>
      </c>
      <c r="B3" s="2062" t="s">
        <v>488</v>
      </c>
      <c r="C3" s="2062"/>
      <c r="D3" s="2062"/>
      <c r="E3" s="2062"/>
      <c r="F3" s="2069" t="s">
        <v>576</v>
      </c>
      <c r="G3" s="2070"/>
      <c r="H3" s="2070"/>
      <c r="I3" s="2070"/>
      <c r="J3" s="2070"/>
      <c r="K3" s="2070"/>
      <c r="L3" s="2070"/>
      <c r="M3" s="2070" t="s">
        <v>575</v>
      </c>
      <c r="N3" s="2070"/>
      <c r="O3" s="2070"/>
      <c r="P3" s="963"/>
      <c r="Q3" s="2061" t="s">
        <v>930</v>
      </c>
      <c r="R3" s="2061" t="s">
        <v>931</v>
      </c>
      <c r="S3" s="2076" t="s">
        <v>1375</v>
      </c>
      <c r="T3" s="2066" t="s">
        <v>481</v>
      </c>
    </row>
    <row r="4" spans="1:24" s="526" customFormat="1" ht="15" customHeight="1">
      <c r="A4" s="2059"/>
      <c r="B4" s="2061" t="s">
        <v>792</v>
      </c>
      <c r="C4" s="2072" t="s">
        <v>158</v>
      </c>
      <c r="D4" s="2066" t="s">
        <v>359</v>
      </c>
      <c r="E4" s="2061" t="s">
        <v>793</v>
      </c>
      <c r="F4" s="2063" t="s">
        <v>403</v>
      </c>
      <c r="G4" s="2064"/>
      <c r="H4" s="2064"/>
      <c r="I4" s="2064"/>
      <c r="J4" s="2064"/>
      <c r="K4" s="2064"/>
      <c r="L4" s="2065"/>
      <c r="M4" s="2062" t="s">
        <v>582</v>
      </c>
      <c r="N4" s="2062"/>
      <c r="O4" s="2062"/>
      <c r="P4" s="2061" t="s">
        <v>929</v>
      </c>
      <c r="Q4" s="2061"/>
      <c r="R4" s="2061"/>
      <c r="S4" s="2076"/>
      <c r="T4" s="2067"/>
    </row>
    <row r="5" spans="1:24" s="526" customFormat="1" ht="15" customHeight="1">
      <c r="A5" s="2059"/>
      <c r="B5" s="2061"/>
      <c r="C5" s="2072"/>
      <c r="D5" s="2067"/>
      <c r="E5" s="2061"/>
      <c r="F5" s="2062" t="s">
        <v>1361</v>
      </c>
      <c r="G5" s="2062"/>
      <c r="H5" s="2062"/>
      <c r="I5" s="2062"/>
      <c r="J5" s="2062" t="s">
        <v>491</v>
      </c>
      <c r="K5" s="2062"/>
      <c r="L5" s="2062"/>
      <c r="M5" s="2066" t="s">
        <v>796</v>
      </c>
      <c r="N5" s="2066" t="s">
        <v>158</v>
      </c>
      <c r="O5" s="2066" t="s">
        <v>797</v>
      </c>
      <c r="P5" s="2061"/>
      <c r="Q5" s="2061"/>
      <c r="R5" s="2061"/>
      <c r="S5" s="2076"/>
      <c r="T5" s="2067"/>
    </row>
    <row r="6" spans="1:24" s="526" customFormat="1" ht="34.5" customHeight="1">
      <c r="A6" s="2059"/>
      <c r="B6" s="2061"/>
      <c r="C6" s="2072"/>
      <c r="D6" s="2068"/>
      <c r="E6" s="2061"/>
      <c r="F6" s="948" t="s">
        <v>115</v>
      </c>
      <c r="G6" s="527" t="s">
        <v>158</v>
      </c>
      <c r="H6" s="948" t="s">
        <v>1271</v>
      </c>
      <c r="I6" s="948" t="s">
        <v>794</v>
      </c>
      <c r="J6" s="948" t="s">
        <v>115</v>
      </c>
      <c r="K6" s="528" t="s">
        <v>158</v>
      </c>
      <c r="L6" s="948" t="s">
        <v>795</v>
      </c>
      <c r="M6" s="2068"/>
      <c r="N6" s="2068"/>
      <c r="O6" s="2068"/>
      <c r="P6" s="2061"/>
      <c r="Q6" s="2061"/>
      <c r="R6" s="2061"/>
      <c r="S6" s="2076"/>
      <c r="T6" s="2067"/>
    </row>
    <row r="7" spans="1:24" s="529" customFormat="1" ht="10.5">
      <c r="A7" s="2060"/>
      <c r="B7" s="249">
        <v>1</v>
      </c>
      <c r="C7" s="249">
        <v>2</v>
      </c>
      <c r="D7" s="249">
        <v>3</v>
      </c>
      <c r="E7" s="249">
        <v>4</v>
      </c>
      <c r="F7" s="249">
        <v>5</v>
      </c>
      <c r="G7" s="249">
        <v>6</v>
      </c>
      <c r="H7" s="249">
        <v>7</v>
      </c>
      <c r="I7" s="249">
        <v>8</v>
      </c>
      <c r="J7" s="249">
        <v>9</v>
      </c>
      <c r="K7" s="249">
        <v>10</v>
      </c>
      <c r="L7" s="249">
        <v>11</v>
      </c>
      <c r="M7" s="249">
        <v>12</v>
      </c>
      <c r="N7" s="249">
        <v>13</v>
      </c>
      <c r="O7" s="249">
        <v>14</v>
      </c>
      <c r="P7" s="249">
        <v>15</v>
      </c>
      <c r="Q7" s="249">
        <v>16</v>
      </c>
      <c r="R7" s="249">
        <v>17</v>
      </c>
      <c r="S7" s="968">
        <v>18</v>
      </c>
      <c r="T7" s="2068"/>
    </row>
    <row r="8" spans="1:24" ht="10.5" customHeight="1">
      <c r="A8" s="958" t="s">
        <v>81</v>
      </c>
      <c r="B8" s="400">
        <v>67049.8</v>
      </c>
      <c r="C8" s="400">
        <v>-221.7</v>
      </c>
      <c r="D8" s="400">
        <v>-5768.2</v>
      </c>
      <c r="E8" s="400">
        <v>61059.900000000009</v>
      </c>
      <c r="F8" s="997">
        <v>54225</v>
      </c>
      <c r="G8" s="400">
        <v>175.5</v>
      </c>
      <c r="H8" s="400">
        <v>61381.4</v>
      </c>
      <c r="I8" s="400">
        <f t="shared" ref="I8:I10" si="0">F8+G8+H8</f>
        <v>115781.9</v>
      </c>
      <c r="J8" s="997">
        <v>12762.9</v>
      </c>
      <c r="K8" s="400">
        <v>93.8</v>
      </c>
      <c r="L8" s="400">
        <f t="shared" ref="L8:L10" si="1">J8+K8</f>
        <v>12856.699999999999</v>
      </c>
      <c r="M8" s="400">
        <v>261852</v>
      </c>
      <c r="N8" s="400">
        <v>23541.3</v>
      </c>
      <c r="O8" s="400">
        <v>285393.3</v>
      </c>
      <c r="P8" s="400">
        <f t="shared" ref="P8:P10" si="2">I8+L8+O8</f>
        <v>414031.89999999997</v>
      </c>
      <c r="Q8" s="512">
        <v>-45754.599999999977</v>
      </c>
      <c r="R8" s="400">
        <f t="shared" ref="R8:R10" si="3">P8+Q8</f>
        <v>368277.3</v>
      </c>
      <c r="S8" s="400">
        <f t="shared" ref="S8:S10" si="4">E8+R8</f>
        <v>429337.2</v>
      </c>
      <c r="T8" s="241" t="s">
        <v>81</v>
      </c>
      <c r="U8" s="175"/>
      <c r="V8" s="175"/>
      <c r="W8" s="175"/>
      <c r="X8" s="175"/>
    </row>
    <row r="9" spans="1:24" ht="10.5" customHeight="1">
      <c r="A9" s="310" t="s">
        <v>190</v>
      </c>
      <c r="B9" s="644">
        <v>70573.399999999994</v>
      </c>
      <c r="C9" s="644">
        <v>-404.7</v>
      </c>
      <c r="D9" s="644">
        <v>-6049.4</v>
      </c>
      <c r="E9" s="644">
        <v>64119.299999999996</v>
      </c>
      <c r="F9" s="1013">
        <v>73200.600000000006</v>
      </c>
      <c r="G9" s="644">
        <v>372.6</v>
      </c>
      <c r="H9" s="644">
        <v>63438.3</v>
      </c>
      <c r="I9" s="644">
        <f t="shared" si="0"/>
        <v>137011.5</v>
      </c>
      <c r="J9" s="1013">
        <v>16901.400000000001</v>
      </c>
      <c r="K9" s="644">
        <v>108</v>
      </c>
      <c r="L9" s="644">
        <f t="shared" si="1"/>
        <v>17009.400000000001</v>
      </c>
      <c r="M9" s="644">
        <v>332161.3</v>
      </c>
      <c r="N9" s="644">
        <v>27348.5</v>
      </c>
      <c r="O9" s="644">
        <v>359509.8</v>
      </c>
      <c r="P9" s="644">
        <f t="shared" si="2"/>
        <v>513530.69999999995</v>
      </c>
      <c r="Q9" s="643">
        <v>-67193.599999999977</v>
      </c>
      <c r="R9" s="644">
        <f t="shared" si="3"/>
        <v>446337.1</v>
      </c>
      <c r="S9" s="644">
        <f t="shared" si="4"/>
        <v>510456.39999999997</v>
      </c>
      <c r="T9" s="311" t="s">
        <v>190</v>
      </c>
      <c r="U9" s="175"/>
      <c r="V9" s="175"/>
      <c r="W9" s="175"/>
      <c r="X9" s="175"/>
    </row>
    <row r="10" spans="1:24" ht="10.5" customHeight="1">
      <c r="A10" s="958" t="s">
        <v>731</v>
      </c>
      <c r="B10" s="400">
        <v>78818.7</v>
      </c>
      <c r="C10" s="400">
        <v>-378.5</v>
      </c>
      <c r="D10" s="400">
        <v>-6273.8</v>
      </c>
      <c r="E10" s="400">
        <v>72166.399999999994</v>
      </c>
      <c r="F10" s="1012">
        <v>91700.5</v>
      </c>
      <c r="G10" s="400">
        <v>261.89999999999998</v>
      </c>
      <c r="H10" s="400">
        <v>63861.3</v>
      </c>
      <c r="I10" s="400">
        <f t="shared" si="0"/>
        <v>155823.70000000001</v>
      </c>
      <c r="J10" s="1012">
        <v>15284.1</v>
      </c>
      <c r="K10" s="400">
        <v>46</v>
      </c>
      <c r="L10" s="400">
        <f t="shared" si="1"/>
        <v>15330.1</v>
      </c>
      <c r="M10" s="400">
        <v>398311.5</v>
      </c>
      <c r="N10" s="400">
        <v>31174.9</v>
      </c>
      <c r="O10" s="400">
        <v>429486.4</v>
      </c>
      <c r="P10" s="400">
        <f t="shared" si="2"/>
        <v>600640.20000000007</v>
      </c>
      <c r="Q10" s="512">
        <v>-82966.200000000099</v>
      </c>
      <c r="R10" s="400">
        <f t="shared" si="3"/>
        <v>517674</v>
      </c>
      <c r="S10" s="400">
        <f t="shared" si="4"/>
        <v>589840.4</v>
      </c>
      <c r="T10" s="241" t="s">
        <v>731</v>
      </c>
      <c r="U10" s="175"/>
      <c r="V10" s="175"/>
      <c r="W10" s="175"/>
      <c r="X10" s="175"/>
    </row>
    <row r="11" spans="1:24" ht="10.5" customHeight="1">
      <c r="A11" s="310" t="s">
        <v>840</v>
      </c>
      <c r="B11" s="644">
        <v>113250.1</v>
      </c>
      <c r="C11" s="644">
        <v>-344.5</v>
      </c>
      <c r="D11" s="644">
        <v>-6493.8</v>
      </c>
      <c r="E11" s="644">
        <v>106411.8</v>
      </c>
      <c r="F11" s="1011">
        <v>110094.5</v>
      </c>
      <c r="G11" s="644">
        <v>249.7</v>
      </c>
      <c r="H11" s="644">
        <v>64634.2</v>
      </c>
      <c r="I11" s="644">
        <v>174978.4</v>
      </c>
      <c r="J11" s="1011">
        <v>9376.7999999999993</v>
      </c>
      <c r="K11" s="644">
        <v>43.7</v>
      </c>
      <c r="L11" s="644">
        <v>9420.5</v>
      </c>
      <c r="M11" s="644">
        <v>440915.1</v>
      </c>
      <c r="N11" s="644">
        <v>36526.800000000003</v>
      </c>
      <c r="O11" s="644">
        <v>477441.89999999997</v>
      </c>
      <c r="P11" s="644">
        <v>661840.79999999993</v>
      </c>
      <c r="Q11" s="643">
        <v>-88069.7</v>
      </c>
      <c r="R11" s="644">
        <v>573771.1</v>
      </c>
      <c r="S11" s="644">
        <v>680182.9</v>
      </c>
      <c r="T11" s="311" t="s">
        <v>840</v>
      </c>
      <c r="U11" s="175"/>
      <c r="V11" s="175"/>
      <c r="W11" s="175"/>
      <c r="X11" s="175"/>
    </row>
    <row r="12" spans="1:24" s="162" customFormat="1" ht="10.5" customHeight="1">
      <c r="A12" s="399" t="s">
        <v>1019</v>
      </c>
      <c r="B12" s="54">
        <v>160056.6</v>
      </c>
      <c r="C12" s="54">
        <v>-318.89999999999998</v>
      </c>
      <c r="D12" s="54">
        <v>-6695</v>
      </c>
      <c r="E12" s="54">
        <v>153042.70000000001</v>
      </c>
      <c r="F12" s="54">
        <v>117498.3</v>
      </c>
      <c r="G12" s="54">
        <v>266.89999999999998</v>
      </c>
      <c r="H12" s="54">
        <v>76341.3</v>
      </c>
      <c r="I12" s="54">
        <v>194106.5</v>
      </c>
      <c r="J12" s="54">
        <v>12612.9</v>
      </c>
      <c r="K12" s="54">
        <v>40.6</v>
      </c>
      <c r="L12" s="54">
        <v>12653.5</v>
      </c>
      <c r="M12" s="54">
        <v>493936.5</v>
      </c>
      <c r="N12" s="54">
        <v>43834.8</v>
      </c>
      <c r="O12" s="54">
        <v>537771.30000000005</v>
      </c>
      <c r="P12" s="54">
        <v>744531.3</v>
      </c>
      <c r="Q12" s="512">
        <v>-105128.7</v>
      </c>
      <c r="R12" s="54">
        <v>639402.60000000009</v>
      </c>
      <c r="S12" s="54">
        <v>792445.3</v>
      </c>
      <c r="T12" s="804" t="s">
        <v>1019</v>
      </c>
    </row>
    <row r="13" spans="1:24" s="255" customFormat="1" ht="10.5" customHeight="1">
      <c r="A13" s="585" t="s">
        <v>1070</v>
      </c>
      <c r="B13" s="1011">
        <v>189228.79999999999</v>
      </c>
      <c r="C13" s="1011">
        <v>-274.10000000000002</v>
      </c>
      <c r="D13" s="1011">
        <v>-7257.5</v>
      </c>
      <c r="E13" s="1011">
        <v>181697.19999999998</v>
      </c>
      <c r="F13" s="1011">
        <v>110224.8</v>
      </c>
      <c r="G13" s="1011">
        <v>183.4</v>
      </c>
      <c r="H13" s="1011">
        <v>105074</v>
      </c>
      <c r="I13" s="1011">
        <v>215482.2</v>
      </c>
      <c r="J13" s="1011">
        <v>16448.8</v>
      </c>
      <c r="K13" s="1011">
        <v>80.3</v>
      </c>
      <c r="L13" s="1011">
        <v>16529.099999999999</v>
      </c>
      <c r="M13" s="1011">
        <v>557021.80000000005</v>
      </c>
      <c r="N13" s="1011">
        <v>50121.5</v>
      </c>
      <c r="O13" s="1011">
        <v>607143.30000000005</v>
      </c>
      <c r="P13" s="1011">
        <v>839154.60000000009</v>
      </c>
      <c r="Q13" s="1011">
        <v>-110802.8</v>
      </c>
      <c r="R13" s="1011">
        <v>728351.8</v>
      </c>
      <c r="S13" s="1011">
        <v>910049</v>
      </c>
      <c r="T13" s="557" t="s">
        <v>1070</v>
      </c>
      <c r="U13" s="230"/>
    </row>
    <row r="14" spans="1:24" s="255" customFormat="1" ht="10.5" customHeight="1">
      <c r="A14" s="544" t="s">
        <v>1193</v>
      </c>
      <c r="B14" s="1012">
        <v>233135.6</v>
      </c>
      <c r="C14" s="1012">
        <v>-83</v>
      </c>
      <c r="D14" s="1012">
        <v>-8475.2000000000007</v>
      </c>
      <c r="E14" s="1012">
        <v>224577.4</v>
      </c>
      <c r="F14" s="1012">
        <v>114189.1</v>
      </c>
      <c r="G14" s="1012">
        <v>-89.1</v>
      </c>
      <c r="H14" s="1012">
        <v>138762.6</v>
      </c>
      <c r="I14" s="1012">
        <v>252862.6</v>
      </c>
      <c r="J14" s="1012">
        <v>15573</v>
      </c>
      <c r="K14" s="1012">
        <v>108.3</v>
      </c>
      <c r="L14" s="1012">
        <v>15681.3</v>
      </c>
      <c r="M14" s="1012">
        <v>650644</v>
      </c>
      <c r="N14" s="1012">
        <v>60778.8</v>
      </c>
      <c r="O14" s="1012">
        <v>711422.8</v>
      </c>
      <c r="P14" s="1012">
        <v>979966.70000000007</v>
      </c>
      <c r="Q14" s="1012">
        <v>-127800.9</v>
      </c>
      <c r="R14" s="1012">
        <v>852165.8</v>
      </c>
      <c r="S14" s="1012">
        <v>1076743.2</v>
      </c>
      <c r="T14" s="545" t="s">
        <v>1193</v>
      </c>
      <c r="U14" s="230"/>
    </row>
    <row r="15" spans="1:24" s="255" customFormat="1" ht="10.5" customHeight="1">
      <c r="A15" s="585" t="s">
        <v>1225</v>
      </c>
      <c r="B15" s="1011">
        <v>266697</v>
      </c>
      <c r="C15" s="1011">
        <v>-46.6</v>
      </c>
      <c r="D15" s="1011">
        <v>-9534.1</v>
      </c>
      <c r="E15" s="1011">
        <v>257116.3</v>
      </c>
      <c r="F15" s="1011">
        <v>97307.599999999991</v>
      </c>
      <c r="G15" s="1011">
        <v>-108.6</v>
      </c>
      <c r="H15" s="1011">
        <v>191178.6</v>
      </c>
      <c r="I15" s="1011">
        <v>288377.59999999998</v>
      </c>
      <c r="J15" s="1011">
        <v>16744.2</v>
      </c>
      <c r="K15" s="1011">
        <v>142.6</v>
      </c>
      <c r="L15" s="1011">
        <v>16886.8</v>
      </c>
      <c r="M15" s="1011">
        <v>752988.79999999993</v>
      </c>
      <c r="N15" s="1011">
        <v>71394.7</v>
      </c>
      <c r="O15" s="1011">
        <v>824383.49999999988</v>
      </c>
      <c r="P15" s="1011">
        <v>1129647.8999999999</v>
      </c>
      <c r="Q15" s="1011">
        <v>-153298.70000000001</v>
      </c>
      <c r="R15" s="1011">
        <v>976349.2</v>
      </c>
      <c r="S15" s="1011">
        <v>1233465.5</v>
      </c>
      <c r="T15" s="557" t="s">
        <v>1225</v>
      </c>
      <c r="U15" s="230"/>
    </row>
    <row r="16" spans="1:24" s="255" customFormat="1" ht="10.5" customHeight="1">
      <c r="A16" s="544" t="s">
        <v>1350</v>
      </c>
      <c r="B16" s="1012">
        <v>264674.5</v>
      </c>
      <c r="C16" s="1012">
        <v>-20.5</v>
      </c>
      <c r="D16" s="1012">
        <v>-11436.5</v>
      </c>
      <c r="E16" s="1012">
        <v>253217.5</v>
      </c>
      <c r="F16" s="1012">
        <v>94869.599999999991</v>
      </c>
      <c r="G16" s="1012">
        <v>-3111.6</v>
      </c>
      <c r="H16" s="1012">
        <v>237765</v>
      </c>
      <c r="I16" s="1012">
        <v>329523</v>
      </c>
      <c r="J16" s="1012">
        <v>11337.8</v>
      </c>
      <c r="K16" s="1012">
        <v>787.8</v>
      </c>
      <c r="L16" s="1012">
        <v>12125.599999999999</v>
      </c>
      <c r="M16" s="1012">
        <v>880749.5</v>
      </c>
      <c r="N16" s="1012">
        <v>89467</v>
      </c>
      <c r="O16" s="1012">
        <v>970216.5</v>
      </c>
      <c r="P16" s="1012">
        <v>1311865.1000000001</v>
      </c>
      <c r="Q16" s="1012">
        <v>-191334.1</v>
      </c>
      <c r="R16" s="1012">
        <v>1120531</v>
      </c>
      <c r="S16" s="1012">
        <v>1373748.5</v>
      </c>
      <c r="T16" s="545" t="s">
        <v>1350</v>
      </c>
      <c r="U16" s="230"/>
    </row>
    <row r="17" spans="1:24" s="255" customFormat="1" ht="10.5" customHeight="1">
      <c r="A17" s="326" t="s">
        <v>1466</v>
      </c>
      <c r="B17" s="1011">
        <v>272399.5</v>
      </c>
      <c r="C17" s="1011">
        <v>-155.1</v>
      </c>
      <c r="D17" s="1011">
        <v>-12662.8</v>
      </c>
      <c r="E17" s="1011">
        <v>259581.6</v>
      </c>
      <c r="F17" s="1011">
        <v>113248.3</v>
      </c>
      <c r="G17" s="1011">
        <v>-2534.3000000000002</v>
      </c>
      <c r="H17" s="1011">
        <v>287704.5</v>
      </c>
      <c r="I17" s="1011">
        <v>398418.5</v>
      </c>
      <c r="J17" s="1011">
        <v>13590.7</v>
      </c>
      <c r="K17" s="1011">
        <v>1239.4000000000001</v>
      </c>
      <c r="L17" s="1011">
        <v>14830.1</v>
      </c>
      <c r="M17" s="1011">
        <v>985443.3</v>
      </c>
      <c r="N17" s="1011">
        <v>93123</v>
      </c>
      <c r="O17" s="1011">
        <v>1078566.3</v>
      </c>
      <c r="P17" s="1011">
        <v>1491814.9</v>
      </c>
      <c r="Q17" s="1011">
        <v>-217369.60000000001</v>
      </c>
      <c r="R17" s="1011">
        <v>1274445.2999999998</v>
      </c>
      <c r="S17" s="1011">
        <v>1534026.9</v>
      </c>
      <c r="T17" s="355" t="s">
        <v>1466</v>
      </c>
      <c r="U17" s="230"/>
    </row>
    <row r="18" spans="1:24" ht="10.5" customHeight="1">
      <c r="A18" s="162" t="s">
        <v>1550</v>
      </c>
      <c r="B18" s="1012">
        <v>297336.2</v>
      </c>
      <c r="C18" s="1012">
        <v>-113.1</v>
      </c>
      <c r="D18" s="1012">
        <v>-13909.2</v>
      </c>
      <c r="E18" s="1012">
        <v>283313.90000000002</v>
      </c>
      <c r="F18" s="1012">
        <v>181119.4</v>
      </c>
      <c r="G18" s="1012">
        <v>71.3</v>
      </c>
      <c r="H18" s="1012">
        <v>302132.8</v>
      </c>
      <c r="I18" s="1012">
        <v>483323.5</v>
      </c>
      <c r="J18" s="1012">
        <v>19200.800000000003</v>
      </c>
      <c r="K18" s="1012">
        <v>1285.2</v>
      </c>
      <c r="L18" s="1012">
        <v>20486.000000000004</v>
      </c>
      <c r="M18" s="1012">
        <v>1075226.5</v>
      </c>
      <c r="N18" s="1012">
        <v>91712.4</v>
      </c>
      <c r="O18" s="1012">
        <v>1166938.8999999999</v>
      </c>
      <c r="P18" s="1012">
        <v>1670748.4</v>
      </c>
      <c r="Q18" s="1012">
        <v>-250124.9</v>
      </c>
      <c r="R18" s="1012">
        <v>1420623.5</v>
      </c>
      <c r="S18" s="1012">
        <v>1703937.4</v>
      </c>
      <c r="T18" s="209" t="s">
        <v>1550</v>
      </c>
      <c r="U18" s="175"/>
    </row>
    <row r="19" spans="1:24" s="162" customFormat="1" ht="10.5" customHeight="1">
      <c r="A19" s="326" t="s">
        <v>1606</v>
      </c>
      <c r="B19" s="1012">
        <v>382179.2</v>
      </c>
      <c r="C19" s="1012">
        <v>-191.5</v>
      </c>
      <c r="D19" s="1012">
        <v>-14841.5</v>
      </c>
      <c r="E19" s="1012">
        <v>367146.2</v>
      </c>
      <c r="F19" s="1012">
        <v>220997.5</v>
      </c>
      <c r="G19" s="1012">
        <v>-621.4</v>
      </c>
      <c r="H19" s="1012">
        <v>344143.9</v>
      </c>
      <c r="I19" s="1012">
        <v>564520</v>
      </c>
      <c r="J19" s="1012">
        <v>19666.599999999999</v>
      </c>
      <c r="K19" s="1012">
        <v>1305.4000000000001</v>
      </c>
      <c r="L19" s="1012">
        <v>20972</v>
      </c>
      <c r="M19" s="1012">
        <v>1164390.5</v>
      </c>
      <c r="N19" s="1012">
        <v>94826.3</v>
      </c>
      <c r="O19" s="1012">
        <v>1259216.8</v>
      </c>
      <c r="P19" s="1012">
        <v>1844708.8</v>
      </c>
      <c r="Q19" s="1012">
        <v>-282809.7</v>
      </c>
      <c r="R19" s="1012">
        <v>1561899.1</v>
      </c>
      <c r="S19" s="1012">
        <v>1929045.3</v>
      </c>
      <c r="T19" s="305" t="s">
        <v>1606</v>
      </c>
      <c r="U19" s="864"/>
    </row>
    <row r="20" spans="1:24" s="162" customFormat="1" ht="10.5" customHeight="1">
      <c r="A20" s="891" t="s">
        <v>1927</v>
      </c>
      <c r="B20" s="1014">
        <v>364298.8</v>
      </c>
      <c r="C20" s="1014">
        <v>-309.5</v>
      </c>
      <c r="D20" s="1014">
        <v>-13446.1</v>
      </c>
      <c r="E20" s="1014">
        <v>350543.2</v>
      </c>
      <c r="F20" s="1014">
        <v>283289.09999999998</v>
      </c>
      <c r="G20" s="1014">
        <v>-328</v>
      </c>
      <c r="H20" s="1014">
        <v>364051</v>
      </c>
      <c r="I20" s="1014">
        <v>647012.1</v>
      </c>
      <c r="J20" s="1014">
        <v>27775.1</v>
      </c>
      <c r="K20" s="1014">
        <v>1284.8</v>
      </c>
      <c r="L20" s="1014">
        <v>29059.899999999998</v>
      </c>
      <c r="M20" s="1014">
        <v>1328344.5999999999</v>
      </c>
      <c r="N20" s="1014">
        <v>97727.3</v>
      </c>
      <c r="O20" s="1014">
        <v>1426071.9</v>
      </c>
      <c r="P20" s="1014">
        <v>2102143.9</v>
      </c>
      <c r="Q20" s="1014">
        <v>-354713.8</v>
      </c>
      <c r="R20" s="1014">
        <v>1747430.0999999999</v>
      </c>
      <c r="S20" s="1014">
        <v>2097973.2999999998</v>
      </c>
      <c r="T20" s="362" t="s">
        <v>1927</v>
      </c>
      <c r="U20" s="864"/>
      <c r="V20" s="864"/>
    </row>
    <row r="21" spans="1:24" s="162" customFormat="1" ht="10.5" customHeight="1">
      <c r="A21" s="360" t="s">
        <v>2183</v>
      </c>
      <c r="B21" s="1014">
        <f>B33</f>
        <v>316728.3</v>
      </c>
      <c r="C21" s="1014">
        <f t="shared" ref="C21:S21" si="5">C33</f>
        <v>-226.8575237</v>
      </c>
      <c r="D21" s="1014">
        <f t="shared" si="5"/>
        <v>-11439.6</v>
      </c>
      <c r="E21" s="1014">
        <f t="shared" si="5"/>
        <v>305061.84247629996</v>
      </c>
      <c r="F21" s="1014">
        <f t="shared" si="5"/>
        <v>387321.3</v>
      </c>
      <c r="G21" s="1014">
        <f t="shared" si="5"/>
        <v>-229.44749623799999</v>
      </c>
      <c r="H21" s="1014">
        <f t="shared" si="5"/>
        <v>360755</v>
      </c>
      <c r="I21" s="1014">
        <f t="shared" si="5"/>
        <v>747846.852503762</v>
      </c>
      <c r="J21" s="1014">
        <f t="shared" si="5"/>
        <v>35683.699999999997</v>
      </c>
      <c r="K21" s="1014">
        <f t="shared" si="5"/>
        <v>1266.768873904</v>
      </c>
      <c r="L21" s="1014">
        <f t="shared" si="5"/>
        <v>36950.468873903999</v>
      </c>
      <c r="M21" s="1014">
        <f t="shared" si="5"/>
        <v>1469220.3</v>
      </c>
      <c r="N21" s="1014">
        <f t="shared" si="5"/>
        <v>100646.8</v>
      </c>
      <c r="O21" s="1014">
        <f t="shared" si="5"/>
        <v>1569867.1</v>
      </c>
      <c r="P21" s="1014">
        <f t="shared" si="5"/>
        <v>2354664.4213776663</v>
      </c>
      <c r="Q21" s="1014">
        <f t="shared" si="5"/>
        <v>-385833.7</v>
      </c>
      <c r="R21" s="1014">
        <f t="shared" si="5"/>
        <v>1968830.7213776663</v>
      </c>
      <c r="S21" s="1014">
        <f t="shared" si="5"/>
        <v>2273892.5638539661</v>
      </c>
      <c r="T21" s="361" t="s">
        <v>2183</v>
      </c>
      <c r="U21" s="864"/>
      <c r="V21" s="748"/>
      <c r="W21" s="864"/>
      <c r="X21" s="864"/>
    </row>
    <row r="22" spans="1:24" s="162" customFormat="1" ht="10.5" customHeight="1">
      <c r="A22" s="384" t="s">
        <v>565</v>
      </c>
      <c r="B22" s="494">
        <f>341807.3+15759.5</f>
        <v>357566.8</v>
      </c>
      <c r="C22" s="494">
        <v>-314.8</v>
      </c>
      <c r="D22" s="1197">
        <v>-13404.7</v>
      </c>
      <c r="E22" s="1197">
        <f t="shared" ref="E22:E27" si="6">D22+C22+B22</f>
        <v>343847.3</v>
      </c>
      <c r="F22" s="494">
        <f>52719.2+229028.7</f>
        <v>281747.90000000002</v>
      </c>
      <c r="G22" s="494">
        <v>-132.6</v>
      </c>
      <c r="H22" s="230">
        <v>364444.1</v>
      </c>
      <c r="I22" s="230">
        <f t="shared" ref="I22:I28" si="7">H22+G22+F22</f>
        <v>646059.4</v>
      </c>
      <c r="J22" s="230">
        <f>1596.1+27173.8</f>
        <v>28769.899999999998</v>
      </c>
      <c r="K22" s="494">
        <v>1285.5</v>
      </c>
      <c r="L22" s="494">
        <f t="shared" ref="L22:L35" si="8">J22+K22</f>
        <v>30055.399999999998</v>
      </c>
      <c r="M22" s="494">
        <f>4471.5+1326399.9</f>
        <v>1330871.3999999999</v>
      </c>
      <c r="N22" s="230">
        <v>97774.6</v>
      </c>
      <c r="O22" s="230">
        <f t="shared" ref="O22:O30" si="9">M22+N22</f>
        <v>1428646</v>
      </c>
      <c r="P22" s="230">
        <f t="shared" ref="P22:P28" si="10">I22+L22+O22</f>
        <v>2104760.7999999998</v>
      </c>
      <c r="Q22" s="230">
        <v>-349624.5</v>
      </c>
      <c r="R22" s="230">
        <f t="shared" ref="R22:R29" si="11">P22+Q22</f>
        <v>1755136.2999999998</v>
      </c>
      <c r="S22" s="230">
        <f t="shared" ref="S22:S29" si="12">E22+R22</f>
        <v>2098983.5999999996</v>
      </c>
      <c r="T22" s="379" t="s">
        <v>565</v>
      </c>
      <c r="U22" s="864"/>
      <c r="V22" s="748"/>
      <c r="W22" s="864"/>
      <c r="X22" s="864"/>
    </row>
    <row r="23" spans="1:24" s="162" customFormat="1" ht="10.5" customHeight="1">
      <c r="A23" s="398" t="s">
        <v>566</v>
      </c>
      <c r="B23" s="513">
        <f>323765.9+16646.2</f>
        <v>340412.10000000003</v>
      </c>
      <c r="C23" s="513">
        <v>-307.7</v>
      </c>
      <c r="D23" s="1212">
        <v>-13232.5</v>
      </c>
      <c r="E23" s="1212">
        <f t="shared" si="6"/>
        <v>326871.90000000002</v>
      </c>
      <c r="F23" s="513">
        <f>61832.1+226568.9</f>
        <v>288401</v>
      </c>
      <c r="G23" s="513">
        <v>66.900000000000006</v>
      </c>
      <c r="H23" s="289">
        <v>364452.2</v>
      </c>
      <c r="I23" s="289">
        <f t="shared" si="7"/>
        <v>652920.10000000009</v>
      </c>
      <c r="J23" s="289">
        <f>1597.7+27709.3</f>
        <v>29307</v>
      </c>
      <c r="K23" s="513">
        <v>1282.9000000000001</v>
      </c>
      <c r="L23" s="513">
        <f t="shared" si="8"/>
        <v>30589.9</v>
      </c>
      <c r="M23" s="513">
        <f>4484.6+1336832.3</f>
        <v>1341316.9000000001</v>
      </c>
      <c r="N23" s="289">
        <v>98060.800000000003</v>
      </c>
      <c r="O23" s="289">
        <f t="shared" si="9"/>
        <v>1439377.7000000002</v>
      </c>
      <c r="P23" s="289">
        <f t="shared" si="10"/>
        <v>2122887.7000000002</v>
      </c>
      <c r="Q23" s="289">
        <v>-346986.6</v>
      </c>
      <c r="R23" s="289">
        <f t="shared" si="11"/>
        <v>1775901.1</v>
      </c>
      <c r="S23" s="289">
        <f t="shared" si="12"/>
        <v>2102773</v>
      </c>
      <c r="T23" s="355" t="s">
        <v>566</v>
      </c>
      <c r="U23" s="864"/>
      <c r="V23" s="748"/>
      <c r="W23" s="864"/>
      <c r="X23" s="864"/>
    </row>
    <row r="24" spans="1:24" s="162" customFormat="1" ht="10.5" customHeight="1">
      <c r="A24" s="384" t="s">
        <v>560</v>
      </c>
      <c r="B24" s="494">
        <f>319037.1+16403.7</f>
        <v>335440.8</v>
      </c>
      <c r="C24" s="494">
        <v>-323.89999999999998</v>
      </c>
      <c r="D24" s="1197">
        <v>-13061.2</v>
      </c>
      <c r="E24" s="1197">
        <f t="shared" si="6"/>
        <v>322055.7</v>
      </c>
      <c r="F24" s="494">
        <f>71663.4+220805.3</f>
        <v>292468.69999999995</v>
      </c>
      <c r="G24" s="494">
        <v>-97.3</v>
      </c>
      <c r="H24" s="230">
        <v>364381.5</v>
      </c>
      <c r="I24" s="230">
        <f t="shared" si="7"/>
        <v>656752.89999999991</v>
      </c>
      <c r="J24" s="230">
        <f>1599.3+27135.6</f>
        <v>28734.899999999998</v>
      </c>
      <c r="K24" s="494">
        <v>1285</v>
      </c>
      <c r="L24" s="494">
        <f t="shared" si="8"/>
        <v>30019.899999999998</v>
      </c>
      <c r="M24" s="494">
        <f>4499.1+1353653</f>
        <v>1358152.1</v>
      </c>
      <c r="N24" s="230">
        <v>98350.1</v>
      </c>
      <c r="O24" s="230">
        <f t="shared" si="9"/>
        <v>1456502.2000000002</v>
      </c>
      <c r="P24" s="230">
        <f t="shared" si="10"/>
        <v>2143275</v>
      </c>
      <c r="Q24" s="230">
        <v>-350497.5</v>
      </c>
      <c r="R24" s="230">
        <f t="shared" si="11"/>
        <v>1792777.5</v>
      </c>
      <c r="S24" s="230">
        <f t="shared" si="12"/>
        <v>2114833.2000000002</v>
      </c>
      <c r="T24" s="379" t="s">
        <v>560</v>
      </c>
      <c r="U24" s="864"/>
      <c r="V24" s="748"/>
      <c r="W24" s="864"/>
      <c r="X24" s="864"/>
    </row>
    <row r="25" spans="1:24" s="162" customFormat="1" ht="10.5" customHeight="1">
      <c r="A25" s="398" t="s">
        <v>567</v>
      </c>
      <c r="B25" s="513">
        <f>309740.2+16736.2</f>
        <v>326476.40000000002</v>
      </c>
      <c r="C25" s="513">
        <v>-280.2</v>
      </c>
      <c r="D25" s="1212">
        <v>-12962.1</v>
      </c>
      <c r="E25" s="1212">
        <f t="shared" si="6"/>
        <v>313234.10000000003</v>
      </c>
      <c r="F25" s="513">
        <f>83478.7+221653.6</f>
        <v>305132.3</v>
      </c>
      <c r="G25" s="513">
        <v>142.1</v>
      </c>
      <c r="H25" s="1334">
        <v>363418.4</v>
      </c>
      <c r="I25" s="289">
        <f t="shared" si="7"/>
        <v>668692.80000000005</v>
      </c>
      <c r="J25" s="289">
        <f>1600.9+27781.4</f>
        <v>29382.300000000003</v>
      </c>
      <c r="K25" s="513">
        <v>1283</v>
      </c>
      <c r="L25" s="513">
        <f t="shared" si="8"/>
        <v>30665.300000000003</v>
      </c>
      <c r="M25" s="513">
        <f>4527.5+1363929</f>
        <v>1368456.5</v>
      </c>
      <c r="N25" s="289">
        <v>99662.6</v>
      </c>
      <c r="O25" s="289">
        <f t="shared" si="9"/>
        <v>1468119.1</v>
      </c>
      <c r="P25" s="289">
        <f t="shared" si="10"/>
        <v>2167477.2000000002</v>
      </c>
      <c r="Q25" s="289">
        <v>-365896.6</v>
      </c>
      <c r="R25" s="289">
        <f t="shared" si="11"/>
        <v>1801580.6</v>
      </c>
      <c r="S25" s="289">
        <f t="shared" si="12"/>
        <v>2114814.7000000002</v>
      </c>
      <c r="T25" s="355" t="s">
        <v>567</v>
      </c>
      <c r="U25" s="864"/>
      <c r="V25" s="748"/>
      <c r="W25" s="864"/>
      <c r="X25" s="864"/>
    </row>
    <row r="26" spans="1:24" s="162" customFormat="1" ht="10.5" customHeight="1">
      <c r="A26" s="384" t="s">
        <v>568</v>
      </c>
      <c r="B26" s="494">
        <f>300465.4+18595.5</f>
        <v>319060.90000000002</v>
      </c>
      <c r="C26" s="494">
        <v>-254.1</v>
      </c>
      <c r="D26" s="1197">
        <v>-12793.4</v>
      </c>
      <c r="E26" s="1197">
        <f t="shared" si="6"/>
        <v>306013.40000000002</v>
      </c>
      <c r="F26" s="494">
        <f>91786.4+207420.4</f>
        <v>299206.8</v>
      </c>
      <c r="G26" s="494">
        <v>-63.8</v>
      </c>
      <c r="H26" s="230">
        <v>362435.1</v>
      </c>
      <c r="I26" s="230">
        <f t="shared" si="7"/>
        <v>661578.1</v>
      </c>
      <c r="J26" s="230">
        <f>1602.4+28465</f>
        <v>30067.4</v>
      </c>
      <c r="K26" s="494">
        <v>1250.5</v>
      </c>
      <c r="L26" s="494">
        <f t="shared" si="8"/>
        <v>31317.9</v>
      </c>
      <c r="M26" s="494">
        <f>4549.7+1380380</f>
        <v>1384929.7</v>
      </c>
      <c r="N26" s="230">
        <v>98293.3</v>
      </c>
      <c r="O26" s="230">
        <f t="shared" si="9"/>
        <v>1483223</v>
      </c>
      <c r="P26" s="230">
        <f t="shared" si="10"/>
        <v>2176119</v>
      </c>
      <c r="Q26" s="230">
        <v>-354216.3</v>
      </c>
      <c r="R26" s="230">
        <f t="shared" si="11"/>
        <v>1821902.7</v>
      </c>
      <c r="S26" s="230">
        <f t="shared" si="12"/>
        <v>2127916.1</v>
      </c>
      <c r="T26" s="379" t="s">
        <v>568</v>
      </c>
      <c r="U26" s="864"/>
      <c r="V26" s="748"/>
      <c r="W26" s="864"/>
      <c r="X26" s="864"/>
    </row>
    <row r="27" spans="1:24" s="162" customFormat="1" ht="10.5" customHeight="1">
      <c r="A27" s="398" t="s">
        <v>561</v>
      </c>
      <c r="B27" s="513">
        <f>297498.1+21899</f>
        <v>319397.09999999998</v>
      </c>
      <c r="C27" s="513">
        <v>-255.4</v>
      </c>
      <c r="D27" s="1212">
        <v>-12536.6</v>
      </c>
      <c r="E27" s="1212">
        <f t="shared" si="6"/>
        <v>306605.09999999998</v>
      </c>
      <c r="F27" s="513">
        <f>105344.2+188253.2</f>
        <v>293597.40000000002</v>
      </c>
      <c r="G27" s="513">
        <v>-10</v>
      </c>
      <c r="H27" s="289">
        <v>360944.2</v>
      </c>
      <c r="I27" s="289">
        <f t="shared" si="7"/>
        <v>654531.60000000009</v>
      </c>
      <c r="J27" s="289">
        <f>1604+31005.8</f>
        <v>32609.8</v>
      </c>
      <c r="K27" s="513">
        <v>1250.5</v>
      </c>
      <c r="L27" s="513">
        <f t="shared" si="8"/>
        <v>33860.300000000003</v>
      </c>
      <c r="M27" s="513">
        <f>4599+1398696.3</f>
        <v>1403295.3</v>
      </c>
      <c r="N27" s="289">
        <v>98973</v>
      </c>
      <c r="O27" s="289">
        <f t="shared" si="9"/>
        <v>1502268.3</v>
      </c>
      <c r="P27" s="289">
        <f t="shared" si="10"/>
        <v>2190660.2000000002</v>
      </c>
      <c r="Q27" s="289">
        <v>-353090.2</v>
      </c>
      <c r="R27" s="289">
        <f t="shared" si="11"/>
        <v>1837570.0000000002</v>
      </c>
      <c r="S27" s="289">
        <f t="shared" si="12"/>
        <v>2144175.1</v>
      </c>
      <c r="T27" s="355" t="s">
        <v>561</v>
      </c>
      <c r="U27" s="864"/>
      <c r="V27" s="748"/>
      <c r="W27" s="864"/>
      <c r="X27" s="864"/>
    </row>
    <row r="28" spans="1:24" s="162" customFormat="1" ht="10.5" customHeight="1">
      <c r="A28" s="384" t="s">
        <v>569</v>
      </c>
      <c r="B28" s="494">
        <f>290992.7+23312.4</f>
        <v>314305.10000000003</v>
      </c>
      <c r="C28" s="494">
        <v>-256.3</v>
      </c>
      <c r="D28" s="1197">
        <v>-12448</v>
      </c>
      <c r="E28" s="1197">
        <f t="shared" ref="E28:E46" si="13">D28+C28+B28</f>
        <v>301600.80000000005</v>
      </c>
      <c r="F28" s="494">
        <f>107439.6+196136.2</f>
        <v>303575.80000000005</v>
      </c>
      <c r="G28" s="494">
        <v>-242.6</v>
      </c>
      <c r="H28" s="230">
        <v>360981.5</v>
      </c>
      <c r="I28" s="230">
        <f t="shared" si="7"/>
        <v>664314.70000000007</v>
      </c>
      <c r="J28" s="230">
        <f>1596.1+32585.9</f>
        <v>34182</v>
      </c>
      <c r="K28" s="494">
        <v>1263.3</v>
      </c>
      <c r="L28" s="494">
        <f t="shared" si="8"/>
        <v>35445.300000000003</v>
      </c>
      <c r="M28" s="494">
        <f>4614.3+1399061.7</f>
        <v>1403676</v>
      </c>
      <c r="N28" s="230">
        <v>98611.3</v>
      </c>
      <c r="O28" s="230">
        <f t="shared" si="9"/>
        <v>1502287.3</v>
      </c>
      <c r="P28" s="230">
        <f t="shared" si="10"/>
        <v>2202047.3000000003</v>
      </c>
      <c r="Q28" s="230">
        <v>-364612.5</v>
      </c>
      <c r="R28" s="230">
        <f t="shared" si="11"/>
        <v>1837434.8000000003</v>
      </c>
      <c r="S28" s="230">
        <f t="shared" si="12"/>
        <v>2139035.6000000006</v>
      </c>
      <c r="T28" s="379" t="s">
        <v>569</v>
      </c>
      <c r="U28" s="1005"/>
      <c r="V28" s="864"/>
      <c r="W28" s="864"/>
      <c r="X28" s="864"/>
    </row>
    <row r="29" spans="1:24" s="162" customFormat="1" ht="10.5" customHeight="1">
      <c r="A29" s="398" t="s">
        <v>570</v>
      </c>
      <c r="B29" s="513">
        <f>286636.7+27639.3</f>
        <v>314276</v>
      </c>
      <c r="C29" s="513">
        <v>-248.9</v>
      </c>
      <c r="D29" s="1212">
        <v>-12265.8</v>
      </c>
      <c r="E29" s="1212">
        <f t="shared" si="13"/>
        <v>301761.3</v>
      </c>
      <c r="F29" s="513">
        <f>108685.3+201153.1</f>
        <v>309838.40000000002</v>
      </c>
      <c r="G29" s="513">
        <v>-202.8</v>
      </c>
      <c r="H29" s="289">
        <v>360541.5</v>
      </c>
      <c r="I29" s="289">
        <f>H29+G29+F29</f>
        <v>670177.10000000009</v>
      </c>
      <c r="J29" s="289">
        <f>1596.1+32268.24</f>
        <v>33864.340000000004</v>
      </c>
      <c r="K29" s="513">
        <v>1263.46</v>
      </c>
      <c r="L29" s="513">
        <f t="shared" si="8"/>
        <v>35127.800000000003</v>
      </c>
      <c r="M29" s="513">
        <f>4644.4+1406997.2</f>
        <v>1411641.5999999999</v>
      </c>
      <c r="N29" s="289">
        <v>98981.7</v>
      </c>
      <c r="O29" s="289">
        <f t="shared" si="9"/>
        <v>1510623.2999999998</v>
      </c>
      <c r="P29" s="289">
        <f>I29+L29+O29</f>
        <v>2215928.2000000002</v>
      </c>
      <c r="Q29" s="289">
        <v>-368411.4</v>
      </c>
      <c r="R29" s="289">
        <f t="shared" si="11"/>
        <v>1847516.8000000003</v>
      </c>
      <c r="S29" s="289">
        <f t="shared" si="12"/>
        <v>2149278.1</v>
      </c>
      <c r="T29" s="355" t="s">
        <v>570</v>
      </c>
      <c r="U29" s="1005"/>
      <c r="V29" s="864"/>
      <c r="W29" s="864"/>
      <c r="X29" s="864"/>
    </row>
    <row r="30" spans="1:24" s="162" customFormat="1" ht="10.5" customHeight="1">
      <c r="A30" s="384" t="s">
        <v>562</v>
      </c>
      <c r="B30" s="494">
        <f>282017.7+27064.8</f>
        <v>309082.5</v>
      </c>
      <c r="C30" s="494">
        <v>-248.99007990000001</v>
      </c>
      <c r="D30" s="1197">
        <v>-12046.4</v>
      </c>
      <c r="E30" s="1197">
        <f t="shared" si="13"/>
        <v>296787.10992010002</v>
      </c>
      <c r="F30" s="494">
        <f>111798.3+212738.1</f>
        <v>324536.40000000002</v>
      </c>
      <c r="G30" s="494">
        <v>-200.93270095899999</v>
      </c>
      <c r="H30" s="230">
        <v>359889.4</v>
      </c>
      <c r="I30" s="230">
        <f>H30+G30+F30</f>
        <v>684224.86729904101</v>
      </c>
      <c r="J30" s="230">
        <f>1599.3+33689.81</f>
        <v>35289.11</v>
      </c>
      <c r="K30" s="494">
        <v>1263.5999999999999</v>
      </c>
      <c r="L30" s="494">
        <f t="shared" si="8"/>
        <v>36552.71</v>
      </c>
      <c r="M30" s="494">
        <f>4669.4+1419041</f>
        <v>1423710.4</v>
      </c>
      <c r="N30" s="230">
        <v>99691.1</v>
      </c>
      <c r="O30" s="230">
        <f t="shared" si="9"/>
        <v>1523401.5</v>
      </c>
      <c r="P30" s="230">
        <f>I30+L30+O30</f>
        <v>2244179.0772990407</v>
      </c>
      <c r="Q30" s="230">
        <v>-377442.02</v>
      </c>
      <c r="R30" s="230">
        <f t="shared" ref="R30" si="14">P30+Q30</f>
        <v>1866737.0572990407</v>
      </c>
      <c r="S30" s="230">
        <f t="shared" ref="S30" si="15">E30+R30</f>
        <v>2163524.1672191406</v>
      </c>
      <c r="T30" s="379" t="s">
        <v>562</v>
      </c>
      <c r="U30" s="1005"/>
      <c r="V30" s="864"/>
      <c r="W30" s="864"/>
      <c r="X30" s="864"/>
    </row>
    <row r="31" spans="1:24" s="162" customFormat="1" ht="10.5" customHeight="1">
      <c r="A31" s="398" t="s">
        <v>571</v>
      </c>
      <c r="B31" s="513">
        <f>275843.6+28367</f>
        <v>304210.59999999998</v>
      </c>
      <c r="C31" s="513">
        <v>-249.78133469999997</v>
      </c>
      <c r="D31" s="1212">
        <v>-11880.7</v>
      </c>
      <c r="E31" s="1212">
        <f t="shared" si="13"/>
        <v>292080.11866529996</v>
      </c>
      <c r="F31" s="513">
        <f>136213.9+218929.1</f>
        <v>355143</v>
      </c>
      <c r="G31" s="513">
        <v>-236.88397352800007</v>
      </c>
      <c r="H31" s="289">
        <v>360471.2</v>
      </c>
      <c r="I31" s="289">
        <f>H31+G31+F31</f>
        <v>715377.31602647202</v>
      </c>
      <c r="J31" s="289">
        <f>1600.9+33129.1</f>
        <v>34730</v>
      </c>
      <c r="K31" s="513">
        <v>1265.026888483</v>
      </c>
      <c r="L31" s="513">
        <f t="shared" si="8"/>
        <v>35995.026888483</v>
      </c>
      <c r="M31" s="513">
        <f>4702.4+1429269.7</f>
        <v>1433972.0999999999</v>
      </c>
      <c r="N31" s="289">
        <v>99729.1</v>
      </c>
      <c r="O31" s="289">
        <f t="shared" ref="O31" si="16">M31+N31</f>
        <v>1533701.2</v>
      </c>
      <c r="P31" s="289">
        <f>I31+L31+O31</f>
        <v>2285073.5429149549</v>
      </c>
      <c r="Q31" s="289">
        <v>-380695.12</v>
      </c>
      <c r="R31" s="289">
        <f t="shared" ref="R31" si="17">P31+Q31</f>
        <v>1904378.4229149548</v>
      </c>
      <c r="S31" s="289">
        <f t="shared" ref="S31" si="18">E31+R31</f>
        <v>2196458.5415802547</v>
      </c>
      <c r="T31" s="355" t="s">
        <v>571</v>
      </c>
      <c r="U31" s="1005"/>
      <c r="V31" s="864"/>
      <c r="W31" s="864"/>
      <c r="X31" s="864"/>
    </row>
    <row r="32" spans="1:24" s="162" customFormat="1" ht="10.5" customHeight="1">
      <c r="A32" s="384" t="s">
        <v>572</v>
      </c>
      <c r="B32" s="494">
        <f>275075.4+25521.6</f>
        <v>300597</v>
      </c>
      <c r="C32" s="494">
        <v>-225.75629029999999</v>
      </c>
      <c r="D32" s="1197">
        <v>-11721.2</v>
      </c>
      <c r="E32" s="494">
        <f t="shared" si="13"/>
        <v>288650.0437097</v>
      </c>
      <c r="F32" s="494">
        <f>132882.4+228274</f>
        <v>361156.4</v>
      </c>
      <c r="G32" s="494">
        <v>-253.79261237199998</v>
      </c>
      <c r="H32" s="230">
        <v>361022.3</v>
      </c>
      <c r="I32" s="494">
        <f>H32+G32+F32</f>
        <v>721924.90738762799</v>
      </c>
      <c r="J32" s="230">
        <f>1602.4+33692.52</f>
        <v>35294.92</v>
      </c>
      <c r="K32" s="494">
        <v>1267.0999999999999</v>
      </c>
      <c r="L32" s="494">
        <f t="shared" si="8"/>
        <v>36562.019999999997</v>
      </c>
      <c r="M32" s="494">
        <f>4722+1440499.657</f>
        <v>1445221.6569999999</v>
      </c>
      <c r="N32" s="230">
        <v>100021.1</v>
      </c>
      <c r="O32" s="494">
        <f t="shared" ref="O32" si="19">M32+N32</f>
        <v>1545242.757</v>
      </c>
      <c r="P32" s="494">
        <f>I32+L32+O32</f>
        <v>2303729.684387628</v>
      </c>
      <c r="Q32" s="230">
        <v>-388457.95</v>
      </c>
      <c r="R32" s="494">
        <f t="shared" ref="R32" si="20">P32+Q32</f>
        <v>1915271.734387628</v>
      </c>
      <c r="S32" s="494">
        <f t="shared" ref="S32" si="21">E32+R32</f>
        <v>2203921.7780973278</v>
      </c>
      <c r="T32" s="379" t="s">
        <v>572</v>
      </c>
      <c r="U32" s="1005"/>
      <c r="V32" s="864"/>
      <c r="W32" s="864"/>
      <c r="X32" s="864"/>
    </row>
    <row r="33" spans="1:24" s="162" customFormat="1" ht="10.5" customHeight="1">
      <c r="A33" s="398" t="s">
        <v>563</v>
      </c>
      <c r="B33" s="513">
        <f>287497.5+29230.8</f>
        <v>316728.3</v>
      </c>
      <c r="C33" s="513">
        <v>-226.8575237</v>
      </c>
      <c r="D33" s="1212">
        <v>-11439.6</v>
      </c>
      <c r="E33" s="1212">
        <f t="shared" si="13"/>
        <v>305061.84247629996</v>
      </c>
      <c r="F33" s="513">
        <f>157411.9+229909.4</f>
        <v>387321.3</v>
      </c>
      <c r="G33" s="513">
        <v>-229.44749623799999</v>
      </c>
      <c r="H33" s="289">
        <v>360755</v>
      </c>
      <c r="I33" s="289">
        <f>H33+G33+F33</f>
        <v>747846.852503762</v>
      </c>
      <c r="J33" s="289">
        <f>1604+34079.7</f>
        <v>35683.699999999997</v>
      </c>
      <c r="K33" s="513">
        <v>1266.768873904</v>
      </c>
      <c r="L33" s="513">
        <f t="shared" si="8"/>
        <v>36950.468873903999</v>
      </c>
      <c r="M33" s="513">
        <f>4809.1+1464411.2</f>
        <v>1469220.3</v>
      </c>
      <c r="N33" s="289">
        <v>100646.8</v>
      </c>
      <c r="O33" s="289">
        <f t="shared" ref="O33:O35" si="22">M33+N33</f>
        <v>1569867.1</v>
      </c>
      <c r="P33" s="289">
        <f>I33+L33+O33</f>
        <v>2354664.4213776663</v>
      </c>
      <c r="Q33" s="289">
        <v>-385833.7</v>
      </c>
      <c r="R33" s="289">
        <f t="shared" ref="R33" si="23">P33+Q33</f>
        <v>1968830.7213776663</v>
      </c>
      <c r="S33" s="289">
        <f t="shared" ref="S33" si="24">E33+R33</f>
        <v>2273892.5638539661</v>
      </c>
      <c r="T33" s="355" t="s">
        <v>563</v>
      </c>
      <c r="U33" s="1005"/>
      <c r="V33" s="864"/>
      <c r="W33" s="864"/>
      <c r="X33" s="864"/>
    </row>
    <row r="34" spans="1:24" s="162" customFormat="1" ht="12.75" customHeight="1">
      <c r="A34" s="891" t="s">
        <v>2344</v>
      </c>
      <c r="B34" s="1014">
        <f>B46</f>
        <v>291129</v>
      </c>
      <c r="C34" s="1014">
        <f t="shared" ref="C34:S34" si="25">C46</f>
        <v>-152.25259260000001</v>
      </c>
      <c r="D34" s="1014">
        <f t="shared" si="25"/>
        <v>-9527</v>
      </c>
      <c r="E34" s="1014">
        <f t="shared" si="25"/>
        <v>281449.74740739999</v>
      </c>
      <c r="F34" s="1014">
        <f t="shared" si="25"/>
        <v>424836.21</v>
      </c>
      <c r="G34" s="1014">
        <f t="shared" si="25"/>
        <v>1168.2334702729997</v>
      </c>
      <c r="H34" s="1014">
        <f t="shared" si="25"/>
        <v>339631</v>
      </c>
      <c r="I34" s="1014">
        <f t="shared" si="25"/>
        <v>765635.44347027293</v>
      </c>
      <c r="J34" s="1014">
        <f t="shared" si="25"/>
        <v>40011.599999999999</v>
      </c>
      <c r="K34" s="1014">
        <f t="shared" si="25"/>
        <v>1005.6505162810001</v>
      </c>
      <c r="L34" s="1014">
        <f t="shared" si="25"/>
        <v>41017.250516280998</v>
      </c>
      <c r="M34" s="1014">
        <f t="shared" si="25"/>
        <v>1618124.5</v>
      </c>
      <c r="N34" s="1014">
        <f t="shared" si="25"/>
        <v>101740.86349219801</v>
      </c>
      <c r="O34" s="1014">
        <f t="shared" si="25"/>
        <v>1719865.3634921981</v>
      </c>
      <c r="P34" s="1014">
        <f t="shared" si="25"/>
        <v>2526518.057478752</v>
      </c>
      <c r="Q34" s="1014">
        <f t="shared" si="25"/>
        <v>-400010.06081562402</v>
      </c>
      <c r="R34" s="1014">
        <f t="shared" si="25"/>
        <v>2126507.996663128</v>
      </c>
      <c r="S34" s="1014">
        <f t="shared" si="25"/>
        <v>2407957.7440705281</v>
      </c>
      <c r="T34" s="362" t="s">
        <v>2344</v>
      </c>
      <c r="U34" s="864"/>
      <c r="V34" s="864"/>
      <c r="W34" s="864"/>
      <c r="X34" s="864"/>
    </row>
    <row r="35" spans="1:24" s="162" customFormat="1" ht="10.5" customHeight="1">
      <c r="A35" s="398" t="s">
        <v>565</v>
      </c>
      <c r="B35" s="513">
        <f>284091+35034.6</f>
        <v>319125.59999999998</v>
      </c>
      <c r="C35" s="513">
        <v>-227.6</v>
      </c>
      <c r="D35" s="1212">
        <v>-11278.3</v>
      </c>
      <c r="E35" s="1212">
        <f t="shared" si="13"/>
        <v>307619.69999999995</v>
      </c>
      <c r="F35" s="1212">
        <f>147689+241984.8</f>
        <v>389673.8</v>
      </c>
      <c r="G35" s="1212">
        <v>-163.98</v>
      </c>
      <c r="H35" s="1212">
        <v>360407.5</v>
      </c>
      <c r="I35" s="1212">
        <f t="shared" ref="I35:I46" si="26">H35+G35+F35</f>
        <v>749917.32000000007</v>
      </c>
      <c r="J35" s="1212">
        <f>1596.1+34140.75</f>
        <v>35736.85</v>
      </c>
      <c r="K35" s="1212">
        <v>1266.8</v>
      </c>
      <c r="L35" s="1212">
        <f t="shared" si="8"/>
        <v>37003.65</v>
      </c>
      <c r="M35" s="1212">
        <f>4775.6+1456170.2</f>
        <v>1460945.8</v>
      </c>
      <c r="N35" s="1212">
        <v>100074.9</v>
      </c>
      <c r="O35" s="1212">
        <f t="shared" si="22"/>
        <v>1561020.7</v>
      </c>
      <c r="P35" s="1212">
        <f t="shared" ref="P35:P40" si="27">I35+L35+O35</f>
        <v>2347941.67</v>
      </c>
      <c r="Q35" s="1212">
        <v>-394097.4</v>
      </c>
      <c r="R35" s="1212">
        <f t="shared" ref="R35" si="28">P35+Q35</f>
        <v>1953844.27</v>
      </c>
      <c r="S35" s="1212">
        <f t="shared" ref="S35" si="29">E35+R35</f>
        <v>2261463.9699999997</v>
      </c>
      <c r="T35" s="355" t="s">
        <v>565</v>
      </c>
      <c r="U35" s="1005"/>
      <c r="V35" s="748"/>
      <c r="W35" s="748"/>
      <c r="X35" s="864"/>
    </row>
    <row r="36" spans="1:24" s="162" customFormat="1" ht="10.5" customHeight="1">
      <c r="A36" s="384" t="s">
        <v>566</v>
      </c>
      <c r="B36" s="494">
        <f>272944.3+33275.2</f>
        <v>306219.5</v>
      </c>
      <c r="C36" s="494">
        <v>-220.31941029999999</v>
      </c>
      <c r="D36" s="1197">
        <v>-11189.1</v>
      </c>
      <c r="E36" s="1197">
        <f t="shared" si="13"/>
        <v>294810.08058970002</v>
      </c>
      <c r="F36" s="1197">
        <f>135934.2+245916.6</f>
        <v>381850.80000000005</v>
      </c>
      <c r="G36" s="1197">
        <v>-184.07404976500004</v>
      </c>
      <c r="H36" s="1197">
        <v>359637.9</v>
      </c>
      <c r="I36" s="1197">
        <f t="shared" si="26"/>
        <v>741304.62595023506</v>
      </c>
      <c r="J36" s="1197">
        <f>1597.7+34525.4</f>
        <v>36123.1</v>
      </c>
      <c r="K36" s="1197">
        <v>1201.1955113040001</v>
      </c>
      <c r="L36" s="1197">
        <f t="shared" ref="L36:L46" si="30">J36+K36</f>
        <v>37324.295511304001</v>
      </c>
      <c r="M36" s="1197">
        <f>4773.9+1466107.5</f>
        <v>1470881.4</v>
      </c>
      <c r="N36" s="1197">
        <v>100282.02499999999</v>
      </c>
      <c r="O36" s="1197">
        <f t="shared" ref="O36:O37" si="31">M36+N36</f>
        <v>1571163.4249999998</v>
      </c>
      <c r="P36" s="1197">
        <f t="shared" si="27"/>
        <v>2349792.3464615392</v>
      </c>
      <c r="Q36" s="1197">
        <v>-380193.68900000001</v>
      </c>
      <c r="R36" s="1197">
        <f t="shared" ref="R36:R37" si="32">P36+Q36</f>
        <v>1969598.6574615391</v>
      </c>
      <c r="S36" s="1197">
        <f t="shared" ref="S36:S37" si="33">E36+R36</f>
        <v>2264408.7380512394</v>
      </c>
      <c r="T36" s="379" t="s">
        <v>566</v>
      </c>
      <c r="U36" s="1005"/>
      <c r="V36" s="748"/>
      <c r="W36" s="748"/>
      <c r="X36" s="864"/>
    </row>
    <row r="37" spans="1:24" s="162" customFormat="1" ht="10.5" customHeight="1">
      <c r="A37" s="398" t="s">
        <v>560</v>
      </c>
      <c r="B37" s="513">
        <f>258978.5+34340.5</f>
        <v>293319</v>
      </c>
      <c r="C37" s="513">
        <v>-203.0471393</v>
      </c>
      <c r="D37" s="1212">
        <v>-11121.1</v>
      </c>
      <c r="E37" s="1212">
        <f t="shared" si="13"/>
        <v>281994.85286069999</v>
      </c>
      <c r="F37" s="1212">
        <f>129039.7+241855.5</f>
        <v>370895.2</v>
      </c>
      <c r="G37" s="1212">
        <v>-156.70200486300007</v>
      </c>
      <c r="H37" s="1212">
        <v>359490.1</v>
      </c>
      <c r="I37" s="1212">
        <f t="shared" si="26"/>
        <v>730228.59799513698</v>
      </c>
      <c r="J37" s="1212">
        <f>1599.3+35456.57</f>
        <v>37055.870000000003</v>
      </c>
      <c r="K37" s="1212">
        <v>1201.19</v>
      </c>
      <c r="L37" s="1212">
        <f t="shared" si="30"/>
        <v>38257.060000000005</v>
      </c>
      <c r="M37" s="1212">
        <f>4771.3+1484269.14</f>
        <v>1489040.44</v>
      </c>
      <c r="N37" s="1212">
        <v>100486.64</v>
      </c>
      <c r="O37" s="1212">
        <f t="shared" si="31"/>
        <v>1589527.0799999998</v>
      </c>
      <c r="P37" s="1212">
        <f t="shared" si="27"/>
        <v>2358012.737995137</v>
      </c>
      <c r="Q37" s="1212">
        <v>-375674.83</v>
      </c>
      <c r="R37" s="1212">
        <f t="shared" si="32"/>
        <v>1982337.9079951369</v>
      </c>
      <c r="S37" s="1212">
        <f t="shared" si="33"/>
        <v>2264332.7608558368</v>
      </c>
      <c r="T37" s="355" t="s">
        <v>560</v>
      </c>
      <c r="U37" s="1005"/>
      <c r="V37" s="748"/>
      <c r="W37" s="748"/>
      <c r="X37" s="864"/>
    </row>
    <row r="38" spans="1:24" s="162" customFormat="1" ht="10.5" customHeight="1">
      <c r="A38" s="384" t="s">
        <v>567</v>
      </c>
      <c r="B38" s="494">
        <f>248074.3+33026.98</f>
        <v>281101.27999999997</v>
      </c>
      <c r="C38" s="494">
        <v>-203.63114350000001</v>
      </c>
      <c r="D38" s="1197">
        <v>-10924.4</v>
      </c>
      <c r="E38" s="494">
        <f t="shared" si="13"/>
        <v>269973.24885649997</v>
      </c>
      <c r="F38" s="494">
        <f>127546.1+240756.7</f>
        <v>368302.80000000005</v>
      </c>
      <c r="G38" s="494">
        <v>238.61182724</v>
      </c>
      <c r="H38" s="494">
        <v>358450</v>
      </c>
      <c r="I38" s="494">
        <f t="shared" si="26"/>
        <v>726991.41182724002</v>
      </c>
      <c r="J38" s="494">
        <f>1600.9+35662.04</f>
        <v>37262.94</v>
      </c>
      <c r="K38" s="494">
        <v>1198.2818063240002</v>
      </c>
      <c r="L38" s="494">
        <f t="shared" si="30"/>
        <v>38461.221806324</v>
      </c>
      <c r="M38" s="494">
        <f>4794.1+1499572.2</f>
        <v>1504366.3</v>
      </c>
      <c r="N38" s="494">
        <v>100674.22</v>
      </c>
      <c r="O38" s="494">
        <f t="shared" ref="O38" si="34">M38+N38</f>
        <v>1605040.52</v>
      </c>
      <c r="P38" s="494">
        <f t="shared" si="27"/>
        <v>2370493.1536335638</v>
      </c>
      <c r="Q38" s="494">
        <v>-371525.36681668402</v>
      </c>
      <c r="R38" s="494">
        <f t="shared" ref="R38" si="35">P38+Q38</f>
        <v>1998967.7868168796</v>
      </c>
      <c r="S38" s="494">
        <f t="shared" ref="S38" si="36">E38+R38</f>
        <v>2268941.0356733794</v>
      </c>
      <c r="T38" s="379" t="s">
        <v>567</v>
      </c>
      <c r="U38" s="1005"/>
      <c r="V38" s="748"/>
      <c r="W38" s="748"/>
      <c r="X38" s="864"/>
    </row>
    <row r="39" spans="1:24" s="162" customFormat="1" ht="10.5" customHeight="1">
      <c r="A39" s="398" t="s">
        <v>568</v>
      </c>
      <c r="B39" s="1501">
        <f>235600.5+30070.8</f>
        <v>265671.3</v>
      </c>
      <c r="C39" s="513">
        <v>-198.6</v>
      </c>
      <c r="D39" s="513">
        <v>-10724</v>
      </c>
      <c r="E39" s="513">
        <f t="shared" si="13"/>
        <v>254748.69999999998</v>
      </c>
      <c r="F39" s="513">
        <f>132232.7+231727.3</f>
        <v>363960</v>
      </c>
      <c r="G39" s="513">
        <v>431.03541259300005</v>
      </c>
      <c r="H39" s="513">
        <v>356896.1</v>
      </c>
      <c r="I39" s="513">
        <f t="shared" si="26"/>
        <v>721287.13541259291</v>
      </c>
      <c r="J39" s="513">
        <f>1602.2+36549</f>
        <v>38151.199999999997</v>
      </c>
      <c r="K39" s="513">
        <v>1198.334490124</v>
      </c>
      <c r="L39" s="513">
        <f t="shared" si="30"/>
        <v>39349.534490123995</v>
      </c>
      <c r="M39" s="513">
        <f>4833.3+1517356.73</f>
        <v>1522190.03</v>
      </c>
      <c r="N39" s="513">
        <v>100979.78752896401</v>
      </c>
      <c r="O39" s="513">
        <f t="shared" ref="O39:O40" si="37">M39+N39</f>
        <v>1623169.817528964</v>
      </c>
      <c r="P39" s="513">
        <f t="shared" si="27"/>
        <v>2383806.4874316808</v>
      </c>
      <c r="Q39" s="513">
        <v>-362685.61664270901</v>
      </c>
      <c r="R39" s="513">
        <f t="shared" ref="R39" si="38">P39+Q39</f>
        <v>2021120.8707889719</v>
      </c>
      <c r="S39" s="513">
        <f t="shared" ref="S39" si="39">E39+R39</f>
        <v>2275869.5707889721</v>
      </c>
      <c r="T39" s="355" t="s">
        <v>568</v>
      </c>
      <c r="U39" s="1005"/>
      <c r="V39" s="748"/>
      <c r="W39" s="748"/>
      <c r="X39" s="864"/>
    </row>
    <row r="40" spans="1:24" s="162" customFormat="1" ht="10.5" customHeight="1">
      <c r="A40" s="384" t="s">
        <v>561</v>
      </c>
      <c r="B40" s="230">
        <f>248198.9+29264.9</f>
        <v>277463.8</v>
      </c>
      <c r="C40" s="494">
        <v>-199.59068910000002</v>
      </c>
      <c r="D40" s="494">
        <v>-10469.799999999999</v>
      </c>
      <c r="E40" s="494">
        <f t="shared" si="13"/>
        <v>266794.40931089997</v>
      </c>
      <c r="F40" s="494">
        <f>126706.8+224924.6</f>
        <v>351631.4</v>
      </c>
      <c r="G40" s="494">
        <v>879.2</v>
      </c>
      <c r="H40" s="494">
        <v>354691.8</v>
      </c>
      <c r="I40" s="494">
        <f t="shared" si="26"/>
        <v>707202.4</v>
      </c>
      <c r="J40" s="494">
        <f>1603.8+37708.41</f>
        <v>39312.210000000006</v>
      </c>
      <c r="K40" s="494">
        <v>1198.334490124</v>
      </c>
      <c r="L40" s="494">
        <f t="shared" si="30"/>
        <v>40510.544490124004</v>
      </c>
      <c r="M40" s="494">
        <f>4921.7+1541511.6</f>
        <v>1546433.3</v>
      </c>
      <c r="N40" s="494">
        <v>101593.58900170801</v>
      </c>
      <c r="O40" s="494">
        <f t="shared" si="37"/>
        <v>1648026.889001708</v>
      </c>
      <c r="P40" s="494">
        <f t="shared" si="27"/>
        <v>2395739.833491832</v>
      </c>
      <c r="Q40" s="494">
        <v>-368225.65530089702</v>
      </c>
      <c r="R40" s="494">
        <f t="shared" ref="R40" si="40">P40+Q40</f>
        <v>2027514.1781909349</v>
      </c>
      <c r="S40" s="494">
        <f t="shared" ref="S40" si="41">E40+R40</f>
        <v>2294308.5875018351</v>
      </c>
      <c r="T40" s="379" t="s">
        <v>561</v>
      </c>
      <c r="U40" s="1005"/>
      <c r="V40" s="748"/>
      <c r="W40" s="748"/>
      <c r="X40" s="864"/>
    </row>
    <row r="41" spans="1:24" s="162" customFormat="1" ht="10.5" customHeight="1">
      <c r="A41" s="398" t="s">
        <v>569</v>
      </c>
      <c r="B41" s="289">
        <f>232550.2+34239</f>
        <v>266789.2</v>
      </c>
      <c r="C41" s="513">
        <v>-181.07537120000001</v>
      </c>
      <c r="D41" s="513">
        <v>-10292.799999999999</v>
      </c>
      <c r="E41" s="513">
        <f t="shared" si="13"/>
        <v>256315.32462880001</v>
      </c>
      <c r="F41" s="513">
        <f>125862.2+241866.9</f>
        <v>367729.1</v>
      </c>
      <c r="G41" s="513">
        <v>816.23242813599995</v>
      </c>
      <c r="H41" s="513">
        <v>353404.7</v>
      </c>
      <c r="I41" s="513">
        <f t="shared" si="26"/>
        <v>721950.03242813598</v>
      </c>
      <c r="J41" s="513">
        <f>1596.1+36737.5</f>
        <v>38333.599999999999</v>
      </c>
      <c r="K41" s="513">
        <v>1129.324338224</v>
      </c>
      <c r="L41" s="513">
        <f t="shared" si="30"/>
        <v>39462.924338224002</v>
      </c>
      <c r="M41" s="513">
        <f>4916.2+1539650.24</f>
        <v>1544566.44</v>
      </c>
      <c r="N41" s="513">
        <v>101359.00451200899</v>
      </c>
      <c r="O41" s="513">
        <f t="shared" ref="O41:O44" si="42">M41+N41</f>
        <v>1645925.4445120089</v>
      </c>
      <c r="P41" s="513">
        <f t="shared" ref="P41:P44" si="43">I41+L41+O41</f>
        <v>2407338.4012783691</v>
      </c>
      <c r="Q41" s="513">
        <v>-376202.14552901697</v>
      </c>
      <c r="R41" s="513">
        <f t="shared" ref="R41:R44" si="44">P41+Q41</f>
        <v>2031136.2557493523</v>
      </c>
      <c r="S41" s="513">
        <f t="shared" ref="S41:S44" si="45">E41+R41</f>
        <v>2287451.5803781524</v>
      </c>
      <c r="T41" s="355" t="s">
        <v>569</v>
      </c>
      <c r="U41" s="1005"/>
      <c r="V41" s="748"/>
      <c r="W41" s="748"/>
      <c r="X41" s="864"/>
    </row>
    <row r="42" spans="1:24" s="162" customFormat="1" ht="10.5" customHeight="1">
      <c r="A42" s="384" t="s">
        <v>570</v>
      </c>
      <c r="B42" s="230">
        <f>229743.6+32834.693</f>
        <v>262578.29300000001</v>
      </c>
      <c r="C42" s="494">
        <v>-181.5397279</v>
      </c>
      <c r="D42" s="494">
        <v>-10111.299999999999</v>
      </c>
      <c r="E42" s="494">
        <f t="shared" si="13"/>
        <v>252285.45327210001</v>
      </c>
      <c r="F42" s="494">
        <f>123109.8+256358.009</f>
        <v>379467.80900000001</v>
      </c>
      <c r="G42" s="494">
        <v>1049.897709436</v>
      </c>
      <c r="H42" s="494">
        <v>351863.3</v>
      </c>
      <c r="I42" s="494">
        <f t="shared" si="26"/>
        <v>732381.00670943595</v>
      </c>
      <c r="J42" s="494">
        <f>1597.7+36676.72</f>
        <v>38274.42</v>
      </c>
      <c r="K42" s="494">
        <v>1129.316633273</v>
      </c>
      <c r="L42" s="494">
        <f t="shared" si="30"/>
        <v>39403.736633273002</v>
      </c>
      <c r="M42" s="494">
        <f>1548692.48+4933.3</f>
        <v>1553625.78</v>
      </c>
      <c r="N42" s="494">
        <v>101464.07673337799</v>
      </c>
      <c r="O42" s="494">
        <f t="shared" si="42"/>
        <v>1655089.856733378</v>
      </c>
      <c r="P42" s="494">
        <f t="shared" si="43"/>
        <v>2426874.6000760868</v>
      </c>
      <c r="Q42" s="494">
        <v>-376053.71090484899</v>
      </c>
      <c r="R42" s="494">
        <f t="shared" si="44"/>
        <v>2050820.8891712378</v>
      </c>
      <c r="S42" s="494">
        <f t="shared" si="45"/>
        <v>2303106.3424433377</v>
      </c>
      <c r="T42" s="379" t="s">
        <v>570</v>
      </c>
      <c r="U42" s="1005"/>
      <c r="V42" s="748"/>
      <c r="W42" s="748"/>
      <c r="X42" s="864"/>
    </row>
    <row r="43" spans="1:24" s="162" customFormat="1" ht="10.5" customHeight="1">
      <c r="A43" s="398" t="s">
        <v>562</v>
      </c>
      <c r="B43" s="289">
        <f>226890.9+32545.05</f>
        <v>259435.94999999998</v>
      </c>
      <c r="C43" s="513">
        <v>-175.05758850000001</v>
      </c>
      <c r="D43" s="513">
        <v>-10013</v>
      </c>
      <c r="E43" s="513">
        <f t="shared" si="13"/>
        <v>249247.89241149998</v>
      </c>
      <c r="F43" s="513">
        <f>127810.1+262558.232</f>
        <v>390368.33200000005</v>
      </c>
      <c r="G43" s="513">
        <v>1257.7263449500001</v>
      </c>
      <c r="H43" s="513">
        <v>348210</v>
      </c>
      <c r="I43" s="513">
        <f t="shared" si="26"/>
        <v>739836.05834494997</v>
      </c>
      <c r="J43" s="513">
        <f>1599.3+36537.68</f>
        <v>38136.980000000003</v>
      </c>
      <c r="K43" s="513">
        <v>1129.35144947</v>
      </c>
      <c r="L43" s="513">
        <f t="shared" si="30"/>
        <v>39266.331449470003</v>
      </c>
      <c r="M43" s="513">
        <f>1570992.89+4957.5</f>
        <v>1575950.39</v>
      </c>
      <c r="N43" s="513">
        <v>102016.501126723</v>
      </c>
      <c r="O43" s="513">
        <f t="shared" si="42"/>
        <v>1677966.8911267228</v>
      </c>
      <c r="P43" s="513">
        <f t="shared" si="43"/>
        <v>2457069.2809211425</v>
      </c>
      <c r="Q43" s="513">
        <v>-387074.07642774301</v>
      </c>
      <c r="R43" s="513">
        <f t="shared" si="44"/>
        <v>2069995.2044933995</v>
      </c>
      <c r="S43" s="513">
        <f t="shared" si="45"/>
        <v>2319243.0969048995</v>
      </c>
      <c r="T43" s="355" t="s">
        <v>562</v>
      </c>
      <c r="U43" s="1005"/>
      <c r="V43" s="748"/>
      <c r="W43" s="748"/>
      <c r="X43" s="864"/>
    </row>
    <row r="44" spans="1:24" s="162" customFormat="1" ht="10.5" customHeight="1">
      <c r="A44" s="384" t="s">
        <v>571</v>
      </c>
      <c r="B44" s="230">
        <f>219734.5+28363.02</f>
        <v>248097.52</v>
      </c>
      <c r="C44" s="494">
        <v>-174.7619412</v>
      </c>
      <c r="D44" s="494">
        <v>-9905.2999999999993</v>
      </c>
      <c r="E44" s="494">
        <f t="shared" si="13"/>
        <v>238017.4580588</v>
      </c>
      <c r="F44" s="494">
        <f>137437.8+277698.659</f>
        <v>415136.45899999997</v>
      </c>
      <c r="G44" s="494">
        <v>1491.536569934</v>
      </c>
      <c r="H44" s="494">
        <v>346106.8</v>
      </c>
      <c r="I44" s="494">
        <f t="shared" si="26"/>
        <v>762734.79556993395</v>
      </c>
      <c r="J44" s="494">
        <f>1600.79+36863.07</f>
        <v>38463.86</v>
      </c>
      <c r="K44" s="494">
        <v>1005.5501950730001</v>
      </c>
      <c r="L44" s="494">
        <f t="shared" si="30"/>
        <v>39469.410195073004</v>
      </c>
      <c r="M44" s="494">
        <f>4982.8+1573730.454</f>
        <v>1578713.254</v>
      </c>
      <c r="N44" s="494">
        <v>101905.82752297701</v>
      </c>
      <c r="O44" s="494">
        <f t="shared" si="42"/>
        <v>1680619.081522977</v>
      </c>
      <c r="P44" s="494">
        <f t="shared" si="43"/>
        <v>2482823.287287984</v>
      </c>
      <c r="Q44" s="494">
        <v>-394070.16483847401</v>
      </c>
      <c r="R44" s="494">
        <f t="shared" si="44"/>
        <v>2088753.12244951</v>
      </c>
      <c r="S44" s="494">
        <f t="shared" si="45"/>
        <v>2326770.5805083099</v>
      </c>
      <c r="T44" s="379" t="s">
        <v>571</v>
      </c>
      <c r="U44" s="1005"/>
      <c r="V44" s="748"/>
      <c r="W44" s="748"/>
      <c r="X44" s="864"/>
    </row>
    <row r="45" spans="1:24" s="162" customFormat="1" ht="10.5" customHeight="1">
      <c r="A45" s="398" t="s">
        <v>572</v>
      </c>
      <c r="B45" s="289">
        <f>231124.4+33176.11</f>
        <v>264300.51</v>
      </c>
      <c r="C45" s="513">
        <v>-151.5066128</v>
      </c>
      <c r="D45" s="513">
        <v>-9784.5</v>
      </c>
      <c r="E45" s="513">
        <f t="shared" si="13"/>
        <v>254364.50338720001</v>
      </c>
      <c r="F45" s="513">
        <f>141383.7+283084.02</f>
        <v>424467.72000000003</v>
      </c>
      <c r="G45" s="513">
        <v>1363.0708364039999</v>
      </c>
      <c r="H45" s="513">
        <v>343012.1</v>
      </c>
      <c r="I45" s="513">
        <f t="shared" si="26"/>
        <v>768842.89083640394</v>
      </c>
      <c r="J45" s="513">
        <f>1602.5+37374.9</f>
        <v>38977.4</v>
      </c>
      <c r="K45" s="513">
        <v>1004.0626950730001</v>
      </c>
      <c r="L45" s="513">
        <f t="shared" si="30"/>
        <v>39981.462695073002</v>
      </c>
      <c r="M45" s="513">
        <f>5031.2+1594020.26</f>
        <v>1599051.46</v>
      </c>
      <c r="N45" s="513">
        <v>101931.63505837999</v>
      </c>
      <c r="O45" s="513">
        <f t="shared" ref="O45" si="46">M45+N45</f>
        <v>1700983.0950583799</v>
      </c>
      <c r="P45" s="513">
        <f t="shared" ref="P45" si="47">I45+L45+O45</f>
        <v>2509807.4485898567</v>
      </c>
      <c r="Q45" s="513">
        <v>-415987.77676463593</v>
      </c>
      <c r="R45" s="513">
        <f t="shared" ref="R45" si="48">P45+Q45</f>
        <v>2093819.6718252208</v>
      </c>
      <c r="S45" s="513">
        <f t="shared" ref="S45" si="49">E45+R45</f>
        <v>2348184.175212421</v>
      </c>
      <c r="T45" s="355" t="s">
        <v>572</v>
      </c>
      <c r="U45" s="1005"/>
      <c r="V45" s="748"/>
      <c r="W45" s="748"/>
      <c r="X45" s="864"/>
    </row>
    <row r="46" spans="1:24" s="162" customFormat="1" ht="10.5" customHeight="1">
      <c r="A46" s="1693" t="s">
        <v>563</v>
      </c>
      <c r="B46" s="230">
        <f>245780.7+45348.3</f>
        <v>291129</v>
      </c>
      <c r="C46" s="494">
        <v>-152.25259260000001</v>
      </c>
      <c r="D46" s="494">
        <v>-9527</v>
      </c>
      <c r="E46" s="494">
        <f t="shared" si="13"/>
        <v>281449.74740739999</v>
      </c>
      <c r="F46" s="494">
        <f>145932.2+278904.01</f>
        <v>424836.21</v>
      </c>
      <c r="G46" s="494">
        <v>1168.2334702729997</v>
      </c>
      <c r="H46" s="494">
        <v>339631</v>
      </c>
      <c r="I46" s="494">
        <f t="shared" si="26"/>
        <v>765635.44347027293</v>
      </c>
      <c r="J46" s="494">
        <f>1604+38407.6</f>
        <v>40011.599999999999</v>
      </c>
      <c r="K46" s="494">
        <v>1005.6505162810001</v>
      </c>
      <c r="L46" s="494">
        <f t="shared" si="30"/>
        <v>41017.250516280998</v>
      </c>
      <c r="M46" s="494">
        <f>5113.3+1613011.2</f>
        <v>1618124.5</v>
      </c>
      <c r="N46" s="494">
        <v>101740.86349219801</v>
      </c>
      <c r="O46" s="494">
        <f t="shared" ref="O46" si="50">M46+N46</f>
        <v>1719865.3634921981</v>
      </c>
      <c r="P46" s="494">
        <f t="shared" ref="P46" si="51">I46+L46+O46</f>
        <v>2526518.057478752</v>
      </c>
      <c r="Q46" s="494">
        <v>-400010.06081562402</v>
      </c>
      <c r="R46" s="494">
        <f t="shared" ref="R46" si="52">P46+Q46</f>
        <v>2126507.996663128</v>
      </c>
      <c r="S46" s="494">
        <f t="shared" ref="S46" si="53">E46+R46</f>
        <v>2407957.7440705281</v>
      </c>
      <c r="T46" s="379" t="s">
        <v>563</v>
      </c>
      <c r="U46" s="1005"/>
      <c r="V46" s="748"/>
      <c r="W46" s="748"/>
      <c r="X46" s="864"/>
    </row>
    <row r="47" spans="1:24" s="162" customFormat="1" ht="12.75" customHeight="1">
      <c r="A47" s="1694" t="s">
        <v>2680</v>
      </c>
      <c r="B47" s="289"/>
      <c r="C47" s="513"/>
      <c r="D47" s="513"/>
      <c r="E47" s="513"/>
      <c r="F47" s="513"/>
      <c r="G47" s="513"/>
      <c r="H47" s="513"/>
      <c r="I47" s="513"/>
      <c r="J47" s="513"/>
      <c r="K47" s="513"/>
      <c r="L47" s="513"/>
      <c r="M47" s="513"/>
      <c r="N47" s="513"/>
      <c r="O47" s="513"/>
      <c r="P47" s="513"/>
      <c r="Q47" s="513"/>
      <c r="R47" s="513"/>
      <c r="S47" s="513"/>
      <c r="T47" s="361" t="s">
        <v>2680</v>
      </c>
      <c r="U47" s="1005"/>
      <c r="V47" s="748"/>
      <c r="W47" s="748"/>
      <c r="X47" s="864"/>
    </row>
    <row r="48" spans="1:24" s="162" customFormat="1" ht="10.5" customHeight="1">
      <c r="A48" s="1706" t="s">
        <v>565</v>
      </c>
      <c r="B48" s="230">
        <f>238927.1+44133.37</f>
        <v>283060.47000000003</v>
      </c>
      <c r="C48" s="494">
        <v>-153.0234384</v>
      </c>
      <c r="D48" s="494">
        <v>-9422</v>
      </c>
      <c r="E48" s="494">
        <f>B48+C48+D48</f>
        <v>273485.44656160002</v>
      </c>
      <c r="F48" s="494">
        <f>146699.6+290869.2</f>
        <v>437568.80000000005</v>
      </c>
      <c r="G48" s="494">
        <v>1133.3871932320001</v>
      </c>
      <c r="H48" s="494">
        <v>341819</v>
      </c>
      <c r="I48" s="494">
        <f>F48+G48+H48</f>
        <v>780521.18719323212</v>
      </c>
      <c r="J48" s="494">
        <f>1596.1+38953.2</f>
        <v>40549.299999999996</v>
      </c>
      <c r="K48" s="494">
        <v>1005.7</v>
      </c>
      <c r="L48" s="494">
        <f>J48+K48</f>
        <v>41554.999999999993</v>
      </c>
      <c r="M48" s="494">
        <f>5083.2+1608054.6</f>
        <v>1613137.8</v>
      </c>
      <c r="N48" s="494">
        <v>100912.4</v>
      </c>
      <c r="O48" s="494">
        <f>M48+N48</f>
        <v>1714050.2</v>
      </c>
      <c r="P48" s="494">
        <f t="shared" ref="P48:P49" si="54">I48+L48+O48</f>
        <v>2536126.3871932318</v>
      </c>
      <c r="Q48" s="494">
        <v>-406384.61617703002</v>
      </c>
      <c r="R48" s="494">
        <f t="shared" ref="R48" si="55">P48+Q48</f>
        <v>2129741.7710162019</v>
      </c>
      <c r="S48" s="494">
        <f t="shared" ref="S48" si="56">E48+R48</f>
        <v>2403227.217577802</v>
      </c>
      <c r="T48" s="379" t="s">
        <v>565</v>
      </c>
      <c r="U48" s="1005"/>
      <c r="V48" s="748"/>
      <c r="W48" s="748"/>
      <c r="X48" s="864"/>
    </row>
    <row r="49" spans="1:24" s="162" customFormat="1" ht="10.5" customHeight="1">
      <c r="A49" s="398" t="s">
        <v>566</v>
      </c>
      <c r="B49" s="289">
        <f>231618.7+40573.12</f>
        <v>272191.82</v>
      </c>
      <c r="C49" s="513">
        <v>-472.33318550000001</v>
      </c>
      <c r="D49" s="513">
        <v>-9264</v>
      </c>
      <c r="E49" s="513">
        <f>B49+C49+D49</f>
        <v>262455.48681450001</v>
      </c>
      <c r="F49" s="513">
        <f>127517.6+298675.55</f>
        <v>426193.15</v>
      </c>
      <c r="G49" s="513">
        <v>1800.2167069230004</v>
      </c>
      <c r="H49" s="513">
        <v>343854</v>
      </c>
      <c r="I49" s="513">
        <f>F49+G49+H49</f>
        <v>771847.366706923</v>
      </c>
      <c r="J49" s="513">
        <f>1597.7+38216.6</f>
        <v>39814.299999999996</v>
      </c>
      <c r="K49" s="513">
        <v>1004.2</v>
      </c>
      <c r="L49" s="513">
        <f>J49+K49</f>
        <v>40818.499999999993</v>
      </c>
      <c r="M49" s="513">
        <f>5093.5+1615536.63</f>
        <v>1620630.13</v>
      </c>
      <c r="N49" s="513">
        <v>100674.447000007</v>
      </c>
      <c r="O49" s="513">
        <f>M49+N49</f>
        <v>1721304.5770000068</v>
      </c>
      <c r="P49" s="513">
        <f t="shared" si="54"/>
        <v>2533970.4437069297</v>
      </c>
      <c r="Q49" s="513">
        <v>-391705.35311726603</v>
      </c>
      <c r="R49" s="513">
        <f t="shared" ref="R49" si="57">P49+Q49</f>
        <v>2142265.0905896635</v>
      </c>
      <c r="S49" s="513">
        <f t="shared" ref="S49" si="58">E49+R49</f>
        <v>2404720.5774041633</v>
      </c>
      <c r="T49" s="355" t="s">
        <v>566</v>
      </c>
      <c r="U49" s="1005"/>
      <c r="V49" s="748"/>
      <c r="W49" s="748"/>
      <c r="X49" s="864"/>
    </row>
    <row r="50" spans="1:24" s="162" customFormat="1" ht="10.5" customHeight="1">
      <c r="A50" s="1735" t="s">
        <v>560</v>
      </c>
      <c r="B50" s="230">
        <f>231666.1+33430.39</f>
        <v>265096.49</v>
      </c>
      <c r="C50" s="494">
        <v>-457.33176900000001</v>
      </c>
      <c r="D50" s="494">
        <v>-8999</v>
      </c>
      <c r="E50" s="494">
        <f>B50+C50+D50</f>
        <v>255640.15823100001</v>
      </c>
      <c r="F50" s="494">
        <f>103832.7+302945.3</f>
        <v>406778</v>
      </c>
      <c r="G50" s="494">
        <v>2196.522174228</v>
      </c>
      <c r="H50" s="494">
        <v>347963</v>
      </c>
      <c r="I50" s="494">
        <f>F50+G50+H50</f>
        <v>756937.52217422798</v>
      </c>
      <c r="J50" s="494">
        <f>1599.3+36611.6</f>
        <v>38210.9</v>
      </c>
      <c r="K50" s="494">
        <v>1003.911885834</v>
      </c>
      <c r="L50" s="494">
        <f>J50+K50</f>
        <v>39214.811885834002</v>
      </c>
      <c r="M50" s="494">
        <f>5113.9+1625152.57</f>
        <v>1630266.47</v>
      </c>
      <c r="N50" s="494">
        <v>100536.04494166501</v>
      </c>
      <c r="O50" s="494">
        <f>M50+N50</f>
        <v>1730802.5149416649</v>
      </c>
      <c r="P50" s="494">
        <f t="shared" ref="P50" si="59">I50+L50+O50</f>
        <v>2526954.8490017271</v>
      </c>
      <c r="Q50" s="494">
        <v>-370058.4</v>
      </c>
      <c r="R50" s="494">
        <f t="shared" ref="R50" si="60">P50+Q50</f>
        <v>2156896.4490017272</v>
      </c>
      <c r="S50" s="494">
        <f t="shared" ref="S50" si="61">E50+R50</f>
        <v>2412536.6072327271</v>
      </c>
      <c r="T50" s="379" t="s">
        <v>560</v>
      </c>
      <c r="U50" s="1005"/>
      <c r="V50" s="748"/>
      <c r="W50" s="748"/>
      <c r="X50" s="864"/>
    </row>
    <row r="51" spans="1:24" s="162" customFormat="1" ht="10.5" customHeight="1">
      <c r="A51" s="398" t="s">
        <v>567</v>
      </c>
      <c r="B51" s="289">
        <f>228522.6+21744.6</f>
        <v>250267.2</v>
      </c>
      <c r="C51" s="513">
        <v>-460.41399999999999</v>
      </c>
      <c r="D51" s="513">
        <v>-8729.9</v>
      </c>
      <c r="E51" s="513">
        <f>B51+C51+D51</f>
        <v>241076.88600000003</v>
      </c>
      <c r="F51" s="513">
        <f>106212.1+321041.4</f>
        <v>427253.5</v>
      </c>
      <c r="G51" s="513">
        <v>2259.027816541</v>
      </c>
      <c r="H51" s="513">
        <v>344738.5</v>
      </c>
      <c r="I51" s="513">
        <f>F51+G51+H51</f>
        <v>774251.02781654103</v>
      </c>
      <c r="J51" s="513">
        <f>1600.9+36852.3</f>
        <v>38453.200000000004</v>
      </c>
      <c r="K51" s="513">
        <v>1001.911885835</v>
      </c>
      <c r="L51" s="513">
        <f>J51+K51</f>
        <v>39455.111885835002</v>
      </c>
      <c r="M51" s="513">
        <f>5145+1629597.15</f>
        <v>1634742.15</v>
      </c>
      <c r="N51" s="513">
        <v>100120.863658676</v>
      </c>
      <c r="O51" s="513">
        <f>M51+N51</f>
        <v>1734863.0136586758</v>
      </c>
      <c r="P51" s="513">
        <f t="shared" ref="P51:P53" si="62">I51+L51+O51</f>
        <v>2548569.1533610518</v>
      </c>
      <c r="Q51" s="513">
        <f>-371190.565617967-1239.3</f>
        <v>-372429.86561796698</v>
      </c>
      <c r="R51" s="513">
        <f t="shared" ref="R51" si="63">P51+Q51</f>
        <v>2176139.2877430851</v>
      </c>
      <c r="S51" s="513">
        <f t="shared" ref="S51" si="64">E51+R51</f>
        <v>2417216.173743085</v>
      </c>
      <c r="T51" s="355" t="s">
        <v>567</v>
      </c>
      <c r="U51" s="1005"/>
      <c r="V51" s="748"/>
      <c r="W51" s="748"/>
      <c r="X51" s="864"/>
    </row>
    <row r="52" spans="1:24" s="162" customFormat="1" ht="10.5" customHeight="1">
      <c r="A52" s="1771" t="s">
        <v>568</v>
      </c>
      <c r="B52" s="230">
        <f>223881.5+22581.22</f>
        <v>246462.72</v>
      </c>
      <c r="C52" s="494">
        <v>-460.91840769999999</v>
      </c>
      <c r="D52" s="494">
        <v>-8531.9</v>
      </c>
      <c r="E52" s="494">
        <f t="shared" ref="E52:E53" si="65">B52+C52+D52</f>
        <v>237469.90159230001</v>
      </c>
      <c r="F52" s="494">
        <f>107981.5+330622.07</f>
        <v>438603.57</v>
      </c>
      <c r="G52" s="494">
        <v>2617.5483304159998</v>
      </c>
      <c r="H52" s="494">
        <v>341307.5</v>
      </c>
      <c r="I52" s="494">
        <f t="shared" ref="I52:I53" si="66">F52+G52+H52</f>
        <v>782528.61833041604</v>
      </c>
      <c r="J52" s="494">
        <f>1602.4+37234.3</f>
        <v>38836.700000000004</v>
      </c>
      <c r="K52" s="494">
        <v>1000.511885786</v>
      </c>
      <c r="L52" s="494">
        <f t="shared" ref="L52:L53" si="67">J52+K52</f>
        <v>39837.211885786004</v>
      </c>
      <c r="M52" s="494">
        <f>5167.5+1637369.41</f>
        <v>1642536.91</v>
      </c>
      <c r="N52" s="494">
        <v>100191.50705214</v>
      </c>
      <c r="O52" s="494">
        <f t="shared" ref="O52:O53" si="68">M52+N52</f>
        <v>1742728.41705214</v>
      </c>
      <c r="P52" s="494">
        <f t="shared" si="62"/>
        <v>2565094.2472683419</v>
      </c>
      <c r="Q52" s="494">
        <v>-379664.88581951597</v>
      </c>
      <c r="R52" s="494">
        <f t="shared" ref="R52:R53" si="69">P52+Q52</f>
        <v>2185429.3614488258</v>
      </c>
      <c r="S52" s="494">
        <f t="shared" ref="S52:S53" si="70">E52+R52</f>
        <v>2422899.2630411256</v>
      </c>
      <c r="T52" s="379" t="s">
        <v>568</v>
      </c>
      <c r="U52" s="1005"/>
      <c r="V52" s="748"/>
      <c r="W52" s="748"/>
      <c r="X52" s="864"/>
    </row>
    <row r="53" spans="1:24" s="162" customFormat="1" ht="10.5" customHeight="1" thickBot="1">
      <c r="A53" s="854" t="s">
        <v>561</v>
      </c>
      <c r="B53" s="1468">
        <f>235750.8+19525.648</f>
        <v>255276.44799999997</v>
      </c>
      <c r="C53" s="1741">
        <v>-463.88124669999996</v>
      </c>
      <c r="D53" s="1741">
        <v>-8263.1</v>
      </c>
      <c r="E53" s="1741">
        <f t="shared" si="65"/>
        <v>246549.46675329996</v>
      </c>
      <c r="F53" s="1741">
        <f>89973.6+325561.388</f>
        <v>415534.98800000001</v>
      </c>
      <c r="G53" s="1741">
        <v>1976.6391142330001</v>
      </c>
      <c r="H53" s="1741">
        <v>337386.3</v>
      </c>
      <c r="I53" s="1741">
        <f t="shared" si="66"/>
        <v>754897.92711423303</v>
      </c>
      <c r="J53" s="1741">
        <f>1604+37992.4</f>
        <v>39596.400000000001</v>
      </c>
      <c r="K53" s="1741">
        <v>1036.2157977859999</v>
      </c>
      <c r="L53" s="1741">
        <f t="shared" si="67"/>
        <v>40632.615797785998</v>
      </c>
      <c r="M53" s="1741">
        <f>5256.2+1658046.8</f>
        <v>1663303</v>
      </c>
      <c r="N53" s="1741">
        <v>102030.998823592</v>
      </c>
      <c r="O53" s="1741">
        <f t="shared" si="68"/>
        <v>1765333.998823592</v>
      </c>
      <c r="P53" s="1741">
        <f t="shared" si="62"/>
        <v>2560864.5417356109</v>
      </c>
      <c r="Q53" s="1741">
        <f>-372104.749737687-732.1</f>
        <v>-372836.84973768698</v>
      </c>
      <c r="R53" s="1741">
        <f t="shared" si="69"/>
        <v>2188027.6919979239</v>
      </c>
      <c r="S53" s="1741">
        <f t="shared" si="70"/>
        <v>2434577.1587512237</v>
      </c>
      <c r="T53" s="855" t="s">
        <v>561</v>
      </c>
      <c r="U53" s="1005"/>
      <c r="V53" s="748"/>
      <c r="W53" s="748"/>
      <c r="X53" s="864"/>
    </row>
    <row r="54" spans="1:24" ht="10.5" customHeight="1">
      <c r="A54" s="190" t="s">
        <v>1385</v>
      </c>
      <c r="B54" s="2057" t="s">
        <v>1260</v>
      </c>
      <c r="C54" s="2057"/>
      <c r="D54" s="2057"/>
      <c r="E54" s="2057"/>
      <c r="F54" s="2057"/>
      <c r="G54" s="261"/>
      <c r="H54" s="1292" t="s">
        <v>1348</v>
      </c>
      <c r="I54" s="795"/>
      <c r="J54" s="847"/>
      <c r="K54" s="847"/>
      <c r="L54" s="847"/>
      <c r="M54" s="189" t="s">
        <v>212</v>
      </c>
      <c r="N54" s="2071" t="s">
        <v>1376</v>
      </c>
      <c r="O54" s="2071"/>
      <c r="P54" s="2071"/>
      <c r="Q54" s="2071"/>
      <c r="R54" s="2071"/>
      <c r="S54" s="2071"/>
      <c r="T54" s="2071"/>
      <c r="U54" s="1005"/>
      <c r="V54" s="819"/>
      <c r="W54" s="864"/>
      <c r="X54" s="819"/>
    </row>
    <row r="55" spans="1:24" ht="9" customHeight="1">
      <c r="B55" s="819"/>
      <c r="C55" s="819"/>
      <c r="D55" s="1130"/>
      <c r="E55" s="847"/>
      <c r="F55" s="1442"/>
      <c r="G55" s="537"/>
      <c r="H55" s="1445"/>
      <c r="I55" s="1198"/>
      <c r="J55" s="1199"/>
      <c r="K55" s="1199"/>
      <c r="L55" s="1199"/>
      <c r="M55" s="530"/>
      <c r="N55" s="2027" t="s">
        <v>1420</v>
      </c>
      <c r="O55" s="2027"/>
      <c r="P55" s="2027"/>
      <c r="Q55" s="2027"/>
      <c r="R55" s="2027"/>
      <c r="S55" s="2027"/>
      <c r="T55" s="2027"/>
      <c r="U55" s="1005"/>
      <c r="V55" s="819"/>
      <c r="W55" s="819"/>
      <c r="X55" s="819"/>
    </row>
    <row r="56" spans="1:24" ht="9" customHeight="1">
      <c r="B56" s="850"/>
      <c r="C56" s="819"/>
      <c r="D56" s="175"/>
      <c r="E56" s="537"/>
      <c r="F56" s="1354"/>
      <c r="G56" s="1355"/>
      <c r="H56" s="1336"/>
      <c r="I56" s="1446"/>
      <c r="J56" s="1469"/>
      <c r="K56" s="1469"/>
      <c r="L56" s="1200"/>
      <c r="N56" s="949" t="s">
        <v>1334</v>
      </c>
      <c r="O56" s="640"/>
      <c r="P56" s="640"/>
      <c r="Q56" s="261" t="s">
        <v>1333</v>
      </c>
      <c r="R56" s="640"/>
      <c r="S56" s="640"/>
      <c r="T56" s="1144"/>
      <c r="U56" s="819"/>
      <c r="V56" s="819"/>
      <c r="W56" s="819"/>
      <c r="X56" s="819"/>
    </row>
    <row r="57" spans="1:24" ht="8.25" customHeight="1">
      <c r="B57" s="625"/>
      <c r="C57" s="175"/>
      <c r="D57" s="175"/>
      <c r="E57" s="537"/>
      <c r="F57" s="1354"/>
      <c r="G57" s="1355"/>
      <c r="H57" s="1337"/>
      <c r="I57" s="1446"/>
      <c r="J57" s="1337"/>
      <c r="K57" s="1337"/>
      <c r="L57" s="1200"/>
      <c r="M57" s="190" t="s">
        <v>213</v>
      </c>
      <c r="N57" s="2057" t="s">
        <v>1260</v>
      </c>
      <c r="O57" s="2057"/>
      <c r="P57" s="2057"/>
      <c r="Q57" s="2057"/>
      <c r="R57" s="2057"/>
      <c r="S57" s="2057"/>
      <c r="T57" s="2057"/>
      <c r="U57" s="175"/>
      <c r="V57" s="819"/>
      <c r="W57" s="819"/>
      <c r="X57" s="819"/>
    </row>
    <row r="58" spans="1:24" ht="12" customHeight="1">
      <c r="B58" s="175"/>
      <c r="C58" s="175"/>
      <c r="D58" s="1354"/>
      <c r="E58" s="1355"/>
      <c r="F58" s="1337"/>
      <c r="G58" s="175"/>
      <c r="H58" s="1200"/>
      <c r="I58" s="856"/>
      <c r="K58" s="490"/>
      <c r="L58" s="490"/>
      <c r="M58" s="490"/>
      <c r="N58" s="819"/>
      <c r="O58" s="175"/>
      <c r="P58" s="175"/>
      <c r="Q58" s="175"/>
      <c r="R58" s="820"/>
      <c r="S58" s="175"/>
      <c r="T58" s="819"/>
      <c r="V58" s="819"/>
    </row>
    <row r="59" spans="1:24" ht="12" customHeight="1">
      <c r="B59" s="175"/>
      <c r="C59" s="175"/>
      <c r="D59" s="1147"/>
      <c r="E59" s="1147"/>
      <c r="F59" s="175"/>
      <c r="G59" s="1356"/>
      <c r="H59" s="1337"/>
      <c r="I59" s="175"/>
      <c r="J59" s="175"/>
      <c r="K59" s="490"/>
      <c r="L59" s="490"/>
      <c r="M59" s="490"/>
      <c r="N59" s="175"/>
      <c r="O59" s="175"/>
      <c r="P59" s="175"/>
      <c r="Q59" s="175"/>
      <c r="R59" s="820"/>
      <c r="S59" s="175"/>
      <c r="T59" s="164"/>
    </row>
    <row r="60" spans="1:24" ht="9.75" customHeight="1">
      <c r="F60" s="175"/>
      <c r="G60" s="1355"/>
      <c r="H60" s="175"/>
      <c r="I60" s="175"/>
      <c r="J60" s="175"/>
      <c r="K60" s="175"/>
      <c r="L60" s="175"/>
      <c r="M60" s="175"/>
      <c r="N60" s="490"/>
      <c r="P60" s="175"/>
      <c r="Q60" s="175"/>
      <c r="R60" s="175"/>
      <c r="S60" s="175"/>
      <c r="T60" s="820"/>
    </row>
    <row r="61" spans="1:24">
      <c r="A61" s="1444"/>
      <c r="B61" s="175"/>
      <c r="C61" s="175"/>
      <c r="D61" s="175"/>
      <c r="E61" s="175"/>
      <c r="F61" s="175"/>
      <c r="G61" s="1355"/>
      <c r="H61" s="175"/>
      <c r="I61" s="1356"/>
      <c r="J61" s="175"/>
      <c r="K61" s="175"/>
      <c r="L61" s="175"/>
      <c r="M61" s="175"/>
      <c r="N61" s="490"/>
      <c r="O61" s="175"/>
      <c r="P61" s="175"/>
      <c r="Q61" s="175"/>
      <c r="R61" s="175"/>
      <c r="S61" s="175"/>
      <c r="T61" s="175"/>
      <c r="U61" s="175"/>
    </row>
    <row r="62" spans="1:24">
      <c r="F62" s="175"/>
      <c r="G62" s="175"/>
      <c r="H62" s="175"/>
      <c r="I62" s="175"/>
      <c r="J62" s="175"/>
      <c r="K62" s="175"/>
      <c r="L62" s="175"/>
      <c r="M62" s="175"/>
      <c r="N62" s="490"/>
      <c r="O62" s="175"/>
      <c r="P62" s="175"/>
      <c r="Q62" s="175"/>
      <c r="R62" s="175"/>
      <c r="S62" s="175"/>
    </row>
    <row r="63" spans="1:24">
      <c r="L63" s="175"/>
      <c r="Q63" s="819"/>
      <c r="R63" s="175"/>
      <c r="S63" s="175"/>
    </row>
    <row r="64" spans="1:24">
      <c r="M64" s="175"/>
      <c r="N64" s="175"/>
      <c r="O64" s="175"/>
      <c r="P64" s="175"/>
    </row>
    <row r="65" spans="6:20"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</row>
    <row r="66" spans="6:20"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</row>
    <row r="67" spans="6:20"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</row>
    <row r="68" spans="6:20"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</row>
    <row r="71" spans="6:20"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</row>
    <row r="72" spans="6:20"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</row>
    <row r="73" spans="6:20"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</row>
    <row r="74" spans="6:20"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</row>
    <row r="75" spans="6:20"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</row>
    <row r="76" spans="6:20"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</row>
    <row r="77" spans="6:20"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</row>
    <row r="78" spans="6:20"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</row>
    <row r="79" spans="6:20"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</row>
    <row r="80" spans="6:20"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</row>
    <row r="81" spans="6:20"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</row>
  </sheetData>
  <customSheetViews>
    <customSheetView guid="{A374FC54-96E3-45F0-9C12-8450400C12DF}" scale="180">
      <pane xSplit="1" ySplit="7" topLeftCell="P42" activePane="bottomRight" state="frozen"/>
      <selection pane="bottomRight" activeCell="S46" sqref="S46:S48"/>
      <pageMargins left="0.55118110236220497" right="0.47244094488188998" top="0.511811023622047" bottom="0.511811023622047" header="0" footer="0.39370078740157499"/>
      <pageSetup paperSize="132" firstPageNumber="18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C4:C6"/>
    <mergeCell ref="B4:B6"/>
    <mergeCell ref="B54:F54"/>
    <mergeCell ref="N55:T55"/>
    <mergeCell ref="S1:T1"/>
    <mergeCell ref="M4:O4"/>
    <mergeCell ref="J1:L1"/>
    <mergeCell ref="M1:N1"/>
    <mergeCell ref="S3:S6"/>
    <mergeCell ref="S2:T2"/>
    <mergeCell ref="Q3:Q6"/>
    <mergeCell ref="M3:O3"/>
    <mergeCell ref="N57:T57"/>
    <mergeCell ref="A3:A7"/>
    <mergeCell ref="E4:E6"/>
    <mergeCell ref="F5:I5"/>
    <mergeCell ref="B3:E3"/>
    <mergeCell ref="F4:L4"/>
    <mergeCell ref="D4:D6"/>
    <mergeCell ref="J5:L5"/>
    <mergeCell ref="F3:L3"/>
    <mergeCell ref="M5:M6"/>
    <mergeCell ref="N5:N6"/>
    <mergeCell ref="N54:T54"/>
    <mergeCell ref="T3:T7"/>
    <mergeCell ref="P4:P6"/>
    <mergeCell ref="O5:O6"/>
    <mergeCell ref="R3:R6"/>
  </mergeCells>
  <phoneticPr fontId="0" type="noConversion"/>
  <conditionalFormatting sqref="B34:S34 T8:T16 A8:A16 B8:T12 B8:B39 B37:S37 C8:S53">
    <cfRule type="expression" dxfId="3" priority="83" stopIfTrue="1">
      <formula>MOD(ROW(),2)=1</formula>
    </cfRule>
  </conditionalFormatting>
  <conditionalFormatting sqref="T13:T16 A13:A16">
    <cfRule type="expression" dxfId="2" priority="77" stopIfTrue="1">
      <formula>MOD(ROW(),2)=1</formula>
    </cfRule>
    <cfRule type="expression" priority="78" stopIfTrue="1">
      <formula>MOD(ROW(),2)=1</formula>
    </cfRule>
  </conditionalFormatting>
  <conditionalFormatting sqref="T14:T16 A14:A16">
    <cfRule type="expression" priority="74" stopIfTrue="1">
      <formula>MOD(row,0)=0</formula>
    </cfRule>
  </conditionalFormatting>
  <conditionalFormatting sqref="T14:T15 A14:A16">
    <cfRule type="expression" priority="69" stopIfTrue="1">
      <formula>MOD((((#REF!))),0)=0</formula>
    </cfRule>
  </conditionalFormatting>
  <conditionalFormatting sqref="T16">
    <cfRule type="expression" priority="23" stopIfTrue="1">
      <formula>MOD((((#REF!))),0)=0</formula>
    </cfRule>
  </conditionalFormatting>
  <pageMargins left="0.55118110236220497" right="0.47244094488188998" top="0.511811023622047" bottom="0.511811023622047" header="0" footer="0.39370078740157499"/>
  <pageSetup paperSize="448" firstPageNumber="18" orientation="portrait" useFirstPageNumber="1" r:id="rId2"/>
  <headerFooter alignWithMargins="0">
    <oddFooter>&amp;C&amp;"Times New Roman,Regular"&amp;8&amp;P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</vt:i4>
      </vt:variant>
    </vt:vector>
  </HeadingPairs>
  <TitlesOfParts>
    <vt:vector size="49" baseType="lpstr">
      <vt:lpstr>Cover Page</vt:lpstr>
      <vt:lpstr>Contents</vt:lpstr>
      <vt:lpstr>Table IA</vt:lpstr>
      <vt:lpstr>Table IB</vt:lpstr>
      <vt:lpstr>TableIIA</vt:lpstr>
      <vt:lpstr>TableIIB</vt:lpstr>
      <vt:lpstr>TableIIC </vt:lpstr>
      <vt:lpstr>Table IID</vt:lpstr>
      <vt:lpstr>Table IIE</vt:lpstr>
      <vt:lpstr>Table IIF</vt:lpstr>
      <vt:lpstr>Table IIG</vt:lpstr>
      <vt:lpstr>Table III A</vt:lpstr>
      <vt:lpstr>Table IIIB</vt:lpstr>
      <vt:lpstr>Table IV</vt:lpstr>
      <vt:lpstr>Table V</vt:lpstr>
      <vt:lpstr>Table VIA</vt:lpstr>
      <vt:lpstr>Table VIB</vt:lpstr>
      <vt:lpstr>Table VII</vt:lpstr>
      <vt:lpstr>Table VIII</vt:lpstr>
      <vt:lpstr>TableIXA</vt:lpstr>
      <vt:lpstr>TableIXB</vt:lpstr>
      <vt:lpstr>TableIXC</vt:lpstr>
      <vt:lpstr>TableIXD</vt:lpstr>
      <vt:lpstr>TableX</vt:lpstr>
      <vt:lpstr>TableXI</vt:lpstr>
      <vt:lpstr>Table XIIA</vt:lpstr>
      <vt:lpstr>Table XIIB</vt:lpstr>
      <vt:lpstr>TableXIII</vt:lpstr>
      <vt:lpstr>Table XIV</vt:lpstr>
      <vt:lpstr>TableXV</vt:lpstr>
      <vt:lpstr>TableXVI</vt:lpstr>
      <vt:lpstr>Table XVII</vt:lpstr>
      <vt:lpstr>Table XVIII</vt:lpstr>
      <vt:lpstr>TableXIX</vt:lpstr>
      <vt:lpstr>TableXX</vt:lpstr>
      <vt:lpstr>TableXXI</vt:lpstr>
      <vt:lpstr>Table XXII</vt:lpstr>
      <vt:lpstr>Table XXIII</vt:lpstr>
      <vt:lpstr>Table XXIV</vt:lpstr>
      <vt:lpstr>Table XXV</vt:lpstr>
      <vt:lpstr>Table XXVI</vt:lpstr>
      <vt:lpstr>Table XXVII</vt:lpstr>
      <vt:lpstr>Table XXVIII</vt:lpstr>
      <vt:lpstr>Table XXIX</vt:lpstr>
      <vt:lpstr>Appendix- Weights &amp; Measures</vt:lpstr>
      <vt:lpstr>'Table VIII'!Print_Area</vt:lpstr>
      <vt:lpstr>'Table XXIV'!Print_Area</vt:lpstr>
      <vt:lpstr>'Table XXVIII'!Print_Area</vt:lpstr>
      <vt:lpstr>TableIXC!Print_Area</vt:lpstr>
    </vt:vector>
  </TitlesOfParts>
  <Company>icsl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</dc:creator>
  <cp:lastModifiedBy>fazrin</cp:lastModifiedBy>
  <cp:lastPrinted>2025-04-08T09:44:02Z</cp:lastPrinted>
  <dcterms:created xsi:type="dcterms:W3CDTF">2007-04-10T13:42:14Z</dcterms:created>
  <dcterms:modified xsi:type="dcterms:W3CDTF">2025-04-08T09:50:38Z</dcterms:modified>
</cp:coreProperties>
</file>